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240" windowWidth="19440" windowHeight="12405" tabRatio="733" firstSheet="1" activeTab="1"/>
  </bookViews>
  <sheets>
    <sheet name="КС Пр. 19-21" sheetId="97" r:id="rId1"/>
    <sheet name="ВМП КС Пр. 19-21" sheetId="96" r:id="rId2"/>
    <sheet name="ДС (пр.19-21)" sheetId="94" r:id="rId3"/>
    <sheet name="РД, Луч, ПЭТ, УЗИскр Пр.19-21" sheetId="93" r:id="rId4"/>
    <sheet name="ЭИ, ПАИ, МГИ Пр.19-21" sheetId="92" r:id="rId5"/>
    <sheet name="КТ. МРТ Пр.19-21" sheetId="91" r:id="rId6"/>
    <sheet name="Неотложка Пр.19" sheetId="82" r:id="rId7"/>
    <sheet name="Обращения Пр.19" sheetId="83" r:id="rId8"/>
    <sheet name="Профик.свод Пр.19-21" sheetId="84" r:id="rId9"/>
    <sheet name="Проф.диспан.набл.Пр.19-21 " sheetId="85" r:id="rId10"/>
    <sheet name="Проф.раз.пос.по заб.Пр.19-21" sheetId="87" r:id="rId11"/>
    <sheet name="Проф.пос.СМП Пр.19-21" sheetId="86" r:id="rId12"/>
    <sheet name="Проф.пос.с др.целями Пр.19-21" sheetId="88" r:id="rId13"/>
    <sheet name="Проф.стомат.раз.пос.Пр.19-21" sheetId="89" r:id="rId14"/>
    <sheet name="Проф.стомат СМП.Пр.19-21" sheetId="90" r:id="rId15"/>
    <sheet name="гемодиализ" sheetId="95" r:id="rId16"/>
    <sheet name="СМП на 2021 год БП" sheetId="9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xlnm.Print_Area_2" localSheetId="5">#REF!</definedName>
    <definedName name="__xlnm.Print_Area_2" localSheetId="6">#REF!</definedName>
    <definedName name="__xlnm.Print_Area_2" localSheetId="7">#REF!</definedName>
    <definedName name="__xlnm.Print_Area_2" localSheetId="9">#REF!</definedName>
    <definedName name="__xlnm.Print_Area_2" localSheetId="12">#REF!</definedName>
    <definedName name="__xlnm.Print_Area_2" localSheetId="11">#REF!</definedName>
    <definedName name="__xlnm.Print_Area_2" localSheetId="10">#REF!</definedName>
    <definedName name="__xlnm.Print_Area_2" localSheetId="14">#REF!</definedName>
    <definedName name="__xlnm.Print_Area_2" localSheetId="13">#REF!</definedName>
    <definedName name="__xlnm.Print_Area_2" localSheetId="8">#REF!</definedName>
    <definedName name="__xlnm.Print_Area_2" localSheetId="3">#REF!</definedName>
    <definedName name="__xlnm.Print_Area_2" localSheetId="16">#REF!</definedName>
    <definedName name="__xlnm.Print_Area_2" localSheetId="4">#REF!</definedName>
    <definedName name="__xlnm.Print_Area_2">#REF!</definedName>
    <definedName name="_xlnm._FilterDatabase" localSheetId="5" hidden="1">'КТ. МРТ Пр.19-21'!$A$7:$N$52</definedName>
    <definedName name="_xlnm._FilterDatabase" localSheetId="6" hidden="1">'Неотложка Пр.19'!$A$5:$S$5</definedName>
    <definedName name="_xlnm._FilterDatabase" localSheetId="7" hidden="1">'Обращения Пр.19'!$A$6:$AG$159</definedName>
    <definedName name="_xlnm._FilterDatabase" localSheetId="4" hidden="1">'ЭИ, ПАИ, МГИ Пр.19-21'!$A$8:$Z$102</definedName>
    <definedName name="Kbcn" localSheetId="5">#REF!</definedName>
    <definedName name="Kbcn" localSheetId="6">#REF!</definedName>
    <definedName name="Kbcn" localSheetId="7">#REF!</definedName>
    <definedName name="Kbcn" localSheetId="9">#REF!</definedName>
    <definedName name="Kbcn" localSheetId="12">#REF!</definedName>
    <definedName name="Kbcn" localSheetId="11">#REF!</definedName>
    <definedName name="Kbcn" localSheetId="10">#REF!</definedName>
    <definedName name="Kbcn" localSheetId="14">#REF!</definedName>
    <definedName name="Kbcn" localSheetId="13">#REF!</definedName>
    <definedName name="Kbcn" localSheetId="8">#REF!</definedName>
    <definedName name="Kbcn" localSheetId="3">#REF!</definedName>
    <definedName name="Kbcn" localSheetId="16">#REF!</definedName>
    <definedName name="Kbcn" localSheetId="4">#REF!</definedName>
    <definedName name="Kbcn">#REF!</definedName>
    <definedName name="Neot_17" localSheetId="5">#REF!</definedName>
    <definedName name="Neot_17" localSheetId="6">#REF!</definedName>
    <definedName name="Neot_17" localSheetId="7">#REF!</definedName>
    <definedName name="Neot_17" localSheetId="9">#REF!</definedName>
    <definedName name="Neot_17" localSheetId="12">#REF!</definedName>
    <definedName name="Neot_17" localSheetId="11">#REF!</definedName>
    <definedName name="Neot_17" localSheetId="10">#REF!</definedName>
    <definedName name="Neot_17" localSheetId="14">#REF!</definedName>
    <definedName name="Neot_17" localSheetId="13">#REF!</definedName>
    <definedName name="Neot_17" localSheetId="8">#REF!</definedName>
    <definedName name="Neot_17" localSheetId="3">#REF!</definedName>
    <definedName name="Neot_17" localSheetId="16">#REF!</definedName>
    <definedName name="Neot_17" localSheetId="4">#REF!</definedName>
    <definedName name="Neot_17">#REF!</definedName>
    <definedName name="res2_range" localSheetId="5">#REF!</definedName>
    <definedName name="res2_range" localSheetId="6">#REF!</definedName>
    <definedName name="res2_range" localSheetId="7">#REF!</definedName>
    <definedName name="res2_range" localSheetId="9">#REF!</definedName>
    <definedName name="res2_range" localSheetId="12">#REF!</definedName>
    <definedName name="res2_range" localSheetId="11">#REF!</definedName>
    <definedName name="res2_range" localSheetId="10">#REF!</definedName>
    <definedName name="res2_range" localSheetId="14">#REF!</definedName>
    <definedName name="res2_range" localSheetId="13">#REF!</definedName>
    <definedName name="res2_range" localSheetId="8">#REF!</definedName>
    <definedName name="res2_range" localSheetId="3">#REF!</definedName>
    <definedName name="res2_range" localSheetId="16">#REF!</definedName>
    <definedName name="res2_range" localSheetId="4">#REF!</definedName>
    <definedName name="res2_range">#REF!</definedName>
    <definedName name="Tg_CZ" localSheetId="5">#REF!</definedName>
    <definedName name="Tg_CZ" localSheetId="6">#REF!</definedName>
    <definedName name="Tg_CZ" localSheetId="7">#REF!</definedName>
    <definedName name="Tg_CZ" localSheetId="9">#REF!</definedName>
    <definedName name="Tg_CZ" localSheetId="12">#REF!</definedName>
    <definedName name="Tg_CZ" localSheetId="11">#REF!</definedName>
    <definedName name="Tg_CZ" localSheetId="10">#REF!</definedName>
    <definedName name="Tg_CZ" localSheetId="14">#REF!</definedName>
    <definedName name="Tg_CZ" localSheetId="13">#REF!</definedName>
    <definedName name="Tg_CZ" localSheetId="8">#REF!</definedName>
    <definedName name="Tg_CZ" localSheetId="3">#REF!</definedName>
    <definedName name="Tg_CZ" localSheetId="16">#REF!</definedName>
    <definedName name="Tg_CZ" localSheetId="4">#REF!</definedName>
    <definedName name="Tg_CZ">#REF!</definedName>
    <definedName name="Tg_Disp" localSheetId="5">#REF!</definedName>
    <definedName name="Tg_Disp" localSheetId="6">#REF!</definedName>
    <definedName name="Tg_Disp" localSheetId="7">#REF!</definedName>
    <definedName name="Tg_Disp" localSheetId="9">#REF!</definedName>
    <definedName name="Tg_Disp" localSheetId="12">#REF!</definedName>
    <definedName name="Tg_Disp" localSheetId="11">#REF!</definedName>
    <definedName name="Tg_Disp" localSheetId="10">#REF!</definedName>
    <definedName name="Tg_Disp" localSheetId="14">#REF!</definedName>
    <definedName name="Tg_Disp" localSheetId="13">#REF!</definedName>
    <definedName name="Tg_Disp" localSheetId="8">#REF!</definedName>
    <definedName name="Tg_Disp" localSheetId="3">#REF!</definedName>
    <definedName name="Tg_Disp" localSheetId="16">#REF!</definedName>
    <definedName name="Tg_Disp" localSheetId="4">#REF!</definedName>
    <definedName name="Tg_Disp">#REF!</definedName>
    <definedName name="Tg_Geri" localSheetId="5">#REF!</definedName>
    <definedName name="Tg_Geri" localSheetId="6">#REF!</definedName>
    <definedName name="Tg_Geri" localSheetId="7">#REF!</definedName>
    <definedName name="Tg_Geri" localSheetId="9">#REF!</definedName>
    <definedName name="Tg_Geri" localSheetId="12">#REF!</definedName>
    <definedName name="Tg_Geri" localSheetId="11">#REF!</definedName>
    <definedName name="Tg_Geri" localSheetId="10">#REF!</definedName>
    <definedName name="Tg_Geri" localSheetId="14">#REF!</definedName>
    <definedName name="Tg_Geri" localSheetId="13">#REF!</definedName>
    <definedName name="Tg_Geri" localSheetId="8">#REF!</definedName>
    <definedName name="Tg_Geri" localSheetId="3">#REF!</definedName>
    <definedName name="Tg_Geri" localSheetId="16">#REF!</definedName>
    <definedName name="Tg_Geri" localSheetId="4">#REF!</definedName>
    <definedName name="Tg_Geri">#REF!</definedName>
    <definedName name="Tg_Kons" localSheetId="5">#REF!</definedName>
    <definedName name="Tg_Kons" localSheetId="6">#REF!</definedName>
    <definedName name="Tg_Kons" localSheetId="7">#REF!</definedName>
    <definedName name="Tg_Kons" localSheetId="9">#REF!</definedName>
    <definedName name="Tg_Kons" localSheetId="12">#REF!</definedName>
    <definedName name="Tg_Kons" localSheetId="11">#REF!</definedName>
    <definedName name="Tg_Kons" localSheetId="10">#REF!</definedName>
    <definedName name="Tg_Kons" localSheetId="14">#REF!</definedName>
    <definedName name="Tg_Kons" localSheetId="13">#REF!</definedName>
    <definedName name="Tg_Kons" localSheetId="8">#REF!</definedName>
    <definedName name="Tg_Kons" localSheetId="3">#REF!</definedName>
    <definedName name="Tg_Kons" localSheetId="16">#REF!</definedName>
    <definedName name="Tg_Kons" localSheetId="4">#REF!</definedName>
    <definedName name="Tg_Kons">#REF!</definedName>
    <definedName name="Tg_Med" localSheetId="5">#REF!</definedName>
    <definedName name="Tg_Med" localSheetId="6">#REF!</definedName>
    <definedName name="Tg_Med" localSheetId="7">#REF!</definedName>
    <definedName name="Tg_Med" localSheetId="9">#REF!</definedName>
    <definedName name="Tg_Med" localSheetId="12">#REF!</definedName>
    <definedName name="Tg_Med" localSheetId="11">#REF!</definedName>
    <definedName name="Tg_Med" localSheetId="10">#REF!</definedName>
    <definedName name="Tg_Med" localSheetId="14">#REF!</definedName>
    <definedName name="Tg_Med" localSheetId="13">#REF!</definedName>
    <definedName name="Tg_Med" localSheetId="8">#REF!</definedName>
    <definedName name="Tg_Med" localSheetId="3">#REF!</definedName>
    <definedName name="Tg_Med" localSheetId="16">#REF!</definedName>
    <definedName name="Tg_Med" localSheetId="4">#REF!</definedName>
    <definedName name="Tg_Med">#REF!</definedName>
    <definedName name="Tg_Neot" localSheetId="5">#REF!</definedName>
    <definedName name="Tg_Neot" localSheetId="6">#REF!</definedName>
    <definedName name="Tg_Neot" localSheetId="7">#REF!</definedName>
    <definedName name="Tg_Neot" localSheetId="9">#REF!</definedName>
    <definedName name="Tg_Neot" localSheetId="12">#REF!</definedName>
    <definedName name="Tg_Neot" localSheetId="11">#REF!</definedName>
    <definedName name="Tg_Neot" localSheetId="10">#REF!</definedName>
    <definedName name="Tg_Neot" localSheetId="14">#REF!</definedName>
    <definedName name="Tg_Neot" localSheetId="13">#REF!</definedName>
    <definedName name="Tg_Neot" localSheetId="8">#REF!</definedName>
    <definedName name="Tg_Neot" localSheetId="3">#REF!</definedName>
    <definedName name="Tg_Neot" localSheetId="16">#REF!</definedName>
    <definedName name="Tg_Neot" localSheetId="4">#REF!</definedName>
    <definedName name="Tg_Neot">#REF!</definedName>
    <definedName name="Tg_Nepr" localSheetId="5">#REF!</definedName>
    <definedName name="Tg_Nepr" localSheetId="6">#REF!</definedName>
    <definedName name="Tg_Nepr" localSheetId="7">#REF!</definedName>
    <definedName name="Tg_Nepr" localSheetId="9">#REF!</definedName>
    <definedName name="Tg_Nepr" localSheetId="12">#REF!</definedName>
    <definedName name="Tg_Nepr" localSheetId="11">#REF!</definedName>
    <definedName name="Tg_Nepr" localSheetId="10">#REF!</definedName>
    <definedName name="Tg_Nepr" localSheetId="14">#REF!</definedName>
    <definedName name="Tg_Nepr" localSheetId="13">#REF!</definedName>
    <definedName name="Tg_Nepr" localSheetId="8">#REF!</definedName>
    <definedName name="Tg_Nepr" localSheetId="3">#REF!</definedName>
    <definedName name="Tg_Nepr" localSheetId="16">#REF!</definedName>
    <definedName name="Tg_Nepr" localSheetId="4">#REF!</definedName>
    <definedName name="Tg_Nepr">#REF!</definedName>
    <definedName name="Tg_Obr" localSheetId="5">#REF!</definedName>
    <definedName name="Tg_Obr" localSheetId="6">#REF!</definedName>
    <definedName name="Tg_Obr" localSheetId="7">#REF!</definedName>
    <definedName name="Tg_Obr" localSheetId="9">#REF!</definedName>
    <definedName name="Tg_Obr" localSheetId="12">#REF!</definedName>
    <definedName name="Tg_Obr" localSheetId="11">#REF!</definedName>
    <definedName name="Tg_Obr" localSheetId="10">#REF!</definedName>
    <definedName name="Tg_Obr" localSheetId="14">#REF!</definedName>
    <definedName name="Tg_Obr" localSheetId="13">#REF!</definedName>
    <definedName name="Tg_Obr" localSheetId="8">#REF!</definedName>
    <definedName name="Tg_Obr" localSheetId="3">#REF!</definedName>
    <definedName name="Tg_Obr" localSheetId="16">#REF!</definedName>
    <definedName name="Tg_Obr" localSheetId="4">#REF!</definedName>
    <definedName name="Tg_Obr">#REF!</definedName>
    <definedName name="Tg_Reestr" localSheetId="5">#REF!</definedName>
    <definedName name="Tg_Reestr" localSheetId="6">#REF!</definedName>
    <definedName name="Tg_Reestr" localSheetId="7">#REF!</definedName>
    <definedName name="Tg_Reestr" localSheetId="9">#REF!</definedName>
    <definedName name="Tg_Reestr" localSheetId="12">#REF!</definedName>
    <definedName name="Tg_Reestr" localSheetId="11">#REF!</definedName>
    <definedName name="Tg_Reestr" localSheetId="10">#REF!</definedName>
    <definedName name="Tg_Reestr" localSheetId="14">#REF!</definedName>
    <definedName name="Tg_Reestr" localSheetId="13">#REF!</definedName>
    <definedName name="Tg_Reestr" localSheetId="8">#REF!</definedName>
    <definedName name="Tg_Reestr" localSheetId="3">#REF!</definedName>
    <definedName name="Tg_Reestr" localSheetId="16">#REF!</definedName>
    <definedName name="Tg_Reestr" localSheetId="4">#REF!</definedName>
    <definedName name="Tg_Reestr">#REF!</definedName>
    <definedName name="TgDs" localSheetId="2">#REF!</definedName>
    <definedName name="TgDs" localSheetId="6">#REF!</definedName>
    <definedName name="TgDs" localSheetId="7">#REF!</definedName>
    <definedName name="TgDs" localSheetId="9">#REF!</definedName>
    <definedName name="TgDs" localSheetId="12">#REF!</definedName>
    <definedName name="TgDs" localSheetId="11">#REF!</definedName>
    <definedName name="TgDs" localSheetId="10">#REF!</definedName>
    <definedName name="TgDs" localSheetId="14">#REF!</definedName>
    <definedName name="TgDs" localSheetId="13">#REF!</definedName>
    <definedName name="TgDs" localSheetId="8">#REF!</definedName>
    <definedName name="TgDs" localSheetId="16">#REF!</definedName>
    <definedName name="TgDs">#REF!</definedName>
    <definedName name="TgSMP" localSheetId="16">#REF!</definedName>
    <definedName name="TgSMP">#REF!</definedName>
    <definedName name="XLRPARAMS_ISP_FIO" hidden="1">[1]XLR_NoRangeSheet!$B$6</definedName>
    <definedName name="XLRPARAMS_MP_NAME" hidden="1">[1]XLR_NoRangeSheet!$D$6</definedName>
    <definedName name="XLRPARAMS_STR_PERIOD" hidden="1">[1]XLR_NoRangeSheet!$C$6</definedName>
    <definedName name="апп" localSheetId="6">#REF!</definedName>
    <definedName name="апп" localSheetId="7">#REF!</definedName>
    <definedName name="апп" localSheetId="9">#REF!</definedName>
    <definedName name="апп" localSheetId="12">#REF!</definedName>
    <definedName name="апп" localSheetId="11">#REF!</definedName>
    <definedName name="апп" localSheetId="10">#REF!</definedName>
    <definedName name="апп" localSheetId="14">#REF!</definedName>
    <definedName name="апп" localSheetId="13">#REF!</definedName>
    <definedName name="апп" localSheetId="8">#REF!</definedName>
    <definedName name="апп" localSheetId="16">#REF!</definedName>
    <definedName name="апп" localSheetId="4">#REF!</definedName>
    <definedName name="апп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13">#REF!</definedName>
    <definedName name="_xlnm.Database" localSheetId="8">#REF!</definedName>
    <definedName name="_xlnm.Database" localSheetId="3">#REF!</definedName>
    <definedName name="_xlnm.Database" localSheetId="16">#REF!</definedName>
    <definedName name="_xlnm.Database" localSheetId="4">#REF!</definedName>
    <definedName name="_xlnm.Database">#REF!</definedName>
    <definedName name="Д" localSheetId="5">[2]Данные!$B$1:$EF$178</definedName>
    <definedName name="Д" localSheetId="7">[3]Данные!$B$1:$EF$178</definedName>
    <definedName name="Д" localSheetId="9">[4]Данные!$B$1:$EF$178</definedName>
    <definedName name="Д" localSheetId="12">[3]Данные!$B$1:$EF$178</definedName>
    <definedName name="Д" localSheetId="11">[3]Данные!$B$1:$EF$178</definedName>
    <definedName name="Д" localSheetId="10">[3]Данные!$B$1:$EF$178</definedName>
    <definedName name="Д" localSheetId="14">[3]Данные!$B$1:$EF$178</definedName>
    <definedName name="Д" localSheetId="13">[3]Данные!$B$1:$EF$178</definedName>
    <definedName name="Д" localSheetId="8">[4]Данные!$B$1:$EF$178</definedName>
    <definedName name="Д" localSheetId="3">[2]Данные!$B$1:$EF$178</definedName>
    <definedName name="Д" localSheetId="16">[5]Данные!$B$1:$EF$178</definedName>
    <definedName name="Д" localSheetId="4">[6]Данные!$B$1:$EF$178</definedName>
    <definedName name="Д">[7]Данные!$B$1:$EF$178</definedName>
    <definedName name="_xlnm.Print_Titles" localSheetId="2">'ДС (пр.19-21)'!$3:$4</definedName>
    <definedName name="_xlnm.Print_Titles" localSheetId="6">'Неотложка Пр.19'!$4:$10</definedName>
    <definedName name="_xlnm.Print_Titles" localSheetId="7">'Обращения Пр.19'!$3:$6</definedName>
    <definedName name="_xlnm.Print_Titles" localSheetId="9">'Проф.диспан.набл.Пр.19-21 '!$2:$7</definedName>
    <definedName name="_xlnm.Print_Titles" localSheetId="12">'Проф.пос.с др.целями Пр.19-21'!$2:$7</definedName>
    <definedName name="_xlnm.Print_Titles" localSheetId="11">'Проф.пос.СМП Пр.19-21'!$2:$7</definedName>
    <definedName name="_xlnm.Print_Titles" localSheetId="10">'Проф.раз.пос.по заб.Пр.19-21'!$2:$7</definedName>
    <definedName name="_xlnm.Print_Titles" localSheetId="14">'Проф.стомат СМП.Пр.19-21'!$2:$7</definedName>
    <definedName name="_xlnm.Print_Titles" localSheetId="13">'Проф.стомат.раз.пос.Пр.19-21'!$2:$7</definedName>
    <definedName name="_xlnm.Print_Titles" localSheetId="8">'Профик.свод Пр.19-21'!$2:$6</definedName>
    <definedName name="ЗД" localSheetId="5">[2]Данные!$BY$3:$DB$3</definedName>
    <definedName name="ЗД" localSheetId="7">[3]Данные!$BY$3:$DB$3</definedName>
    <definedName name="ЗД" localSheetId="9">[4]Данные!$BY$3:$DB$3</definedName>
    <definedName name="ЗД" localSheetId="12">[3]Данные!$BY$3:$DB$3</definedName>
    <definedName name="ЗД" localSheetId="11">[3]Данные!$BY$3:$DB$3</definedName>
    <definedName name="ЗД" localSheetId="10">[3]Данные!$BY$3:$DB$3</definedName>
    <definedName name="ЗД" localSheetId="14">[3]Данные!$BY$3:$DB$3</definedName>
    <definedName name="ЗД" localSheetId="13">[3]Данные!$BY$3:$DB$3</definedName>
    <definedName name="ЗД" localSheetId="8">[4]Данные!$BY$3:$DB$3</definedName>
    <definedName name="ЗД" localSheetId="3">[2]Данные!$BY$3:$DB$3</definedName>
    <definedName name="ЗД" localSheetId="16">[5]Данные!$BY$3:$DB$3</definedName>
    <definedName name="ЗД" localSheetId="4">[6]Данные!$BY$3:$DB$3</definedName>
    <definedName name="ЗД">[7]Данные!$BY$3:$DB$3</definedName>
    <definedName name="мирир" localSheetId="6">#REF!</definedName>
    <definedName name="мирир" localSheetId="7">#REF!</definedName>
    <definedName name="мирир" localSheetId="9">#REF!</definedName>
    <definedName name="мирир" localSheetId="12">#REF!</definedName>
    <definedName name="мирир" localSheetId="11">#REF!</definedName>
    <definedName name="мирир" localSheetId="10">#REF!</definedName>
    <definedName name="мирир" localSheetId="14">#REF!</definedName>
    <definedName name="мирир" localSheetId="13">#REF!</definedName>
    <definedName name="мирир" localSheetId="8">#REF!</definedName>
    <definedName name="мирир" localSheetId="16">#REF!</definedName>
    <definedName name="мирир" localSheetId="4">#REF!</definedName>
    <definedName name="мирир">#REF!</definedName>
    <definedName name="_xlnm.Print_Area" localSheetId="6">'Неотложка Пр.19'!$A$1:$Q$112</definedName>
    <definedName name="_xlnm.Print_Area" localSheetId="7">'Обращения Пр.19'!$A$1:$AG$159</definedName>
    <definedName name="_xlnm.Print_Area" localSheetId="4">'ЭИ, ПАИ, МГИ Пр.19-21'!$A$1:$Y$102</definedName>
    <definedName name="ппорь" localSheetId="5">#REF!</definedName>
    <definedName name="ппорь" localSheetId="6">#REF!</definedName>
    <definedName name="ппорь" localSheetId="7">#REF!</definedName>
    <definedName name="ппорь" localSheetId="9">#REF!</definedName>
    <definedName name="ппорь" localSheetId="12">#REF!</definedName>
    <definedName name="ппорь" localSheetId="11">#REF!</definedName>
    <definedName name="ппорь" localSheetId="10">#REF!</definedName>
    <definedName name="ппорь" localSheetId="14">#REF!</definedName>
    <definedName name="ппорь" localSheetId="13">#REF!</definedName>
    <definedName name="ппорь" localSheetId="8">#REF!</definedName>
    <definedName name="ппорь" localSheetId="3">#REF!</definedName>
    <definedName name="ппорь" localSheetId="16">#REF!</definedName>
    <definedName name="ппорь" localSheetId="4">#REF!</definedName>
    <definedName name="ппорь">#REF!</definedName>
    <definedName name="смп" localSheetId="6">#REF!</definedName>
    <definedName name="смп" localSheetId="7">#REF!</definedName>
    <definedName name="смп" localSheetId="9">#REF!</definedName>
    <definedName name="смп" localSheetId="12">#REF!</definedName>
    <definedName name="смп" localSheetId="11">#REF!</definedName>
    <definedName name="смп" localSheetId="10">#REF!</definedName>
    <definedName name="смп" localSheetId="14">#REF!</definedName>
    <definedName name="смп" localSheetId="13">#REF!</definedName>
    <definedName name="смп" localSheetId="8">#REF!</definedName>
    <definedName name="смп" localSheetId="3">#REF!</definedName>
    <definedName name="смп" localSheetId="16">#REF!</definedName>
    <definedName name="смп">#REF!</definedName>
    <definedName name="стер" localSheetId="6">#REF!</definedName>
    <definedName name="стер" localSheetId="7">#REF!</definedName>
    <definedName name="стер" localSheetId="14">#REF!</definedName>
    <definedName name="стер" localSheetId="13">#REF!</definedName>
    <definedName name="стер" localSheetId="16">#REF!</definedName>
    <definedName name="стер">#REF!</definedName>
    <definedName name="ттттт" localSheetId="6">#REF!</definedName>
    <definedName name="ттттт" localSheetId="7">#REF!</definedName>
    <definedName name="ттттт" localSheetId="9">#REF!</definedName>
    <definedName name="ттттт" localSheetId="12">#REF!</definedName>
    <definedName name="ттттт" localSheetId="11">#REF!</definedName>
    <definedName name="ттттт" localSheetId="10">#REF!</definedName>
    <definedName name="ттттт" localSheetId="14">#REF!</definedName>
    <definedName name="ттттт" localSheetId="13">#REF!</definedName>
    <definedName name="ттттт" localSheetId="8">#REF!</definedName>
    <definedName name="ттттт" localSheetId="16">#REF!</definedName>
    <definedName name="ттттт" localSheetId="4">#REF!</definedName>
    <definedName name="ттттт">#REF!</definedName>
    <definedName name="ФЗ" localSheetId="5">[2]Данные!$DC$3:$EF$3</definedName>
    <definedName name="ФЗ" localSheetId="7">[3]Данные!$DC$3:$EF$3</definedName>
    <definedName name="ФЗ" localSheetId="9">[4]Данные!$DC$3:$EF$3</definedName>
    <definedName name="ФЗ" localSheetId="12">[3]Данные!$DC$3:$EF$3</definedName>
    <definedName name="ФЗ" localSheetId="11">[3]Данные!$DC$3:$EF$3</definedName>
    <definedName name="ФЗ" localSheetId="10">[3]Данные!$DC$3:$EF$3</definedName>
    <definedName name="ФЗ" localSheetId="14">[3]Данные!$DC$3:$EF$3</definedName>
    <definedName name="ФЗ" localSheetId="13">[3]Данные!$DC$3:$EF$3</definedName>
    <definedName name="ФЗ" localSheetId="8">[4]Данные!$DC$3:$EF$3</definedName>
    <definedName name="ФЗ" localSheetId="3">[2]Данные!$DC$3:$EF$3</definedName>
    <definedName name="ФЗ" localSheetId="16">[5]Данные!$DC$3:$EF$3</definedName>
    <definedName name="ФЗ" localSheetId="4">[6]Данные!$DC$3:$EF$3</definedName>
    <definedName name="ФЗ">[7]Данные!$DC$3:$EF$3</definedName>
    <definedName name="Шт" localSheetId="5">[2]Данные!$AU$3:$BX$3</definedName>
    <definedName name="Шт" localSheetId="7">[3]Данные!$AU$3:$BX$3</definedName>
    <definedName name="Шт" localSheetId="9">[4]Данные!$AU$3:$BX$3</definedName>
    <definedName name="Шт" localSheetId="12">[3]Данные!$AU$3:$BX$3</definedName>
    <definedName name="Шт" localSheetId="11">[3]Данные!$AU$3:$BX$3</definedName>
    <definedName name="Шт" localSheetId="10">[3]Данные!$AU$3:$BX$3</definedName>
    <definedName name="Шт" localSheetId="14">[3]Данные!$AU$3:$BX$3</definedName>
    <definedName name="Шт" localSheetId="13">[3]Данные!$AU$3:$BX$3</definedName>
    <definedName name="Шт" localSheetId="8">[4]Данные!$AU$3:$BX$3</definedName>
    <definedName name="Шт" localSheetId="3">[2]Данные!$AU$3:$BX$3</definedName>
    <definedName name="Шт" localSheetId="16">[5]Данные!$AU$3:$BX$3</definedName>
    <definedName name="Шт" localSheetId="4">[6]Данные!$AU$3:$BX$3</definedName>
    <definedName name="Шт">[7]Данные!$AU$3:$BX$3</definedName>
    <definedName name="ЭКО" localSheetId="5">#REF!</definedName>
    <definedName name="ЭКО" localSheetId="6">#REF!</definedName>
    <definedName name="ЭКО" localSheetId="7">#REF!</definedName>
    <definedName name="ЭКО" localSheetId="9">#REF!</definedName>
    <definedName name="ЭКО" localSheetId="12">#REF!</definedName>
    <definedName name="ЭКО" localSheetId="11">#REF!</definedName>
    <definedName name="ЭКО" localSheetId="10">#REF!</definedName>
    <definedName name="ЭКО" localSheetId="14">#REF!</definedName>
    <definedName name="ЭКО" localSheetId="13">#REF!</definedName>
    <definedName name="ЭКО" localSheetId="8">#REF!</definedName>
    <definedName name="ЭКО" localSheetId="3">#REF!</definedName>
    <definedName name="ЭКО" localSheetId="16">#REF!</definedName>
    <definedName name="ЭКО" localSheetId="4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9" i="96" l="1"/>
  <c r="E78" i="96"/>
  <c r="E77" i="96"/>
  <c r="E75" i="96"/>
  <c r="E74" i="96"/>
  <c r="E70" i="96"/>
  <c r="E68" i="96"/>
  <c r="E67" i="96"/>
  <c r="E66" i="96"/>
  <c r="E65" i="96" s="1"/>
  <c r="E53" i="96"/>
  <c r="E51" i="96"/>
  <c r="E48" i="96"/>
  <c r="E46" i="96" s="1"/>
  <c r="E43" i="96"/>
  <c r="E41" i="96"/>
  <c r="E40" i="96"/>
  <c r="E39" i="96" s="1"/>
  <c r="E33" i="96"/>
  <c r="E32" i="96" s="1"/>
  <c r="E31" i="96"/>
  <c r="E30" i="96"/>
  <c r="E29" i="96"/>
  <c r="E26" i="96"/>
  <c r="E23" i="96"/>
  <c r="E22" i="96"/>
  <c r="E19" i="96"/>
  <c r="E17" i="96"/>
  <c r="E16" i="96"/>
  <c r="E15" i="96"/>
  <c r="E13" i="96"/>
  <c r="E12" i="96" s="1"/>
  <c r="E11" i="96"/>
  <c r="E10" i="96"/>
  <c r="E9" i="96"/>
  <c r="E7" i="96" s="1"/>
  <c r="E4" i="96"/>
  <c r="E82" i="96" l="1"/>
  <c r="D55" i="98"/>
  <c r="D54" i="98"/>
  <c r="D53" i="98"/>
  <c r="D52" i="98"/>
  <c r="D51" i="98"/>
  <c r="D50" i="98"/>
  <c r="D49" i="98"/>
  <c r="D48" i="98"/>
  <c r="D47" i="98"/>
  <c r="D46" i="98"/>
  <c r="D45" i="98"/>
  <c r="D44" i="98"/>
  <c r="D43" i="98"/>
  <c r="D42" i="98"/>
  <c r="D41" i="98"/>
  <c r="D40" i="98"/>
  <c r="D39" i="98"/>
  <c r="D38" i="98"/>
  <c r="D37" i="98"/>
  <c r="D36" i="98"/>
  <c r="D35" i="98"/>
  <c r="D34" i="98"/>
  <c r="D33" i="98"/>
  <c r="D32" i="98"/>
  <c r="D31" i="98"/>
  <c r="D30" i="98"/>
  <c r="D29" i="98"/>
  <c r="D28" i="98"/>
  <c r="D27" i="98"/>
  <c r="D26" i="98"/>
  <c r="D25" i="98"/>
  <c r="D24" i="98"/>
  <c r="D23" i="98"/>
  <c r="D22" i="98"/>
  <c r="D21" i="98"/>
  <c r="D20" i="98"/>
  <c r="D19" i="98"/>
  <c r="D18" i="98"/>
  <c r="D17" i="98"/>
  <c r="D16" i="98"/>
  <c r="D15" i="98"/>
  <c r="D14" i="98"/>
  <c r="D13" i="98"/>
  <c r="D12" i="98"/>
  <c r="I11" i="98"/>
  <c r="H11" i="98"/>
  <c r="G11" i="98"/>
  <c r="F11" i="98"/>
  <c r="E11" i="98"/>
  <c r="I10" i="98"/>
  <c r="H10" i="98"/>
  <c r="G10" i="98" s="1"/>
  <c r="I9" i="98"/>
  <c r="D11" i="98" l="1"/>
  <c r="D9" i="98" s="1"/>
  <c r="F10" i="98"/>
  <c r="G9" i="98"/>
  <c r="H9" i="98"/>
  <c r="E10" i="98" l="1"/>
  <c r="E9" i="98" s="1"/>
  <c r="F9" i="98"/>
  <c r="J269" i="97" l="1"/>
  <c r="F269" i="97"/>
  <c r="E269" i="97"/>
  <c r="I269" i="97" s="1"/>
  <c r="H268" i="97"/>
  <c r="G268" i="97"/>
  <c r="E268" i="97"/>
  <c r="L268" i="97" s="1"/>
  <c r="J267" i="97"/>
  <c r="H267" i="97"/>
  <c r="G267" i="97"/>
  <c r="E267" i="97"/>
  <c r="J266" i="97"/>
  <c r="L266" i="97" s="1"/>
  <c r="I266" i="97"/>
  <c r="J265" i="97"/>
  <c r="J264" i="97"/>
  <c r="J262" i="97"/>
  <c r="J261" i="97"/>
  <c r="J257" i="97"/>
  <c r="J255" i="97"/>
  <c r="J254" i="97"/>
  <c r="J253" i="97"/>
  <c r="J252" i="97"/>
  <c r="K249" i="97"/>
  <c r="K247" i="97" s="1"/>
  <c r="J249" i="97"/>
  <c r="F249" i="97"/>
  <c r="E249" i="97"/>
  <c r="G248" i="97"/>
  <c r="G247" i="97" s="1"/>
  <c r="E248" i="97"/>
  <c r="J245" i="97"/>
  <c r="J244" i="97"/>
  <c r="J243" i="97"/>
  <c r="J240" i="97"/>
  <c r="J239" i="97"/>
  <c r="J238" i="97"/>
  <c r="J234" i="97"/>
  <c r="J233" i="97"/>
  <c r="J232" i="97"/>
  <c r="J231" i="97"/>
  <c r="J229" i="97"/>
  <c r="F229" i="97"/>
  <c r="F227" i="97" s="1"/>
  <c r="E229" i="97"/>
  <c r="I229" i="97" s="1"/>
  <c r="H228" i="97"/>
  <c r="H227" i="97" s="1"/>
  <c r="G228" i="97"/>
  <c r="G227" i="97" s="1"/>
  <c r="E228" i="97"/>
  <c r="K227" i="97"/>
  <c r="J226" i="97"/>
  <c r="E226" i="97"/>
  <c r="E218" i="97"/>
  <c r="J217" i="97"/>
  <c r="J214" i="97"/>
  <c r="J213" i="97"/>
  <c r="J212" i="97"/>
  <c r="J211" i="97"/>
  <c r="J210" i="97"/>
  <c r="J209" i="97"/>
  <c r="J208" i="97"/>
  <c r="J206" i="97"/>
  <c r="F206" i="97"/>
  <c r="E206" i="97"/>
  <c r="F205" i="97"/>
  <c r="F204" i="97" s="1"/>
  <c r="E205" i="97"/>
  <c r="G204" i="97"/>
  <c r="J203" i="97"/>
  <c r="J201" i="97"/>
  <c r="J199" i="97"/>
  <c r="J196" i="97"/>
  <c r="F196" i="97"/>
  <c r="E196" i="97"/>
  <c r="I196" i="97" s="1"/>
  <c r="H195" i="97"/>
  <c r="H194" i="97" s="1"/>
  <c r="G195" i="97"/>
  <c r="G194" i="97" s="1"/>
  <c r="F195" i="97"/>
  <c r="F194" i="97" s="1"/>
  <c r="E195" i="97"/>
  <c r="J193" i="97"/>
  <c r="J191" i="97"/>
  <c r="J190" i="97"/>
  <c r="J187" i="97"/>
  <c r="H187" i="97"/>
  <c r="E187" i="97"/>
  <c r="G186" i="97"/>
  <c r="G185" i="97" s="1"/>
  <c r="E186" i="97"/>
  <c r="H185" i="97"/>
  <c r="F185" i="97"/>
  <c r="J183" i="97"/>
  <c r="J182" i="97"/>
  <c r="J179" i="97"/>
  <c r="E179" i="97"/>
  <c r="I179" i="97" s="1"/>
  <c r="H178" i="97"/>
  <c r="H176" i="97" s="1"/>
  <c r="E178" i="97"/>
  <c r="L178" i="97" s="1"/>
  <c r="G177" i="97"/>
  <c r="G176" i="97" s="1"/>
  <c r="F177" i="97"/>
  <c r="F176" i="97" s="1"/>
  <c r="E177" i="97"/>
  <c r="J174" i="97"/>
  <c r="J170" i="97"/>
  <c r="E170" i="97"/>
  <c r="I170" i="97" s="1"/>
  <c r="E169" i="97"/>
  <c r="G168" i="97"/>
  <c r="F168" i="97"/>
  <c r="J164" i="97"/>
  <c r="J162" i="97" s="1"/>
  <c r="E164" i="97"/>
  <c r="E163" i="97"/>
  <c r="I163" i="97" s="1"/>
  <c r="G162" i="97"/>
  <c r="F162" i="97"/>
  <c r="J152" i="97"/>
  <c r="J150" i="97" s="1"/>
  <c r="E152" i="97"/>
  <c r="I152" i="97" s="1"/>
  <c r="I151" i="97"/>
  <c r="E151" i="97"/>
  <c r="G150" i="97"/>
  <c r="F150" i="97"/>
  <c r="E150" i="97"/>
  <c r="J139" i="97"/>
  <c r="J137" i="97" s="1"/>
  <c r="F139" i="97"/>
  <c r="E139" i="97"/>
  <c r="F138" i="97"/>
  <c r="E138" i="97"/>
  <c r="G137" i="97"/>
  <c r="J136" i="97"/>
  <c r="J135" i="97"/>
  <c r="J133" i="97" s="1"/>
  <c r="F135" i="97"/>
  <c r="E135" i="97"/>
  <c r="I135" i="97" s="1"/>
  <c r="F134" i="97"/>
  <c r="F133" i="97" s="1"/>
  <c r="E134" i="97"/>
  <c r="K133" i="97"/>
  <c r="G133" i="97"/>
  <c r="J132" i="97"/>
  <c r="E131" i="97"/>
  <c r="I131" i="97" s="1"/>
  <c r="E130" i="97"/>
  <c r="J129" i="97"/>
  <c r="G129" i="97"/>
  <c r="F129" i="97"/>
  <c r="J128" i="97"/>
  <c r="E128" i="97"/>
  <c r="H127" i="97"/>
  <c r="H126" i="97" s="1"/>
  <c r="E127" i="97"/>
  <c r="J126" i="97"/>
  <c r="G126" i="97"/>
  <c r="F126" i="97"/>
  <c r="E125" i="97"/>
  <c r="L125" i="97" s="1"/>
  <c r="J123" i="97"/>
  <c r="J122" i="97"/>
  <c r="J121" i="97"/>
  <c r="J120" i="97"/>
  <c r="F120" i="97"/>
  <c r="E120" i="97"/>
  <c r="H119" i="97"/>
  <c r="H118" i="97" s="1"/>
  <c r="F119" i="97"/>
  <c r="E119" i="97"/>
  <c r="I119" i="97" s="1"/>
  <c r="G118" i="97"/>
  <c r="J116" i="97"/>
  <c r="J114" i="97" s="1"/>
  <c r="E116" i="97"/>
  <c r="H115" i="97"/>
  <c r="H114" i="97" s="1"/>
  <c r="G115" i="97"/>
  <c r="G114" i="97" s="1"/>
  <c r="E115" i="97"/>
  <c r="F114" i="97"/>
  <c r="J113" i="97"/>
  <c r="J109" i="97"/>
  <c r="J108" i="97"/>
  <c r="J107" i="97"/>
  <c r="J106" i="97"/>
  <c r="J105" i="97"/>
  <c r="F105" i="97"/>
  <c r="E105" i="97"/>
  <c r="I105" i="97" s="1"/>
  <c r="F104" i="97"/>
  <c r="F103" i="97" s="1"/>
  <c r="E104" i="97"/>
  <c r="E103" i="97" s="1"/>
  <c r="K103" i="97"/>
  <c r="G103" i="97"/>
  <c r="J101" i="97"/>
  <c r="E100" i="97"/>
  <c r="H99" i="97"/>
  <c r="H98" i="97" s="1"/>
  <c r="F99" i="97"/>
  <c r="F98" i="97" s="1"/>
  <c r="E99" i="97"/>
  <c r="G98" i="97"/>
  <c r="L95" i="97"/>
  <c r="I95" i="97"/>
  <c r="J94" i="97"/>
  <c r="J92" i="97" s="1"/>
  <c r="E94" i="97"/>
  <c r="I94" i="97" s="1"/>
  <c r="H93" i="97"/>
  <c r="H92" i="97" s="1"/>
  <c r="F93" i="97"/>
  <c r="F92" i="97" s="1"/>
  <c r="E93" i="97"/>
  <c r="E92" i="97" s="1"/>
  <c r="G92" i="97"/>
  <c r="J90" i="97"/>
  <c r="J89" i="97"/>
  <c r="F89" i="97"/>
  <c r="E89" i="97"/>
  <c r="H88" i="97"/>
  <c r="H87" i="97" s="1"/>
  <c r="G88" i="97"/>
  <c r="F88" i="97"/>
  <c r="E88" i="97"/>
  <c r="K87" i="97"/>
  <c r="G87" i="97"/>
  <c r="J86" i="97"/>
  <c r="J85" i="97"/>
  <c r="E85" i="97"/>
  <c r="H84" i="97"/>
  <c r="H83" i="97" s="1"/>
  <c r="G84" i="97"/>
  <c r="G83" i="97" s="1"/>
  <c r="F84" i="97"/>
  <c r="E84" i="97"/>
  <c r="F83" i="97"/>
  <c r="J81" i="97"/>
  <c r="J80" i="97"/>
  <c r="E80" i="97"/>
  <c r="I80" i="97" s="1"/>
  <c r="H79" i="97"/>
  <c r="H78" i="97" s="1"/>
  <c r="G79" i="97"/>
  <c r="F79" i="97"/>
  <c r="F78" i="97" s="1"/>
  <c r="E79" i="97"/>
  <c r="E78" i="97" s="1"/>
  <c r="G78" i="97"/>
  <c r="L73" i="97"/>
  <c r="I73" i="97"/>
  <c r="L72" i="97"/>
  <c r="I72" i="97"/>
  <c r="H71" i="97"/>
  <c r="F71" i="97"/>
  <c r="F70" i="97" s="1"/>
  <c r="E71" i="97"/>
  <c r="E70" i="97" s="1"/>
  <c r="J70" i="97"/>
  <c r="H70" i="97"/>
  <c r="G70" i="97"/>
  <c r="L69" i="97"/>
  <c r="I69" i="97"/>
  <c r="L68" i="97"/>
  <c r="H68" i="97"/>
  <c r="H67" i="97" s="1"/>
  <c r="F68" i="97"/>
  <c r="J67" i="97"/>
  <c r="G67" i="97"/>
  <c r="F67" i="97"/>
  <c r="E67" i="97"/>
  <c r="J66" i="97"/>
  <c r="E66" i="97"/>
  <c r="G65" i="97"/>
  <c r="E65" i="97"/>
  <c r="H64" i="97"/>
  <c r="F64" i="97"/>
  <c r="E64" i="97"/>
  <c r="L64" i="97" s="1"/>
  <c r="H63" i="97"/>
  <c r="F63" i="97"/>
  <c r="E63" i="97"/>
  <c r="L63" i="97" s="1"/>
  <c r="H62" i="97"/>
  <c r="F62" i="97"/>
  <c r="E62" i="97"/>
  <c r="L62" i="97" s="1"/>
  <c r="H61" i="97"/>
  <c r="F61" i="97"/>
  <c r="E61" i="97"/>
  <c r="F60" i="97"/>
  <c r="E60" i="97"/>
  <c r="H59" i="97"/>
  <c r="F59" i="97"/>
  <c r="E59" i="97"/>
  <c r="L59" i="97" s="1"/>
  <c r="H58" i="97"/>
  <c r="F58" i="97"/>
  <c r="E58" i="97"/>
  <c r="L58" i="97" s="1"/>
  <c r="H57" i="97"/>
  <c r="F57" i="97"/>
  <c r="E57" i="97"/>
  <c r="L57" i="97" s="1"/>
  <c r="H56" i="97"/>
  <c r="F56" i="97"/>
  <c r="E56" i="97"/>
  <c r="L55" i="97"/>
  <c r="H54" i="97"/>
  <c r="E54" i="97"/>
  <c r="L54" i="97" s="1"/>
  <c r="M53" i="97"/>
  <c r="M52" i="97"/>
  <c r="E51" i="97"/>
  <c r="L51" i="97" s="1"/>
  <c r="H50" i="97"/>
  <c r="G50" i="97"/>
  <c r="E50" i="97"/>
  <c r="L50" i="97" s="1"/>
  <c r="E49" i="97"/>
  <c r="L49" i="97" s="1"/>
  <c r="F48" i="97"/>
  <c r="E48" i="97"/>
  <c r="L48" i="97" s="1"/>
  <c r="I47" i="97"/>
  <c r="E47" i="97"/>
  <c r="L47" i="97" s="1"/>
  <c r="F46" i="97"/>
  <c r="E46" i="97"/>
  <c r="L46" i="97" s="1"/>
  <c r="L45" i="97"/>
  <c r="H45" i="97"/>
  <c r="I45" i="97" s="1"/>
  <c r="F44" i="97"/>
  <c r="E44" i="97"/>
  <c r="L43" i="97"/>
  <c r="E43" i="97"/>
  <c r="I43" i="97" s="1"/>
  <c r="E42" i="97"/>
  <c r="L42" i="97" s="1"/>
  <c r="E41" i="97"/>
  <c r="L41" i="97" s="1"/>
  <c r="I40" i="97"/>
  <c r="E40" i="97"/>
  <c r="L40" i="97" s="1"/>
  <c r="E39" i="97"/>
  <c r="I39" i="97" s="1"/>
  <c r="E38" i="97"/>
  <c r="L38" i="97" s="1"/>
  <c r="F37" i="97"/>
  <c r="E37" i="97"/>
  <c r="L37" i="97" s="1"/>
  <c r="E36" i="97"/>
  <c r="L36" i="97" s="1"/>
  <c r="F35" i="97"/>
  <c r="E35" i="97"/>
  <c r="E34" i="97"/>
  <c r="L34" i="97" s="1"/>
  <c r="E33" i="97"/>
  <c r="E32" i="97"/>
  <c r="L32" i="97" s="1"/>
  <c r="H31" i="97"/>
  <c r="E31" i="97"/>
  <c r="L31" i="97" s="1"/>
  <c r="F30" i="97"/>
  <c r="I30" i="97" s="1"/>
  <c r="E30" i="97"/>
  <c r="L30" i="97" s="1"/>
  <c r="E29" i="97"/>
  <c r="I29" i="97" s="1"/>
  <c r="E28" i="97"/>
  <c r="E27" i="97"/>
  <c r="I27" i="97" s="1"/>
  <c r="H26" i="97"/>
  <c r="E26" i="97"/>
  <c r="L26" i="97" s="1"/>
  <c r="E25" i="97"/>
  <c r="L25" i="97" s="1"/>
  <c r="E24" i="97"/>
  <c r="E23" i="97"/>
  <c r="L23" i="97" s="1"/>
  <c r="E22" i="97"/>
  <c r="L21" i="97"/>
  <c r="I21" i="97"/>
  <c r="E21" i="97"/>
  <c r="E20" i="97"/>
  <c r="I20" i="97" s="1"/>
  <c r="F19" i="97"/>
  <c r="I19" i="97" s="1"/>
  <c r="E19" i="97"/>
  <c r="L19" i="97" s="1"/>
  <c r="E18" i="97"/>
  <c r="L18" i="97" s="1"/>
  <c r="E17" i="97"/>
  <c r="I17" i="97" s="1"/>
  <c r="H16" i="97"/>
  <c r="E16" i="97"/>
  <c r="L16" i="97" s="1"/>
  <c r="E15" i="97"/>
  <c r="L15" i="97" s="1"/>
  <c r="E14" i="97"/>
  <c r="L14" i="97" s="1"/>
  <c r="F13" i="97"/>
  <c r="E13" i="97"/>
  <c r="L13" i="97" s="1"/>
  <c r="E12" i="97"/>
  <c r="H11" i="97"/>
  <c r="E11" i="97"/>
  <c r="E10" i="97"/>
  <c r="I10" i="97" s="1"/>
  <c r="E9" i="97"/>
  <c r="E8" i="97"/>
  <c r="L8" i="97" s="1"/>
  <c r="E7" i="97"/>
  <c r="I7" i="97" s="1"/>
  <c r="E6" i="97"/>
  <c r="L6" i="97" s="1"/>
  <c r="E5" i="97"/>
  <c r="Z77" i="96"/>
  <c r="Z79" i="96"/>
  <c r="Z74" i="96"/>
  <c r="Z65" i="96"/>
  <c r="Z68" i="96"/>
  <c r="Z39" i="96"/>
  <c r="Z43" i="96"/>
  <c r="Z46" i="96"/>
  <c r="Z51" i="96"/>
  <c r="Z32" i="96"/>
  <c r="Z7" i="96"/>
  <c r="Z10" i="96"/>
  <c r="Z12" i="96"/>
  <c r="Z15" i="96"/>
  <c r="Z17" i="96"/>
  <c r="Z19" i="96"/>
  <c r="Z22" i="96"/>
  <c r="Z29" i="96"/>
  <c r="Z4" i="96"/>
  <c r="I38" i="97" l="1"/>
  <c r="L29" i="97"/>
  <c r="I31" i="97"/>
  <c r="I46" i="97"/>
  <c r="I206" i="97"/>
  <c r="E133" i="97"/>
  <c r="L128" i="97"/>
  <c r="K139" i="97"/>
  <c r="K137" i="97" s="1"/>
  <c r="K270" i="97" s="1"/>
  <c r="L139" i="97"/>
  <c r="J78" i="97"/>
  <c r="L17" i="97"/>
  <c r="I32" i="97"/>
  <c r="I42" i="97"/>
  <c r="I51" i="97"/>
  <c r="L67" i="97"/>
  <c r="I68" i="97"/>
  <c r="I67" i="97" s="1"/>
  <c r="F118" i="97"/>
  <c r="J118" i="97"/>
  <c r="I128" i="97"/>
  <c r="I139" i="97"/>
  <c r="E247" i="97"/>
  <c r="L7" i="97"/>
  <c r="L10" i="97"/>
  <c r="E98" i="97"/>
  <c r="E126" i="97"/>
  <c r="E137" i="97"/>
  <c r="I150" i="97"/>
  <c r="I11" i="97"/>
  <c r="I56" i="97"/>
  <c r="L66" i="97"/>
  <c r="J83" i="97"/>
  <c r="I88" i="97"/>
  <c r="I104" i="97"/>
  <c r="I103" i="97" s="1"/>
  <c r="I115" i="97"/>
  <c r="J87" i="97"/>
  <c r="L126" i="97"/>
  <c r="L127" i="97" s="1"/>
  <c r="L267" i="97"/>
  <c r="L89" i="97"/>
  <c r="L133" i="97"/>
  <c r="L164" i="97"/>
  <c r="J227" i="97"/>
  <c r="F137" i="97"/>
  <c r="I6" i="97"/>
  <c r="I15" i="97"/>
  <c r="I16" i="97"/>
  <c r="L20" i="97"/>
  <c r="I25" i="97"/>
  <c r="I26" i="97"/>
  <c r="I36" i="97"/>
  <c r="I37" i="97"/>
  <c r="I49" i="97"/>
  <c r="L70" i="97"/>
  <c r="L71" i="97" s="1"/>
  <c r="I71" i="97"/>
  <c r="I70" i="97" s="1"/>
  <c r="E87" i="97"/>
  <c r="I100" i="97"/>
  <c r="E118" i="97"/>
  <c r="L131" i="97"/>
  <c r="I134" i="97"/>
  <c r="I133" i="97" s="1"/>
  <c r="I164" i="97"/>
  <c r="I162" i="97" s="1"/>
  <c r="J168" i="97"/>
  <c r="L187" i="97"/>
  <c r="I228" i="97"/>
  <c r="I227" i="97" s="1"/>
  <c r="I13" i="97"/>
  <c r="I48" i="97"/>
  <c r="M270" i="97"/>
  <c r="I54" i="97"/>
  <c r="I58" i="97"/>
  <c r="I63" i="97"/>
  <c r="I84" i="97"/>
  <c r="L100" i="97"/>
  <c r="L105" i="97"/>
  <c r="I125" i="97"/>
  <c r="I127" i="97"/>
  <c r="E129" i="97"/>
  <c r="L129" i="97" s="1"/>
  <c r="L135" i="97"/>
  <c r="L134" i="97" s="1"/>
  <c r="I138" i="97"/>
  <c r="I137" i="97" s="1"/>
  <c r="E162" i="97"/>
  <c r="L162" i="97" s="1"/>
  <c r="L170" i="97"/>
  <c r="I187" i="97"/>
  <c r="I195" i="97"/>
  <c r="I194" i="97" s="1"/>
  <c r="L206" i="97"/>
  <c r="E227" i="97"/>
  <c r="I249" i="97"/>
  <c r="I44" i="97"/>
  <c r="I50" i="97"/>
  <c r="L56" i="97"/>
  <c r="I57" i="97"/>
  <c r="I62" i="97"/>
  <c r="I79" i="97"/>
  <c r="I78" i="97" s="1"/>
  <c r="I93" i="97"/>
  <c r="I92" i="97" s="1"/>
  <c r="J176" i="97"/>
  <c r="L249" i="97"/>
  <c r="I267" i="97"/>
  <c r="L269" i="97"/>
  <c r="J98" i="97"/>
  <c r="L98" i="97" s="1"/>
  <c r="J185" i="97"/>
  <c r="L229" i="97"/>
  <c r="J247" i="97"/>
  <c r="L118" i="97"/>
  <c r="L119" i="97" s="1"/>
  <c r="L78" i="97"/>
  <c r="L92" i="97"/>
  <c r="L120" i="97"/>
  <c r="L226" i="97"/>
  <c r="L65" i="97"/>
  <c r="I65" i="97"/>
  <c r="L5" i="97"/>
  <c r="I5" i="97"/>
  <c r="L12" i="97"/>
  <c r="I12" i="97"/>
  <c r="L24" i="97"/>
  <c r="I24" i="97"/>
  <c r="H270" i="97"/>
  <c r="F87" i="97"/>
  <c r="I89" i="97"/>
  <c r="I22" i="97"/>
  <c r="L22" i="97"/>
  <c r="L9" i="97"/>
  <c r="I9" i="97"/>
  <c r="L35" i="97"/>
  <c r="I35" i="97"/>
  <c r="L116" i="97"/>
  <c r="I116" i="97"/>
  <c r="I114" i="97" s="1"/>
  <c r="E114" i="97"/>
  <c r="L114" i="97" s="1"/>
  <c r="L28" i="97"/>
  <c r="I28" i="97"/>
  <c r="I33" i="97"/>
  <c r="L33" i="97"/>
  <c r="I61" i="97"/>
  <c r="L61" i="97"/>
  <c r="L85" i="97"/>
  <c r="E83" i="97"/>
  <c r="I85" i="97"/>
  <c r="I83" i="97" s="1"/>
  <c r="L247" i="97"/>
  <c r="I99" i="97"/>
  <c r="I130" i="97"/>
  <c r="I129" i="97" s="1"/>
  <c r="L152" i="97"/>
  <c r="E168" i="97"/>
  <c r="I169" i="97"/>
  <c r="I168" i="97" s="1"/>
  <c r="I186" i="97"/>
  <c r="E185" i="97"/>
  <c r="L196" i="97"/>
  <c r="I248" i="97"/>
  <c r="E194" i="97"/>
  <c r="L137" i="97"/>
  <c r="L179" i="97"/>
  <c r="J194" i="97"/>
  <c r="L218" i="97"/>
  <c r="I218" i="97"/>
  <c r="F247" i="97"/>
  <c r="I8" i="97"/>
  <c r="I14" i="97"/>
  <c r="I18" i="97"/>
  <c r="L39" i="97"/>
  <c r="I41" i="97"/>
  <c r="L60" i="97"/>
  <c r="I60" i="97"/>
  <c r="G270" i="97"/>
  <c r="F270" i="97"/>
  <c r="L80" i="97"/>
  <c r="L11" i="97"/>
  <c r="I23" i="97"/>
  <c r="L27" i="97"/>
  <c r="I34" i="97"/>
  <c r="L44" i="97"/>
  <c r="I66" i="97"/>
  <c r="L94" i="97"/>
  <c r="L93" i="97" s="1"/>
  <c r="J103" i="97"/>
  <c r="L103" i="97" s="1"/>
  <c r="I120" i="97"/>
  <c r="L150" i="97"/>
  <c r="L151" i="97" s="1"/>
  <c r="E176" i="97"/>
  <c r="I177" i="97"/>
  <c r="I176" i="97" s="1"/>
  <c r="I205" i="97"/>
  <c r="E204" i="97"/>
  <c r="J204" i="97"/>
  <c r="I226" i="97"/>
  <c r="I268" i="97"/>
  <c r="I59" i="97"/>
  <c r="I64" i="97"/>
  <c r="AD81" i="96"/>
  <c r="AF81" i="96" s="1"/>
  <c r="AD80" i="96"/>
  <c r="AF80" i="96" s="1"/>
  <c r="AE79" i="96"/>
  <c r="AC79" i="96"/>
  <c r="AB79" i="96"/>
  <c r="AA79" i="96"/>
  <c r="Y79" i="96"/>
  <c r="X79" i="96"/>
  <c r="W79" i="96"/>
  <c r="V79" i="96"/>
  <c r="U79" i="96"/>
  <c r="T79" i="96"/>
  <c r="S79" i="96"/>
  <c r="R79" i="96"/>
  <c r="Q79" i="96"/>
  <c r="P79" i="96"/>
  <c r="O79" i="96"/>
  <c r="N79" i="96"/>
  <c r="M79" i="96"/>
  <c r="L79" i="96"/>
  <c r="K79" i="96"/>
  <c r="J79" i="96"/>
  <c r="I79" i="96"/>
  <c r="H79" i="96"/>
  <c r="G79" i="96"/>
  <c r="F79" i="96"/>
  <c r="D79" i="96"/>
  <c r="C79" i="96"/>
  <c r="B79" i="96"/>
  <c r="X78" i="96"/>
  <c r="X77" i="96" s="1"/>
  <c r="J78" i="96"/>
  <c r="AE77" i="96"/>
  <c r="AC77" i="96"/>
  <c r="AB77" i="96"/>
  <c r="AA77" i="96"/>
  <c r="Y77" i="96"/>
  <c r="W77" i="96"/>
  <c r="V77" i="96"/>
  <c r="U77" i="96"/>
  <c r="T77" i="96"/>
  <c r="S77" i="96"/>
  <c r="R77" i="96"/>
  <c r="Q77" i="96"/>
  <c r="P77" i="96"/>
  <c r="O77" i="96"/>
  <c r="N77" i="96"/>
  <c r="M77" i="96"/>
  <c r="L77" i="96"/>
  <c r="K77" i="96"/>
  <c r="I77" i="96"/>
  <c r="H77" i="96"/>
  <c r="G77" i="96"/>
  <c r="F77" i="96"/>
  <c r="D77" i="96"/>
  <c r="C77" i="96"/>
  <c r="B77" i="96"/>
  <c r="B76" i="96"/>
  <c r="AD76" i="96" s="1"/>
  <c r="AF76" i="96" s="1"/>
  <c r="O75" i="96"/>
  <c r="J75" i="96"/>
  <c r="J74" i="96" s="1"/>
  <c r="B75" i="96"/>
  <c r="AE74" i="96"/>
  <c r="AC74" i="96"/>
  <c r="AB74" i="96"/>
  <c r="AA74" i="96"/>
  <c r="Y74" i="96"/>
  <c r="X74" i="96"/>
  <c r="W74" i="96"/>
  <c r="V74" i="96"/>
  <c r="U74" i="96"/>
  <c r="T74" i="96"/>
  <c r="S74" i="96"/>
  <c r="R74" i="96"/>
  <c r="Q74" i="96"/>
  <c r="P74" i="96"/>
  <c r="N74" i="96"/>
  <c r="M74" i="96"/>
  <c r="L74" i="96"/>
  <c r="K74" i="96"/>
  <c r="I74" i="96"/>
  <c r="H74" i="96"/>
  <c r="G74" i="96"/>
  <c r="F74" i="96"/>
  <c r="D74" i="96"/>
  <c r="C74" i="96"/>
  <c r="AD73" i="96"/>
  <c r="AF73" i="96" s="1"/>
  <c r="P72" i="96"/>
  <c r="I72" i="96"/>
  <c r="B72" i="96"/>
  <c r="AE71" i="96"/>
  <c r="X71" i="96"/>
  <c r="S71" i="96"/>
  <c r="P71" i="96"/>
  <c r="N71" i="96"/>
  <c r="J71" i="96"/>
  <c r="I71" i="96"/>
  <c r="H71" i="96"/>
  <c r="B71" i="96"/>
  <c r="AE70" i="96"/>
  <c r="X70" i="96"/>
  <c r="V70" i="96"/>
  <c r="J70" i="96"/>
  <c r="I70" i="96"/>
  <c r="B70" i="96"/>
  <c r="AE69" i="96"/>
  <c r="X69" i="96"/>
  <c r="V69" i="96"/>
  <c r="S69" i="96"/>
  <c r="O69" i="96"/>
  <c r="J69" i="96"/>
  <c r="I69" i="96"/>
  <c r="H69" i="96"/>
  <c r="B69" i="96"/>
  <c r="AC68" i="96"/>
  <c r="AB68" i="96"/>
  <c r="AA68" i="96"/>
  <c r="Y68" i="96"/>
  <c r="W68" i="96"/>
  <c r="U68" i="96"/>
  <c r="T68" i="96"/>
  <c r="R68" i="96"/>
  <c r="Q68" i="96"/>
  <c r="M68" i="96"/>
  <c r="L68" i="96"/>
  <c r="K68" i="96"/>
  <c r="G68" i="96"/>
  <c r="F68" i="96"/>
  <c r="D68" i="96"/>
  <c r="C68" i="96"/>
  <c r="B67" i="96"/>
  <c r="B65" i="96" s="1"/>
  <c r="AE65" i="96"/>
  <c r="AC65" i="96"/>
  <c r="AB65" i="96"/>
  <c r="AA65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D65" i="96"/>
  <c r="C65" i="96"/>
  <c r="D64" i="96"/>
  <c r="AD64" i="96" s="1"/>
  <c r="AF64" i="96" s="1"/>
  <c r="AC63" i="96"/>
  <c r="P63" i="96"/>
  <c r="D63" i="96"/>
  <c r="D62" i="96"/>
  <c r="R61" i="96"/>
  <c r="P61" i="96"/>
  <c r="D61" i="96"/>
  <c r="AC60" i="96"/>
  <c r="S60" i="96"/>
  <c r="I60" i="96"/>
  <c r="D60" i="96"/>
  <c r="AE59" i="96"/>
  <c r="AC59" i="96"/>
  <c r="Y59" i="96"/>
  <c r="W59" i="96"/>
  <c r="U59" i="96"/>
  <c r="R59" i="96"/>
  <c r="P59" i="96"/>
  <c r="J59" i="96"/>
  <c r="I59" i="96"/>
  <c r="D59" i="96"/>
  <c r="AE58" i="96"/>
  <c r="AC58" i="96"/>
  <c r="Z58" i="96"/>
  <c r="Y58" i="96"/>
  <c r="W58" i="96"/>
  <c r="U58" i="96"/>
  <c r="S58" i="96"/>
  <c r="R58" i="96"/>
  <c r="P58" i="96"/>
  <c r="J58" i="96"/>
  <c r="I58" i="96"/>
  <c r="D58" i="96"/>
  <c r="B58" i="96"/>
  <c r="AE57" i="96"/>
  <c r="AC57" i="96"/>
  <c r="Z57" i="96"/>
  <c r="Y57" i="96"/>
  <c r="X57" i="96"/>
  <c r="W57" i="96"/>
  <c r="S57" i="96"/>
  <c r="R57" i="96"/>
  <c r="J57" i="96"/>
  <c r="I57" i="96"/>
  <c r="D57" i="96"/>
  <c r="AE56" i="96"/>
  <c r="AC56" i="96"/>
  <c r="Z56" i="96"/>
  <c r="Y56" i="96"/>
  <c r="X56" i="96"/>
  <c r="W56" i="96"/>
  <c r="R56" i="96"/>
  <c r="P56" i="96"/>
  <c r="J56" i="96"/>
  <c r="I56" i="96"/>
  <c r="D56" i="96"/>
  <c r="B56" i="96"/>
  <c r="AE55" i="96"/>
  <c r="AC55" i="96"/>
  <c r="Z55" i="96"/>
  <c r="Y55" i="96"/>
  <c r="X55" i="96"/>
  <c r="W55" i="96"/>
  <c r="S55" i="96"/>
  <c r="R55" i="96"/>
  <c r="P55" i="96"/>
  <c r="J55" i="96"/>
  <c r="I55" i="96"/>
  <c r="D55" i="96"/>
  <c r="B55" i="96"/>
  <c r="AE54" i="96"/>
  <c r="AC54" i="96"/>
  <c r="Z54" i="96"/>
  <c r="Y54" i="96"/>
  <c r="X54" i="96"/>
  <c r="W54" i="96"/>
  <c r="U54" i="96"/>
  <c r="S54" i="96"/>
  <c r="R54" i="96"/>
  <c r="J54" i="96"/>
  <c r="I54" i="96"/>
  <c r="D54" i="96"/>
  <c r="B54" i="96"/>
  <c r="AB53" i="96"/>
  <c r="AA53" i="96"/>
  <c r="V53" i="96"/>
  <c r="T53" i="96"/>
  <c r="Q53" i="96"/>
  <c r="O53" i="96"/>
  <c r="N53" i="96"/>
  <c r="M53" i="96"/>
  <c r="L53" i="96"/>
  <c r="K53" i="96"/>
  <c r="H53" i="96"/>
  <c r="G53" i="96"/>
  <c r="F53" i="96"/>
  <c r="C53" i="96"/>
  <c r="N52" i="96"/>
  <c r="B52" i="96"/>
  <c r="AE51" i="96"/>
  <c r="AC51" i="96"/>
  <c r="AB51" i="96"/>
  <c r="AA51" i="96"/>
  <c r="Y51" i="96"/>
  <c r="X51" i="96"/>
  <c r="W51" i="96"/>
  <c r="V51" i="96"/>
  <c r="U51" i="96"/>
  <c r="T51" i="96"/>
  <c r="S51" i="96"/>
  <c r="R51" i="96"/>
  <c r="Q51" i="96"/>
  <c r="P51" i="96"/>
  <c r="O51" i="96"/>
  <c r="M51" i="96"/>
  <c r="L51" i="96"/>
  <c r="K51" i="96"/>
  <c r="J51" i="96"/>
  <c r="I51" i="96"/>
  <c r="H51" i="96"/>
  <c r="G51" i="96"/>
  <c r="F51" i="96"/>
  <c r="D51" i="96"/>
  <c r="C51" i="96"/>
  <c r="AD50" i="96"/>
  <c r="AF50" i="96" s="1"/>
  <c r="AD49" i="96"/>
  <c r="AF49" i="96" s="1"/>
  <c r="AD48" i="96"/>
  <c r="AF48" i="96" s="1"/>
  <c r="AD47" i="96"/>
  <c r="AF47" i="96" s="1"/>
  <c r="AE46" i="96"/>
  <c r="AC46" i="96"/>
  <c r="AB46" i="96"/>
  <c r="AA46" i="96"/>
  <c r="Y46" i="96"/>
  <c r="X46" i="96"/>
  <c r="W46" i="96"/>
  <c r="V46" i="96"/>
  <c r="U46" i="96"/>
  <c r="T46" i="96"/>
  <c r="S46" i="96"/>
  <c r="R46" i="96"/>
  <c r="Q46" i="96"/>
  <c r="P46" i="96"/>
  <c r="O46" i="96"/>
  <c r="N46" i="96"/>
  <c r="M46" i="96"/>
  <c r="L46" i="96"/>
  <c r="K46" i="96"/>
  <c r="J46" i="96"/>
  <c r="I46" i="96"/>
  <c r="H46" i="96"/>
  <c r="G46" i="96"/>
  <c r="F46" i="96"/>
  <c r="D46" i="96"/>
  <c r="C46" i="96"/>
  <c r="B46" i="96"/>
  <c r="AD45" i="96"/>
  <c r="AD44" i="96"/>
  <c r="AF44" i="96" s="1"/>
  <c r="AE43" i="96"/>
  <c r="AC43" i="96"/>
  <c r="AB43" i="96"/>
  <c r="AA43" i="96"/>
  <c r="Y43" i="96"/>
  <c r="X43" i="96"/>
  <c r="W43" i="96"/>
  <c r="V43" i="96"/>
  <c r="U43" i="96"/>
  <c r="T43" i="96"/>
  <c r="S43" i="96"/>
  <c r="R43" i="96"/>
  <c r="Q43" i="96"/>
  <c r="P43" i="96"/>
  <c r="O43" i="96"/>
  <c r="N43" i="96"/>
  <c r="M43" i="96"/>
  <c r="L43" i="96"/>
  <c r="K43" i="96"/>
  <c r="J43" i="96"/>
  <c r="I43" i="96"/>
  <c r="H43" i="96"/>
  <c r="G43" i="96"/>
  <c r="F43" i="96"/>
  <c r="D43" i="96"/>
  <c r="C43" i="96"/>
  <c r="B43" i="96"/>
  <c r="AD42" i="96"/>
  <c r="AF42" i="96" s="1"/>
  <c r="J41" i="96"/>
  <c r="I41" i="96"/>
  <c r="B41" i="96"/>
  <c r="B39" i="96" s="1"/>
  <c r="N40" i="96"/>
  <c r="N39" i="96" s="1"/>
  <c r="J40" i="96"/>
  <c r="AE39" i="96"/>
  <c r="AC39" i="96"/>
  <c r="AB39" i="96"/>
  <c r="AA39" i="96"/>
  <c r="Y39" i="96"/>
  <c r="X39" i="96"/>
  <c r="W39" i="96"/>
  <c r="V39" i="96"/>
  <c r="U39" i="96"/>
  <c r="T39" i="96"/>
  <c r="S39" i="96"/>
  <c r="R39" i="96"/>
  <c r="Q39" i="96"/>
  <c r="P39" i="96"/>
  <c r="O39" i="96"/>
  <c r="M39" i="96"/>
  <c r="L39" i="96"/>
  <c r="K39" i="96"/>
  <c r="H39" i="96"/>
  <c r="G39" i="96"/>
  <c r="F39" i="96"/>
  <c r="D39" i="96"/>
  <c r="C39" i="96"/>
  <c r="AD38" i="96"/>
  <c r="AF38" i="96" s="1"/>
  <c r="AD37" i="96"/>
  <c r="AF37" i="96" s="1"/>
  <c r="AD36" i="96"/>
  <c r="AF36" i="96" s="1"/>
  <c r="AD35" i="96"/>
  <c r="AF35" i="96" s="1"/>
  <c r="AD34" i="96"/>
  <c r="AF34" i="96" s="1"/>
  <c r="X33" i="96"/>
  <c r="AE32" i="96"/>
  <c r="AC32" i="96"/>
  <c r="AB32" i="96"/>
  <c r="AA32" i="96"/>
  <c r="Y32" i="96"/>
  <c r="W32" i="96"/>
  <c r="V32" i="96"/>
  <c r="U32" i="96"/>
  <c r="T32" i="96"/>
  <c r="S32" i="96"/>
  <c r="R32" i="96"/>
  <c r="Q32" i="96"/>
  <c r="P32" i="96"/>
  <c r="O32" i="96"/>
  <c r="N32" i="96"/>
  <c r="M32" i="96"/>
  <c r="L32" i="96"/>
  <c r="K32" i="96"/>
  <c r="J32" i="96"/>
  <c r="I32" i="96"/>
  <c r="H32" i="96"/>
  <c r="G32" i="96"/>
  <c r="F32" i="96"/>
  <c r="D32" i="96"/>
  <c r="C32" i="96"/>
  <c r="B32" i="96"/>
  <c r="O31" i="96"/>
  <c r="F31" i="96"/>
  <c r="AB30" i="96"/>
  <c r="Q30" i="96"/>
  <c r="Q29" i="96" s="1"/>
  <c r="O30" i="96"/>
  <c r="F30" i="96"/>
  <c r="B30" i="96"/>
  <c r="AE29" i="96"/>
  <c r="AC29" i="96"/>
  <c r="AA29" i="96"/>
  <c r="Y29" i="96"/>
  <c r="X29" i="96"/>
  <c r="W29" i="96"/>
  <c r="V29" i="96"/>
  <c r="U29" i="96"/>
  <c r="T29" i="96"/>
  <c r="S29" i="96"/>
  <c r="R29" i="96"/>
  <c r="P29" i="96"/>
  <c r="N29" i="96"/>
  <c r="M29" i="96"/>
  <c r="L29" i="96"/>
  <c r="K29" i="96"/>
  <c r="J29" i="96"/>
  <c r="I29" i="96"/>
  <c r="H29" i="96"/>
  <c r="G29" i="96"/>
  <c r="D29" i="96"/>
  <c r="C29" i="96"/>
  <c r="J28" i="96"/>
  <c r="I28" i="96"/>
  <c r="B28" i="96"/>
  <c r="X27" i="96"/>
  <c r="N27" i="96"/>
  <c r="B27" i="96"/>
  <c r="O26" i="96"/>
  <c r="X25" i="96"/>
  <c r="J25" i="96"/>
  <c r="I25" i="96"/>
  <c r="R24" i="96"/>
  <c r="B24" i="96"/>
  <c r="X23" i="96"/>
  <c r="R23" i="96"/>
  <c r="O23" i="96"/>
  <c r="J23" i="96"/>
  <c r="I23" i="96"/>
  <c r="B23" i="96"/>
  <c r="AE22" i="96"/>
  <c r="AC22" i="96"/>
  <c r="AB22" i="96"/>
  <c r="AA22" i="96"/>
  <c r="Y22" i="96"/>
  <c r="W22" i="96"/>
  <c r="V22" i="96"/>
  <c r="U22" i="96"/>
  <c r="T22" i="96"/>
  <c r="S22" i="96"/>
  <c r="Q22" i="96"/>
  <c r="P22" i="96"/>
  <c r="M22" i="96"/>
  <c r="L22" i="96"/>
  <c r="K22" i="96"/>
  <c r="H22" i="96"/>
  <c r="G22" i="96"/>
  <c r="F22" i="96"/>
  <c r="D22" i="96"/>
  <c r="C22" i="96"/>
  <c r="P21" i="96"/>
  <c r="X20" i="96"/>
  <c r="X19" i="96" s="1"/>
  <c r="P20" i="96"/>
  <c r="AE19" i="96"/>
  <c r="AC19" i="96"/>
  <c r="AB19" i="96"/>
  <c r="AA19" i="96"/>
  <c r="Y19" i="96"/>
  <c r="W19" i="96"/>
  <c r="V19" i="96"/>
  <c r="U19" i="96"/>
  <c r="T19" i="96"/>
  <c r="S19" i="96"/>
  <c r="R19" i="96"/>
  <c r="Q19" i="96"/>
  <c r="O19" i="96"/>
  <c r="N19" i="96"/>
  <c r="M19" i="96"/>
  <c r="L19" i="96"/>
  <c r="K19" i="96"/>
  <c r="J19" i="96"/>
  <c r="I19" i="96"/>
  <c r="H19" i="96"/>
  <c r="G19" i="96"/>
  <c r="F19" i="96"/>
  <c r="D19" i="96"/>
  <c r="C19" i="96"/>
  <c r="B19" i="96"/>
  <c r="AD18" i="96"/>
  <c r="AF18" i="96" s="1"/>
  <c r="AE17" i="96"/>
  <c r="AC17" i="96"/>
  <c r="AB17" i="96"/>
  <c r="AA17" i="96"/>
  <c r="Y17" i="96"/>
  <c r="X17" i="96"/>
  <c r="W17" i="96"/>
  <c r="V17" i="96"/>
  <c r="U17" i="96"/>
  <c r="T17" i="96"/>
  <c r="S17" i="96"/>
  <c r="R17" i="96"/>
  <c r="Q17" i="96"/>
  <c r="P17" i="96"/>
  <c r="O17" i="96"/>
  <c r="N17" i="96"/>
  <c r="M17" i="96"/>
  <c r="L17" i="96"/>
  <c r="K17" i="96"/>
  <c r="J17" i="96"/>
  <c r="I17" i="96"/>
  <c r="H17" i="96"/>
  <c r="G17" i="96"/>
  <c r="F17" i="96"/>
  <c r="D17" i="96"/>
  <c r="C17" i="96"/>
  <c r="B17" i="96"/>
  <c r="AD16" i="96"/>
  <c r="AE15" i="96"/>
  <c r="AC15" i="96"/>
  <c r="AB15" i="96"/>
  <c r="AA15" i="96"/>
  <c r="Y15" i="96"/>
  <c r="X15" i="96"/>
  <c r="W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D15" i="96"/>
  <c r="C15" i="96"/>
  <c r="B15" i="96"/>
  <c r="AD14" i="96"/>
  <c r="AF14" i="96" s="1"/>
  <c r="AD13" i="96"/>
  <c r="AE12" i="96"/>
  <c r="AC12" i="96"/>
  <c r="AB12" i="96"/>
  <c r="AA12" i="96"/>
  <c r="Y12" i="96"/>
  <c r="X12" i="96"/>
  <c r="W12" i="96"/>
  <c r="V12" i="96"/>
  <c r="U12" i="96"/>
  <c r="T12" i="96"/>
  <c r="S12" i="96"/>
  <c r="R12" i="96"/>
  <c r="Q12" i="96"/>
  <c r="P12" i="96"/>
  <c r="O12" i="96"/>
  <c r="N12" i="96"/>
  <c r="M12" i="96"/>
  <c r="L12" i="96"/>
  <c r="K12" i="96"/>
  <c r="J12" i="96"/>
  <c r="I12" i="96"/>
  <c r="H12" i="96"/>
  <c r="G12" i="96"/>
  <c r="F12" i="96"/>
  <c r="D12" i="96"/>
  <c r="C12" i="96"/>
  <c r="B12" i="96"/>
  <c r="B11" i="96"/>
  <c r="B10" i="96" s="1"/>
  <c r="AE10" i="96"/>
  <c r="AC10" i="96"/>
  <c r="AB10" i="96"/>
  <c r="AA10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D10" i="96"/>
  <c r="C10" i="96"/>
  <c r="P9" i="96"/>
  <c r="J9" i="96"/>
  <c r="F9" i="96"/>
  <c r="B9" i="96"/>
  <c r="P8" i="96"/>
  <c r="J8" i="96"/>
  <c r="F8" i="96"/>
  <c r="B8" i="96"/>
  <c r="AE7" i="96"/>
  <c r="AC7" i="96"/>
  <c r="AB7" i="96"/>
  <c r="AA7" i="96"/>
  <c r="Y7" i="96"/>
  <c r="X7" i="96"/>
  <c r="W7" i="96"/>
  <c r="V7" i="96"/>
  <c r="U7" i="96"/>
  <c r="T7" i="96"/>
  <c r="S7" i="96"/>
  <c r="R7" i="96"/>
  <c r="Q7" i="96"/>
  <c r="O7" i="96"/>
  <c r="N7" i="96"/>
  <c r="M7" i="96"/>
  <c r="L7" i="96"/>
  <c r="K7" i="96"/>
  <c r="I7" i="96"/>
  <c r="H7" i="96"/>
  <c r="G7" i="96"/>
  <c r="D7" i="96"/>
  <c r="C7" i="96"/>
  <c r="AA6" i="96"/>
  <c r="J6" i="96"/>
  <c r="B6" i="96"/>
  <c r="B4" i="96" s="1"/>
  <c r="AA5" i="96"/>
  <c r="J5" i="96"/>
  <c r="AE4" i="96"/>
  <c r="AC4" i="96"/>
  <c r="AB4" i="96"/>
  <c r="Y4" i="96"/>
  <c r="X4" i="96"/>
  <c r="W4" i="96"/>
  <c r="V4" i="96"/>
  <c r="U4" i="96"/>
  <c r="T4" i="96"/>
  <c r="S4" i="96"/>
  <c r="R4" i="96"/>
  <c r="Q4" i="96"/>
  <c r="P4" i="96"/>
  <c r="O4" i="96"/>
  <c r="N4" i="96"/>
  <c r="M4" i="96"/>
  <c r="L4" i="96"/>
  <c r="K4" i="96"/>
  <c r="I4" i="96"/>
  <c r="H4" i="96"/>
  <c r="G4" i="96"/>
  <c r="F4" i="96"/>
  <c r="D4" i="96"/>
  <c r="C4" i="96"/>
  <c r="I118" i="97" l="1"/>
  <c r="L168" i="97"/>
  <c r="L169" i="97" s="1"/>
  <c r="I87" i="97"/>
  <c r="L176" i="97"/>
  <c r="L177" i="97" s="1"/>
  <c r="I185" i="97"/>
  <c r="L163" i="97"/>
  <c r="I126" i="97"/>
  <c r="L227" i="97"/>
  <c r="L228" i="97" s="1"/>
  <c r="L138" i="97"/>
  <c r="L87" i="97"/>
  <c r="L83" i="97"/>
  <c r="L84" i="97" s="1"/>
  <c r="L99" i="97"/>
  <c r="L130" i="97"/>
  <c r="L185" i="97"/>
  <c r="L186" i="97" s="1"/>
  <c r="L248" i="97"/>
  <c r="L204" i="97"/>
  <c r="L205" i="97" s="1"/>
  <c r="L88" i="97"/>
  <c r="I247" i="97"/>
  <c r="I98" i="97"/>
  <c r="L104" i="97"/>
  <c r="L115" i="97"/>
  <c r="L79" i="97"/>
  <c r="I204" i="97"/>
  <c r="E270" i="97"/>
  <c r="L194" i="97"/>
  <c r="L195" i="97" s="1"/>
  <c r="J270" i="97"/>
  <c r="N22" i="96"/>
  <c r="J4" i="96"/>
  <c r="AA4" i="96"/>
  <c r="AA82" i="96" s="1"/>
  <c r="P68" i="96"/>
  <c r="N51" i="96"/>
  <c r="AD8" i="96"/>
  <c r="AF8" i="96" s="1"/>
  <c r="J68" i="96"/>
  <c r="J7" i="96"/>
  <c r="AD24" i="96"/>
  <c r="AF24" i="96" s="1"/>
  <c r="AB29" i="96"/>
  <c r="AB82" i="96" s="1"/>
  <c r="R22" i="96"/>
  <c r="X22" i="96"/>
  <c r="S68" i="96"/>
  <c r="B74" i="96"/>
  <c r="AD62" i="96"/>
  <c r="AF62" i="96" s="1"/>
  <c r="AD6" i="96"/>
  <c r="AF6" i="96" s="1"/>
  <c r="AD31" i="96"/>
  <c r="AF31" i="96" s="1"/>
  <c r="AD61" i="96"/>
  <c r="AF61" i="96" s="1"/>
  <c r="N68" i="96"/>
  <c r="AF79" i="96"/>
  <c r="AD72" i="96"/>
  <c r="AF72" i="96" s="1"/>
  <c r="M82" i="96"/>
  <c r="AD23" i="96"/>
  <c r="AF23" i="96" s="1"/>
  <c r="AD79" i="96"/>
  <c r="G82" i="96"/>
  <c r="AD17" i="96"/>
  <c r="U53" i="96"/>
  <c r="U82" i="96" s="1"/>
  <c r="AD63" i="96"/>
  <c r="AF63" i="96" s="1"/>
  <c r="AF16" i="96"/>
  <c r="AD15" i="96"/>
  <c r="O22" i="96"/>
  <c r="K82" i="96"/>
  <c r="C82" i="96"/>
  <c r="I22" i="96"/>
  <c r="AD28" i="96"/>
  <c r="AF28" i="96" s="1"/>
  <c r="AF45" i="96"/>
  <c r="AD43" i="96"/>
  <c r="O74" i="96"/>
  <c r="J77" i="96"/>
  <c r="AD66" i="96"/>
  <c r="AF66" i="96" s="1"/>
  <c r="H68" i="96"/>
  <c r="H82" i="96" s="1"/>
  <c r="Q82" i="96"/>
  <c r="AD52" i="96"/>
  <c r="AF52" i="96" s="1"/>
  <c r="B51" i="96"/>
  <c r="V68" i="96"/>
  <c r="V82" i="96" s="1"/>
  <c r="B68" i="96"/>
  <c r="AD70" i="96"/>
  <c r="AF70" i="96" s="1"/>
  <c r="AD78" i="96"/>
  <c r="AD77" i="96" s="1"/>
  <c r="AD46" i="96"/>
  <c r="AD75" i="96"/>
  <c r="AD74" i="96" s="1"/>
  <c r="AD11" i="96"/>
  <c r="AF11" i="96" s="1"/>
  <c r="AD21" i="96"/>
  <c r="AF21" i="96" s="1"/>
  <c r="J22" i="96"/>
  <c r="AD27" i="96"/>
  <c r="AF27" i="96" s="1"/>
  <c r="AD55" i="96"/>
  <c r="AF55" i="96" s="1"/>
  <c r="AD12" i="96"/>
  <c r="AF13" i="96"/>
  <c r="AF17" i="96"/>
  <c r="I39" i="96"/>
  <c r="B53" i="96"/>
  <c r="Z53" i="96"/>
  <c r="Z82" i="96" s="1"/>
  <c r="AD5" i="96"/>
  <c r="AD25" i="96"/>
  <c r="AF25" i="96" s="1"/>
  <c r="AD26" i="96"/>
  <c r="AF26" i="96" s="1"/>
  <c r="AD33" i="96"/>
  <c r="AF46" i="96"/>
  <c r="T82" i="96"/>
  <c r="AD9" i="96"/>
  <c r="AF9" i="96" s="1"/>
  <c r="AD20" i="96"/>
  <c r="B22" i="96"/>
  <c r="O29" i="96"/>
  <c r="B29" i="96"/>
  <c r="AD30" i="96"/>
  <c r="F29" i="96"/>
  <c r="J39" i="96"/>
  <c r="I53" i="96"/>
  <c r="AD60" i="96"/>
  <c r="AF60" i="96" s="1"/>
  <c r="S53" i="96"/>
  <c r="AD54" i="96"/>
  <c r="L82" i="96"/>
  <c r="B7" i="96"/>
  <c r="F7" i="96"/>
  <c r="P7" i="96"/>
  <c r="P19" i="96"/>
  <c r="X32" i="96"/>
  <c r="AD41" i="96"/>
  <c r="AF41" i="96" s="1"/>
  <c r="AD40" i="96"/>
  <c r="W53" i="96"/>
  <c r="W82" i="96" s="1"/>
  <c r="AE53" i="96"/>
  <c r="J53" i="96"/>
  <c r="AD58" i="96"/>
  <c r="AF58" i="96" s="1"/>
  <c r="AD59" i="96"/>
  <c r="AF59" i="96" s="1"/>
  <c r="X53" i="96"/>
  <c r="AD57" i="96"/>
  <c r="AF57" i="96" s="1"/>
  <c r="R53" i="96"/>
  <c r="Y53" i="96"/>
  <c r="Y82" i="96" s="1"/>
  <c r="AC53" i="96"/>
  <c r="AC82" i="96" s="1"/>
  <c r="D53" i="96"/>
  <c r="D82" i="96" s="1"/>
  <c r="AD56" i="96"/>
  <c r="AF56" i="96" s="1"/>
  <c r="AD67" i="96"/>
  <c r="AD69" i="96"/>
  <c r="O68" i="96"/>
  <c r="X68" i="96"/>
  <c r="P53" i="96"/>
  <c r="I68" i="96"/>
  <c r="AE68" i="96"/>
  <c r="AD71" i="96"/>
  <c r="AF71" i="96" s="1"/>
  <c r="P9" i="95"/>
  <c r="N9" i="95" s="1"/>
  <c r="K9" i="95" s="1"/>
  <c r="D9" i="95" s="1"/>
  <c r="Q10" i="95"/>
  <c r="Q8" i="95" s="1"/>
  <c r="O10" i="95"/>
  <c r="O8" i="95" s="1"/>
  <c r="L10" i="95"/>
  <c r="L8" i="95" s="1"/>
  <c r="J10" i="95"/>
  <c r="J8" i="95" s="1"/>
  <c r="H10" i="95"/>
  <c r="H8" i="95" s="1"/>
  <c r="N25" i="95"/>
  <c r="K25" i="95" s="1"/>
  <c r="D25" i="95" s="1"/>
  <c r="K24" i="95"/>
  <c r="I24" i="95"/>
  <c r="N23" i="95"/>
  <c r="K23" i="95" s="1"/>
  <c r="I23" i="95"/>
  <c r="N22" i="95"/>
  <c r="K22" i="95" s="1"/>
  <c r="D22" i="95" s="1"/>
  <c r="N21" i="95"/>
  <c r="K21" i="95" s="1"/>
  <c r="D21" i="95" s="1"/>
  <c r="N20" i="95"/>
  <c r="K20" i="95" s="1"/>
  <c r="D20" i="95" s="1"/>
  <c r="N19" i="95"/>
  <c r="K19" i="95" s="1"/>
  <c r="D19" i="95" s="1"/>
  <c r="N18" i="95"/>
  <c r="K18" i="95" s="1"/>
  <c r="I18" i="95"/>
  <c r="G18" i="95"/>
  <c r="G10" i="95" s="1"/>
  <c r="G8" i="95" s="1"/>
  <c r="P17" i="95"/>
  <c r="N17" i="95"/>
  <c r="K17" i="95" s="1"/>
  <c r="D17" i="95" s="1"/>
  <c r="P16" i="95"/>
  <c r="N16" i="95" s="1"/>
  <c r="K16" i="95" s="1"/>
  <c r="E16" i="95"/>
  <c r="P15" i="95"/>
  <c r="N15" i="95" s="1"/>
  <c r="K15" i="95" s="1"/>
  <c r="D15" i="95" s="1"/>
  <c r="P14" i="95"/>
  <c r="N14" i="95" s="1"/>
  <c r="K14" i="95" s="1"/>
  <c r="F14" i="95"/>
  <c r="F10" i="95" s="1"/>
  <c r="F8" i="95" s="1"/>
  <c r="E14" i="95"/>
  <c r="S13" i="95"/>
  <c r="R13" i="95"/>
  <c r="R10" i="95" s="1"/>
  <c r="R8" i="95" s="1"/>
  <c r="P13" i="95"/>
  <c r="S12" i="95"/>
  <c r="N12" i="95" s="1"/>
  <c r="K12" i="95" s="1"/>
  <c r="I12" i="95"/>
  <c r="P11" i="95"/>
  <c r="N11" i="95" s="1"/>
  <c r="K11" i="95" s="1"/>
  <c r="D11" i="95" s="1"/>
  <c r="M11" i="95"/>
  <c r="M10" i="95" s="1"/>
  <c r="M8" i="95" s="1"/>
  <c r="I10" i="95" l="1"/>
  <c r="I8" i="95" s="1"/>
  <c r="I270" i="97"/>
  <c r="L270" i="97"/>
  <c r="AF78" i="96"/>
  <c r="AF77" i="96" s="1"/>
  <c r="AD51" i="96"/>
  <c r="R82" i="96"/>
  <c r="N82" i="96"/>
  <c r="F82" i="96"/>
  <c r="AD10" i="96"/>
  <c r="B82" i="96"/>
  <c r="S82" i="96"/>
  <c r="P82" i="96"/>
  <c r="AF75" i="96"/>
  <c r="AF74" i="96" s="1"/>
  <c r="AF7" i="96"/>
  <c r="X82" i="96"/>
  <c r="AF15" i="96"/>
  <c r="AE82" i="96"/>
  <c r="J82" i="96"/>
  <c r="AF43" i="96"/>
  <c r="O82" i="96"/>
  <c r="I82" i="96"/>
  <c r="AD32" i="96"/>
  <c r="AF33" i="96"/>
  <c r="AD22" i="96"/>
  <c r="AD53" i="96"/>
  <c r="AF54" i="96"/>
  <c r="AF53" i="96" s="1"/>
  <c r="AD7" i="96"/>
  <c r="AD68" i="96"/>
  <c r="AF69" i="96"/>
  <c r="AF51" i="96"/>
  <c r="AF12" i="96"/>
  <c r="AF67" i="96"/>
  <c r="AD65" i="96"/>
  <c r="AF40" i="96"/>
  <c r="AD39" i="96"/>
  <c r="AF30" i="96"/>
  <c r="AD29" i="96"/>
  <c r="AD19" i="96"/>
  <c r="AF20" i="96"/>
  <c r="AF5" i="96"/>
  <c r="AD4" i="96"/>
  <c r="AF10" i="96"/>
  <c r="AF22" i="96"/>
  <c r="D14" i="95"/>
  <c r="D24" i="95"/>
  <c r="D12" i="95"/>
  <c r="N13" i="95"/>
  <c r="K13" i="95" s="1"/>
  <c r="D13" i="95" s="1"/>
  <c r="D16" i="95"/>
  <c r="D18" i="95"/>
  <c r="D23" i="95"/>
  <c r="N10" i="95"/>
  <c r="N8" i="95" s="1"/>
  <c r="P10" i="95"/>
  <c r="P8" i="95" s="1"/>
  <c r="E10" i="95"/>
  <c r="E8" i="95" s="1"/>
  <c r="S10" i="95"/>
  <c r="S8" i="95" s="1"/>
  <c r="F5" i="94"/>
  <c r="I6" i="94"/>
  <c r="H6" i="94"/>
  <c r="G6" i="94"/>
  <c r="D6" i="94"/>
  <c r="L156" i="94"/>
  <c r="D156" i="94" s="1"/>
  <c r="L155" i="94"/>
  <c r="D155" i="94"/>
  <c r="K154" i="94"/>
  <c r="H154" i="94"/>
  <c r="E154" i="94"/>
  <c r="E151" i="94"/>
  <c r="D151" i="94" s="1"/>
  <c r="H150" i="94"/>
  <c r="E150" i="94"/>
  <c r="D150" i="94" s="1"/>
  <c r="I148" i="94"/>
  <c r="E148" i="94"/>
  <c r="D148" i="94" s="1"/>
  <c r="E147" i="94"/>
  <c r="D147" i="94" s="1"/>
  <c r="G146" i="94"/>
  <c r="E146" i="94"/>
  <c r="D146" i="94" s="1"/>
  <c r="D145" i="94"/>
  <c r="D144" i="94"/>
  <c r="E143" i="94"/>
  <c r="D143" i="94" s="1"/>
  <c r="E142" i="94"/>
  <c r="D142" i="94" s="1"/>
  <c r="E141" i="94"/>
  <c r="D141" i="94" s="1"/>
  <c r="K140" i="94"/>
  <c r="H140" i="94"/>
  <c r="E140" i="94"/>
  <c r="E139" i="94"/>
  <c r="D139" i="94" s="1"/>
  <c r="D138" i="94"/>
  <c r="G136" i="94"/>
  <c r="E136" i="94"/>
  <c r="D136" i="94" s="1"/>
  <c r="D132" i="94"/>
  <c r="D130" i="94"/>
  <c r="G129" i="94"/>
  <c r="E129" i="94"/>
  <c r="D129" i="94"/>
  <c r="H127" i="94"/>
  <c r="G127" i="94"/>
  <c r="E127" i="94"/>
  <c r="D127" i="94" s="1"/>
  <c r="E125" i="94"/>
  <c r="D125" i="94" s="1"/>
  <c r="D123" i="94"/>
  <c r="E122" i="94"/>
  <c r="D122" i="94" s="1"/>
  <c r="E121" i="94"/>
  <c r="D121" i="94" s="1"/>
  <c r="G119" i="94"/>
  <c r="E119" i="94"/>
  <c r="D119" i="94" s="1"/>
  <c r="E117" i="94"/>
  <c r="D117" i="94"/>
  <c r="D116" i="94"/>
  <c r="E115" i="94"/>
  <c r="D115" i="94" s="1"/>
  <c r="E114" i="94"/>
  <c r="D114" i="94" s="1"/>
  <c r="H113" i="94"/>
  <c r="E113" i="94"/>
  <c r="D113" i="94" s="1"/>
  <c r="E112" i="94"/>
  <c r="D112" i="94" s="1"/>
  <c r="E111" i="94"/>
  <c r="D111" i="94" s="1"/>
  <c r="D110" i="94"/>
  <c r="E109" i="94"/>
  <c r="D109" i="94" s="1"/>
  <c r="D108" i="94"/>
  <c r="E107" i="94"/>
  <c r="D107" i="94" s="1"/>
  <c r="E106" i="94"/>
  <c r="D106" i="94" s="1"/>
  <c r="E105" i="94"/>
  <c r="D105" i="94"/>
  <c r="E104" i="94"/>
  <c r="D104" i="94" s="1"/>
  <c r="E103" i="94"/>
  <c r="D103" i="94" s="1"/>
  <c r="E102" i="94"/>
  <c r="D102" i="94"/>
  <c r="D101" i="94"/>
  <c r="D100" i="94"/>
  <c r="I99" i="94"/>
  <c r="H99" i="94"/>
  <c r="E99" i="94"/>
  <c r="D99" i="94" s="1"/>
  <c r="D98" i="94"/>
  <c r="D97" i="94"/>
  <c r="I96" i="94"/>
  <c r="H96" i="94"/>
  <c r="E96" i="94"/>
  <c r="D96" i="94" s="1"/>
  <c r="D95" i="94"/>
  <c r="H94" i="94"/>
  <c r="D94" i="94"/>
  <c r="E93" i="94"/>
  <c r="D93" i="94" s="1"/>
  <c r="D92" i="94"/>
  <c r="E91" i="94"/>
  <c r="D91" i="94" s="1"/>
  <c r="E90" i="94"/>
  <c r="D90" i="94" s="1"/>
  <c r="E89" i="94"/>
  <c r="D89" i="94" s="1"/>
  <c r="E81" i="94"/>
  <c r="D81" i="94" s="1"/>
  <c r="D80" i="94"/>
  <c r="H79" i="94"/>
  <c r="E79" i="94"/>
  <c r="D79" i="94" s="1"/>
  <c r="D78" i="94"/>
  <c r="D77" i="94"/>
  <c r="E76" i="94"/>
  <c r="D76" i="94" s="1"/>
  <c r="H75" i="94"/>
  <c r="E75" i="94"/>
  <c r="D75" i="94"/>
  <c r="D74" i="94"/>
  <c r="H73" i="94"/>
  <c r="E73" i="94"/>
  <c r="D73" i="94"/>
  <c r="D72" i="94"/>
  <c r="D71" i="94"/>
  <c r="E68" i="94"/>
  <c r="D68" i="94" s="1"/>
  <c r="D67" i="94"/>
  <c r="D66" i="94"/>
  <c r="D65" i="94"/>
  <c r="D64" i="94"/>
  <c r="D62" i="94"/>
  <c r="E61" i="94"/>
  <c r="D61" i="94" s="1"/>
  <c r="E60" i="94"/>
  <c r="D60" i="94" s="1"/>
  <c r="D59" i="94"/>
  <c r="E58" i="94"/>
  <c r="D58" i="94" s="1"/>
  <c r="E57" i="94"/>
  <c r="D57" i="94" s="1"/>
  <c r="E56" i="94"/>
  <c r="D56" i="94" s="1"/>
  <c r="D55" i="94"/>
  <c r="E54" i="94"/>
  <c r="D54" i="94" s="1"/>
  <c r="E53" i="94"/>
  <c r="D53" i="94"/>
  <c r="E52" i="94"/>
  <c r="D52" i="94" s="1"/>
  <c r="H51" i="94"/>
  <c r="E51" i="94"/>
  <c r="D51" i="94" s="1"/>
  <c r="D50" i="94"/>
  <c r="E49" i="94"/>
  <c r="D49" i="94" s="1"/>
  <c r="E48" i="94"/>
  <c r="D48" i="94" s="1"/>
  <c r="E47" i="94"/>
  <c r="D47" i="94" s="1"/>
  <c r="E46" i="94"/>
  <c r="D46" i="94" s="1"/>
  <c r="H45" i="94"/>
  <c r="E45" i="94"/>
  <c r="D45" i="94" s="1"/>
  <c r="E44" i="94"/>
  <c r="D44" i="94" s="1"/>
  <c r="E43" i="94"/>
  <c r="D43" i="94" s="1"/>
  <c r="E42" i="94"/>
  <c r="D42" i="94" s="1"/>
  <c r="E41" i="94"/>
  <c r="D41" i="94" s="1"/>
  <c r="H40" i="94"/>
  <c r="E40" i="94"/>
  <c r="D40" i="94" s="1"/>
  <c r="E39" i="94"/>
  <c r="D39" i="94" s="1"/>
  <c r="D38" i="94"/>
  <c r="E35" i="94"/>
  <c r="D35" i="94" s="1"/>
  <c r="E34" i="94"/>
  <c r="D34" i="94" s="1"/>
  <c r="E33" i="94"/>
  <c r="D33" i="94" s="1"/>
  <c r="H32" i="94"/>
  <c r="E32" i="94"/>
  <c r="D32" i="94" s="1"/>
  <c r="D31" i="94"/>
  <c r="E29" i="94"/>
  <c r="D29" i="94" s="1"/>
  <c r="E28" i="94"/>
  <c r="D28" i="94" s="1"/>
  <c r="D27" i="94"/>
  <c r="D26" i="94"/>
  <c r="E25" i="94"/>
  <c r="D25" i="94" s="1"/>
  <c r="I24" i="94"/>
  <c r="E24" i="94"/>
  <c r="D24" i="94" s="1"/>
  <c r="E23" i="94"/>
  <c r="D23" i="94" s="1"/>
  <c r="E22" i="94"/>
  <c r="D22" i="94" s="1"/>
  <c r="E21" i="94"/>
  <c r="D21" i="94" s="1"/>
  <c r="D19" i="94"/>
  <c r="E18" i="94"/>
  <c r="D18" i="94" s="1"/>
  <c r="E17" i="94"/>
  <c r="D17" i="94" s="1"/>
  <c r="E16" i="94"/>
  <c r="D16" i="94" s="1"/>
  <c r="E15" i="94"/>
  <c r="D15" i="94" s="1"/>
  <c r="E14" i="94"/>
  <c r="D14" i="94" s="1"/>
  <c r="E13" i="94"/>
  <c r="D13" i="94" s="1"/>
  <c r="H12" i="94"/>
  <c r="E12" i="94"/>
  <c r="D12" i="94" s="1"/>
  <c r="E11" i="94"/>
  <c r="D11" i="94" s="1"/>
  <c r="E10" i="94"/>
  <c r="D10" i="94" s="1"/>
  <c r="E9" i="94"/>
  <c r="D9" i="94" s="1"/>
  <c r="E8" i="94"/>
  <c r="D8" i="94" s="1"/>
  <c r="E7" i="94"/>
  <c r="D7" i="94" s="1"/>
  <c r="AF32" i="96" l="1"/>
  <c r="AD82" i="96"/>
  <c r="AF68" i="96"/>
  <c r="AF4" i="96"/>
  <c r="AF29" i="96"/>
  <c r="AF39" i="96"/>
  <c r="AF65" i="96"/>
  <c r="AF19" i="96"/>
  <c r="D10" i="95"/>
  <c r="D8" i="95" s="1"/>
  <c r="D140" i="94"/>
  <c r="L154" i="94"/>
  <c r="L5" i="94" s="1"/>
  <c r="K5" i="94"/>
  <c r="K10" i="95"/>
  <c r="K8" i="95" s="1"/>
  <c r="H5" i="94"/>
  <c r="J5" i="94"/>
  <c r="I5" i="94"/>
  <c r="G5" i="94"/>
  <c r="E5" i="94"/>
  <c r="AF82" i="96" l="1"/>
  <c r="D154" i="94"/>
  <c r="D5" i="94" s="1"/>
  <c r="N31" i="93"/>
  <c r="T31" i="93" s="1"/>
  <c r="R30" i="93"/>
  <c r="Q30" i="93"/>
  <c r="P30" i="93"/>
  <c r="R29" i="93"/>
  <c r="Q29" i="93"/>
  <c r="P29" i="93"/>
  <c r="G28" i="93"/>
  <c r="G8" i="93" s="1"/>
  <c r="G6" i="93" s="1"/>
  <c r="F28" i="93"/>
  <c r="E28" i="93"/>
  <c r="M27" i="93"/>
  <c r="H27" i="93"/>
  <c r="E27" i="93"/>
  <c r="D27" i="93"/>
  <c r="K26" i="93"/>
  <c r="K8" i="93" s="1"/>
  <c r="K6" i="93" s="1"/>
  <c r="F26" i="93"/>
  <c r="E26" i="93"/>
  <c r="D26" i="93"/>
  <c r="R25" i="93"/>
  <c r="Q25" i="93"/>
  <c r="P25" i="93"/>
  <c r="R24" i="93"/>
  <c r="Q24" i="93"/>
  <c r="P24" i="93"/>
  <c r="H23" i="93"/>
  <c r="F23" i="93"/>
  <c r="E23" i="93"/>
  <c r="D23" i="93"/>
  <c r="R22" i="93"/>
  <c r="Q22" i="93"/>
  <c r="P22" i="93"/>
  <c r="S21" i="93"/>
  <c r="T21" i="93" s="1"/>
  <c r="S20" i="93"/>
  <c r="T20" i="93" s="1"/>
  <c r="R19" i="93"/>
  <c r="Q19" i="93"/>
  <c r="P19" i="93"/>
  <c r="R18" i="93"/>
  <c r="S18" i="93" s="1"/>
  <c r="T18" i="93" s="1"/>
  <c r="S17" i="93"/>
  <c r="T17" i="93" s="1"/>
  <c r="S16" i="93"/>
  <c r="T16" i="93" s="1"/>
  <c r="S15" i="93"/>
  <c r="T15" i="93" s="1"/>
  <c r="R14" i="93"/>
  <c r="Q14" i="93"/>
  <c r="P14" i="93"/>
  <c r="M13" i="93"/>
  <c r="S12" i="93"/>
  <c r="T12" i="93" s="1"/>
  <c r="S11" i="93"/>
  <c r="T11" i="93" s="1"/>
  <c r="Q10" i="93"/>
  <c r="P10" i="93"/>
  <c r="R9" i="93"/>
  <c r="Q9" i="93"/>
  <c r="P9" i="93"/>
  <c r="O8" i="93"/>
  <c r="O6" i="93" s="1"/>
  <c r="I8" i="93"/>
  <c r="I6" i="93" s="1"/>
  <c r="H8" i="93"/>
  <c r="H6" i="93" s="1"/>
  <c r="S7" i="93"/>
  <c r="L7" i="93"/>
  <c r="S29" i="93" l="1"/>
  <c r="T29" i="93" s="1"/>
  <c r="M8" i="93"/>
  <c r="M6" i="93" s="1"/>
  <c r="S24" i="93"/>
  <c r="T24" i="93" s="1"/>
  <c r="S22" i="93"/>
  <c r="T22" i="93" s="1"/>
  <c r="S9" i="93"/>
  <c r="S25" i="93"/>
  <c r="T25" i="93" s="1"/>
  <c r="S14" i="93"/>
  <c r="T14" i="93" s="1"/>
  <c r="S10" i="93"/>
  <c r="T10" i="93" s="1"/>
  <c r="J26" i="93"/>
  <c r="L26" i="93" s="1"/>
  <c r="T26" i="93" s="1"/>
  <c r="J28" i="93"/>
  <c r="L28" i="93" s="1"/>
  <c r="T28" i="93" s="1"/>
  <c r="T7" i="93"/>
  <c r="J23" i="93"/>
  <c r="L23" i="93" s="1"/>
  <c r="J27" i="93"/>
  <c r="L27" i="93" s="1"/>
  <c r="T27" i="93" s="1"/>
  <c r="E8" i="93"/>
  <c r="E6" i="93" s="1"/>
  <c r="P8" i="93"/>
  <c r="P6" i="93" s="1"/>
  <c r="S30" i="93"/>
  <c r="T30" i="93" s="1"/>
  <c r="S19" i="93"/>
  <c r="T19" i="93" s="1"/>
  <c r="Q8" i="93"/>
  <c r="Q6" i="93" s="1"/>
  <c r="T9" i="93"/>
  <c r="R8" i="93"/>
  <c r="R6" i="93" s="1"/>
  <c r="F8" i="93"/>
  <c r="F6" i="93" s="1"/>
  <c r="N8" i="93"/>
  <c r="N6" i="93" s="1"/>
  <c r="T13" i="93"/>
  <c r="D8" i="93"/>
  <c r="D6" i="93" s="1"/>
  <c r="S8" i="93" l="1"/>
  <c r="S6" i="93" s="1"/>
  <c r="J8" i="93"/>
  <c r="J6" i="93" s="1"/>
  <c r="L8" i="93"/>
  <c r="L6" i="93" s="1"/>
  <c r="T23" i="93"/>
  <c r="T8" i="93" s="1"/>
  <c r="T6" i="93" s="1"/>
  <c r="O102" i="92" l="1"/>
  <c r="N102" i="92"/>
  <c r="M102" i="92"/>
  <c r="J102" i="92"/>
  <c r="K102" i="92" s="1"/>
  <c r="J101" i="92"/>
  <c r="K101" i="92" s="1"/>
  <c r="K100" i="92"/>
  <c r="W99" i="92"/>
  <c r="W8" i="92" s="1"/>
  <c r="W6" i="92" s="1"/>
  <c r="V99" i="92"/>
  <c r="T99" i="92"/>
  <c r="T8" i="92" s="1"/>
  <c r="T6" i="92" s="1"/>
  <c r="S99" i="92"/>
  <c r="R99" i="92"/>
  <c r="D98" i="92"/>
  <c r="K98" i="92" s="1"/>
  <c r="O97" i="92"/>
  <c r="N97" i="92"/>
  <c r="M97" i="92"/>
  <c r="L97" i="92"/>
  <c r="F97" i="92"/>
  <c r="J97" i="92" s="1"/>
  <c r="K97" i="92" s="1"/>
  <c r="O96" i="92"/>
  <c r="N96" i="92"/>
  <c r="M96" i="92"/>
  <c r="L96" i="92"/>
  <c r="F96" i="92"/>
  <c r="J96" i="92" s="1"/>
  <c r="D96" i="92"/>
  <c r="K95" i="92"/>
  <c r="J94" i="92"/>
  <c r="K94" i="92" s="1"/>
  <c r="J93" i="92"/>
  <c r="K93" i="92" s="1"/>
  <c r="K92" i="92"/>
  <c r="J91" i="92"/>
  <c r="K91" i="92" s="1"/>
  <c r="J90" i="92"/>
  <c r="K90" i="92" s="1"/>
  <c r="K89" i="92"/>
  <c r="J88" i="92"/>
  <c r="K88" i="92" s="1"/>
  <c r="J87" i="92"/>
  <c r="K87" i="92" s="1"/>
  <c r="E86" i="92"/>
  <c r="K86" i="92" s="1"/>
  <c r="K85" i="92"/>
  <c r="J84" i="92"/>
  <c r="K84" i="92" s="1"/>
  <c r="J83" i="92"/>
  <c r="K83" i="92" s="1"/>
  <c r="J82" i="92"/>
  <c r="K82" i="92" s="1"/>
  <c r="K81" i="92"/>
  <c r="F80" i="92"/>
  <c r="J80" i="92" s="1"/>
  <c r="K80" i="92" s="1"/>
  <c r="K79" i="92"/>
  <c r="J78" i="92"/>
  <c r="K78" i="92" s="1"/>
  <c r="I77" i="92"/>
  <c r="I8" i="92" s="1"/>
  <c r="I6" i="92" s="1"/>
  <c r="H77" i="92"/>
  <c r="H8" i="92" s="1"/>
  <c r="H6" i="92" s="1"/>
  <c r="G77" i="92"/>
  <c r="G8" i="92" s="1"/>
  <c r="G6" i="92" s="1"/>
  <c r="F77" i="92"/>
  <c r="K76" i="92"/>
  <c r="O75" i="92"/>
  <c r="N75" i="92"/>
  <c r="M75" i="92"/>
  <c r="L75" i="92"/>
  <c r="F75" i="92"/>
  <c r="J75" i="92" s="1"/>
  <c r="K75" i="92" s="1"/>
  <c r="K74" i="92"/>
  <c r="K73" i="92"/>
  <c r="J72" i="92"/>
  <c r="K72" i="92" s="1"/>
  <c r="J71" i="92"/>
  <c r="K71" i="92" s="1"/>
  <c r="F70" i="92"/>
  <c r="J70" i="92" s="1"/>
  <c r="K70" i="92" s="1"/>
  <c r="J69" i="92"/>
  <c r="D69" i="92"/>
  <c r="F68" i="92"/>
  <c r="J68" i="92" s="1"/>
  <c r="K68" i="92" s="1"/>
  <c r="F67" i="92"/>
  <c r="J67" i="92" s="1"/>
  <c r="E67" i="92"/>
  <c r="J66" i="92"/>
  <c r="K66" i="92" s="1"/>
  <c r="K65" i="92"/>
  <c r="K64" i="92"/>
  <c r="F63" i="92"/>
  <c r="J63" i="92" s="1"/>
  <c r="K63" i="92" s="1"/>
  <c r="K62" i="92"/>
  <c r="J61" i="92"/>
  <c r="K61" i="92" s="1"/>
  <c r="K60" i="92"/>
  <c r="K59" i="92"/>
  <c r="K58" i="92"/>
  <c r="K57" i="92"/>
  <c r="K56" i="92"/>
  <c r="K55" i="92"/>
  <c r="K54" i="92"/>
  <c r="J53" i="92"/>
  <c r="K53" i="92" s="1"/>
  <c r="O52" i="92"/>
  <c r="M52" i="92"/>
  <c r="L52" i="92"/>
  <c r="J52" i="92"/>
  <c r="K52" i="92" s="1"/>
  <c r="J51" i="92"/>
  <c r="K51" i="92" s="1"/>
  <c r="F51" i="92"/>
  <c r="K50" i="92"/>
  <c r="J49" i="92"/>
  <c r="K49" i="92" s="1"/>
  <c r="O48" i="92"/>
  <c r="N48" i="92"/>
  <c r="M48" i="92"/>
  <c r="L48" i="92"/>
  <c r="J48" i="92"/>
  <c r="K48" i="92" s="1"/>
  <c r="J47" i="92"/>
  <c r="K47" i="92" s="1"/>
  <c r="F46" i="92"/>
  <c r="J46" i="92" s="1"/>
  <c r="K46" i="92" s="1"/>
  <c r="N45" i="92"/>
  <c r="M45" i="92"/>
  <c r="L45" i="92"/>
  <c r="F45" i="92"/>
  <c r="J45" i="92" s="1"/>
  <c r="K45" i="92" s="1"/>
  <c r="J44" i="92"/>
  <c r="K44" i="92" s="1"/>
  <c r="N43" i="92"/>
  <c r="M43" i="92"/>
  <c r="L43" i="92"/>
  <c r="J43" i="92"/>
  <c r="K43" i="92" s="1"/>
  <c r="M42" i="92"/>
  <c r="L42" i="92"/>
  <c r="J42" i="92"/>
  <c r="K42" i="92" s="1"/>
  <c r="K41" i="92"/>
  <c r="K40" i="92"/>
  <c r="O39" i="92"/>
  <c r="M39" i="92"/>
  <c r="L39" i="92"/>
  <c r="F39" i="92"/>
  <c r="J39" i="92" s="1"/>
  <c r="K39" i="92" s="1"/>
  <c r="F38" i="92"/>
  <c r="J38" i="92" s="1"/>
  <c r="K38" i="92" s="1"/>
  <c r="N37" i="92"/>
  <c r="M37" i="92"/>
  <c r="P37" i="92" s="1"/>
  <c r="L37" i="92"/>
  <c r="F37" i="92"/>
  <c r="J37" i="92" s="1"/>
  <c r="K37" i="92" s="1"/>
  <c r="J36" i="92"/>
  <c r="K36" i="92" s="1"/>
  <c r="L35" i="92"/>
  <c r="P35" i="92" s="1"/>
  <c r="J35" i="92"/>
  <c r="K35" i="92" s="1"/>
  <c r="O34" i="92"/>
  <c r="N34" i="92"/>
  <c r="M34" i="92"/>
  <c r="L34" i="92"/>
  <c r="J34" i="92"/>
  <c r="K34" i="92" s="1"/>
  <c r="K33" i="92"/>
  <c r="K32" i="92"/>
  <c r="J31" i="92"/>
  <c r="K31" i="92" s="1"/>
  <c r="O30" i="92"/>
  <c r="N30" i="92"/>
  <c r="M30" i="92"/>
  <c r="L30" i="92"/>
  <c r="F30" i="92"/>
  <c r="J30" i="92" s="1"/>
  <c r="K30" i="92" s="1"/>
  <c r="J29" i="92"/>
  <c r="K29" i="92" s="1"/>
  <c r="O28" i="92"/>
  <c r="L28" i="92"/>
  <c r="J28" i="92"/>
  <c r="K28" i="92" s="1"/>
  <c r="O27" i="92"/>
  <c r="N27" i="92"/>
  <c r="M27" i="92"/>
  <c r="L27" i="92"/>
  <c r="J27" i="92"/>
  <c r="K27" i="92" s="1"/>
  <c r="J26" i="92"/>
  <c r="K26" i="92" s="1"/>
  <c r="K25" i="92"/>
  <c r="O24" i="92"/>
  <c r="N24" i="92"/>
  <c r="M24" i="92"/>
  <c r="L24" i="92"/>
  <c r="F24" i="92"/>
  <c r="J24" i="92" s="1"/>
  <c r="K24" i="92" s="1"/>
  <c r="J23" i="92"/>
  <c r="K23" i="92" s="1"/>
  <c r="J22" i="92"/>
  <c r="K22" i="92" s="1"/>
  <c r="J21" i="92"/>
  <c r="K21" i="92" s="1"/>
  <c r="K20" i="92"/>
  <c r="J20" i="92"/>
  <c r="J19" i="92"/>
  <c r="K19" i="92" s="1"/>
  <c r="K18" i="92"/>
  <c r="F17" i="92"/>
  <c r="F16" i="92"/>
  <c r="J16" i="92" s="1"/>
  <c r="K16" i="92" s="1"/>
  <c r="J15" i="92"/>
  <c r="K15" i="92" s="1"/>
  <c r="O14" i="92"/>
  <c r="N14" i="92"/>
  <c r="L14" i="92"/>
  <c r="J14" i="92"/>
  <c r="K14" i="92" s="1"/>
  <c r="J13" i="92"/>
  <c r="K13" i="92" s="1"/>
  <c r="K12" i="92"/>
  <c r="N11" i="92"/>
  <c r="M11" i="92"/>
  <c r="L11" i="92"/>
  <c r="J11" i="92"/>
  <c r="K11" i="92" s="1"/>
  <c r="K10" i="92"/>
  <c r="K9" i="92"/>
  <c r="X8" i="92"/>
  <c r="X6" i="92" s="1"/>
  <c r="U8" i="92"/>
  <c r="U6" i="92" s="1"/>
  <c r="S8" i="92"/>
  <c r="S6" i="92" s="1"/>
  <c r="R8" i="92"/>
  <c r="R6" i="92" s="1"/>
  <c r="Q8" i="92"/>
  <c r="Q6" i="92" s="1"/>
  <c r="P52" i="92" l="1"/>
  <c r="P75" i="92"/>
  <c r="K96" i="92"/>
  <c r="P27" i="92"/>
  <c r="P28" i="92"/>
  <c r="P42" i="92"/>
  <c r="P45" i="92"/>
  <c r="P48" i="92"/>
  <c r="P39" i="92"/>
  <c r="P43" i="92"/>
  <c r="O8" i="92"/>
  <c r="O6" i="92" s="1"/>
  <c r="P30" i="92"/>
  <c r="L8" i="92"/>
  <c r="L6" i="92" s="1"/>
  <c r="F8" i="92"/>
  <c r="F6" i="92" s="1"/>
  <c r="P14" i="92"/>
  <c r="P97" i="92"/>
  <c r="P102" i="92"/>
  <c r="P96" i="92"/>
  <c r="P24" i="92"/>
  <c r="P34" i="92"/>
  <c r="J77" i="92"/>
  <c r="K77" i="92" s="1"/>
  <c r="K69" i="92"/>
  <c r="Y99" i="92"/>
  <c r="P11" i="92"/>
  <c r="J17" i="92"/>
  <c r="D8" i="92"/>
  <c r="D6" i="92" s="1"/>
  <c r="E8" i="92"/>
  <c r="E6" i="92" s="1"/>
  <c r="M8" i="92"/>
  <c r="M6" i="92" s="1"/>
  <c r="K67" i="92"/>
  <c r="N8" i="92"/>
  <c r="N6" i="92" s="1"/>
  <c r="V8" i="92"/>
  <c r="V6" i="92" s="1"/>
  <c r="Y8" i="92" l="1"/>
  <c r="Y6" i="92" s="1"/>
  <c r="K17" i="92"/>
  <c r="J8" i="92"/>
  <c r="J6" i="92" s="1"/>
  <c r="P8" i="92"/>
  <c r="P6" i="92" s="1"/>
  <c r="K8" i="92" l="1"/>
  <c r="K6" i="92" s="1"/>
  <c r="L6" i="91" l="1"/>
  <c r="L52" i="91"/>
  <c r="H52" i="91"/>
  <c r="M52" i="91" s="1"/>
  <c r="J51" i="91"/>
  <c r="I51" i="91"/>
  <c r="H51" i="91"/>
  <c r="L50" i="91"/>
  <c r="H50" i="91"/>
  <c r="M50" i="91" s="1"/>
  <c r="L49" i="91"/>
  <c r="H49" i="91"/>
  <c r="K48" i="91"/>
  <c r="I48" i="91"/>
  <c r="L48" i="91" s="1"/>
  <c r="H48" i="91"/>
  <c r="L47" i="91"/>
  <c r="H47" i="91"/>
  <c r="L46" i="91"/>
  <c r="H46" i="91"/>
  <c r="K45" i="91"/>
  <c r="I45" i="91"/>
  <c r="L45" i="91" s="1"/>
  <c r="H45" i="91"/>
  <c r="M45" i="91" s="1"/>
  <c r="L44" i="91"/>
  <c r="H44" i="91"/>
  <c r="L43" i="91"/>
  <c r="H43" i="91"/>
  <c r="M43" i="91" s="1"/>
  <c r="L42" i="91"/>
  <c r="H42" i="91"/>
  <c r="L41" i="91"/>
  <c r="H41" i="91"/>
  <c r="K40" i="91"/>
  <c r="J40" i="91"/>
  <c r="I40" i="91"/>
  <c r="H40" i="91"/>
  <c r="J39" i="91"/>
  <c r="I39" i="91"/>
  <c r="L39" i="91" s="1"/>
  <c r="H39" i="91"/>
  <c r="L38" i="91"/>
  <c r="H38" i="91"/>
  <c r="L37" i="91"/>
  <c r="H37" i="91"/>
  <c r="M36" i="91"/>
  <c r="L36" i="91"/>
  <c r="H36" i="91"/>
  <c r="L35" i="91"/>
  <c r="H35" i="91"/>
  <c r="M35" i="91" s="1"/>
  <c r="L34" i="91"/>
  <c r="H34" i="91"/>
  <c r="L33" i="91"/>
  <c r="H33" i="91"/>
  <c r="K32" i="91"/>
  <c r="J32" i="91"/>
  <c r="I32" i="91"/>
  <c r="H32" i="91"/>
  <c r="I31" i="91"/>
  <c r="L31" i="91" s="1"/>
  <c r="H31" i="91"/>
  <c r="L30" i="91"/>
  <c r="H30" i="91"/>
  <c r="M30" i="91" s="1"/>
  <c r="L29" i="91"/>
  <c r="L28" i="91"/>
  <c r="H28" i="91"/>
  <c r="M28" i="91" s="1"/>
  <c r="L27" i="91"/>
  <c r="H27" i="91"/>
  <c r="L26" i="91"/>
  <c r="H26" i="91"/>
  <c r="L25" i="91"/>
  <c r="L24" i="91"/>
  <c r="H24" i="91"/>
  <c r="L23" i="91"/>
  <c r="H23" i="91"/>
  <c r="L22" i="91"/>
  <c r="H22" i="91"/>
  <c r="L21" i="91"/>
  <c r="L20" i="91"/>
  <c r="M20" i="91" s="1"/>
  <c r="H20" i="91"/>
  <c r="L19" i="91"/>
  <c r="H19" i="91"/>
  <c r="L18" i="91"/>
  <c r="H18" i="91"/>
  <c r="L17" i="91"/>
  <c r="L16" i="91"/>
  <c r="H16" i="91"/>
  <c r="M16" i="91" s="1"/>
  <c r="J15" i="91"/>
  <c r="I15" i="91"/>
  <c r="H15" i="91"/>
  <c r="L14" i="91"/>
  <c r="H14" i="91"/>
  <c r="L13" i="91"/>
  <c r="H13" i="91"/>
  <c r="M13" i="91" s="1"/>
  <c r="L12" i="91"/>
  <c r="M12" i="91" s="1"/>
  <c r="I12" i="91"/>
  <c r="H12" i="91"/>
  <c r="L11" i="91"/>
  <c r="H11" i="91"/>
  <c r="L10" i="91"/>
  <c r="H10" i="91"/>
  <c r="I9" i="91"/>
  <c r="H9" i="91"/>
  <c r="L8" i="91"/>
  <c r="D7" i="91"/>
  <c r="D5" i="91" s="1"/>
  <c r="G7" i="91"/>
  <c r="G5" i="91" s="1"/>
  <c r="F7" i="91"/>
  <c r="F5" i="91" s="1"/>
  <c r="H6" i="91"/>
  <c r="M42" i="91" l="1"/>
  <c r="M19" i="91"/>
  <c r="L32" i="91"/>
  <c r="L15" i="91"/>
  <c r="M15" i="91" s="1"/>
  <c r="M24" i="91"/>
  <c r="M14" i="91"/>
  <c r="M18" i="91"/>
  <c r="M27" i="91"/>
  <c r="M38" i="91"/>
  <c r="M10" i="91"/>
  <c r="L40" i="91"/>
  <c r="M44" i="91"/>
  <c r="M11" i="91"/>
  <c r="M23" i="91"/>
  <c r="M40" i="91"/>
  <c r="M22" i="91"/>
  <c r="M32" i="91"/>
  <c r="M34" i="91"/>
  <c r="H17" i="91"/>
  <c r="M17" i="91" s="1"/>
  <c r="M47" i="91"/>
  <c r="M39" i="91"/>
  <c r="M41" i="91"/>
  <c r="M48" i="91"/>
  <c r="H21" i="91"/>
  <c r="M21" i="91" s="1"/>
  <c r="M33" i="91"/>
  <c r="L51" i="91"/>
  <c r="M51" i="91" s="1"/>
  <c r="E7" i="91"/>
  <c r="E5" i="91" s="1"/>
  <c r="M31" i="91"/>
  <c r="J7" i="91"/>
  <c r="J5" i="91" s="1"/>
  <c r="K7" i="91"/>
  <c r="K5" i="91" s="1"/>
  <c r="M26" i="91"/>
  <c r="H29" i="91"/>
  <c r="M29" i="91" s="1"/>
  <c r="M37" i="91"/>
  <c r="M46" i="91"/>
  <c r="M49" i="91"/>
  <c r="H25" i="91"/>
  <c r="M25" i="91" s="1"/>
  <c r="I7" i="91"/>
  <c r="I5" i="91" s="1"/>
  <c r="H8" i="91"/>
  <c r="L9" i="91"/>
  <c r="M9" i="91" s="1"/>
  <c r="M6" i="91" l="1"/>
  <c r="M8" i="91"/>
  <c r="H7" i="91"/>
  <c r="H5" i="91" s="1"/>
  <c r="L7" i="91"/>
  <c r="L5" i="91" s="1"/>
  <c r="M7" i="91" l="1"/>
  <c r="M5" i="91" s="1"/>
  <c r="E89" i="89" l="1"/>
  <c r="K89" i="89"/>
  <c r="H89" i="87" l="1"/>
  <c r="U144" i="87"/>
  <c r="O88" i="84" l="1"/>
  <c r="O143" i="84"/>
  <c r="I158" i="90" l="1"/>
  <c r="D158" i="90"/>
  <c r="I157" i="90"/>
  <c r="D157" i="90"/>
  <c r="I156" i="90"/>
  <c r="D156" i="90"/>
  <c r="I155" i="90"/>
  <c r="D155" i="90"/>
  <c r="I154" i="90"/>
  <c r="D154" i="90"/>
  <c r="I153" i="90"/>
  <c r="D153" i="90"/>
  <c r="I152" i="90"/>
  <c r="D152" i="90"/>
  <c r="I151" i="90"/>
  <c r="D151" i="90"/>
  <c r="I150" i="90"/>
  <c r="D150" i="90"/>
  <c r="I149" i="90"/>
  <c r="D149" i="90"/>
  <c r="I148" i="90"/>
  <c r="D148" i="90"/>
  <c r="I147" i="90"/>
  <c r="D147" i="90"/>
  <c r="I146" i="90"/>
  <c r="D146" i="90"/>
  <c r="I145" i="90"/>
  <c r="D145" i="90"/>
  <c r="I144" i="90"/>
  <c r="D144" i="90"/>
  <c r="I143" i="90"/>
  <c r="D143" i="90"/>
  <c r="I142" i="90"/>
  <c r="D142" i="90"/>
  <c r="I141" i="90"/>
  <c r="D141" i="90"/>
  <c r="I140" i="90"/>
  <c r="D140" i="90"/>
  <c r="I139" i="90"/>
  <c r="D139" i="90"/>
  <c r="I138" i="90"/>
  <c r="D138" i="90"/>
  <c r="I137" i="90"/>
  <c r="D137" i="90"/>
  <c r="I136" i="90"/>
  <c r="D136" i="90"/>
  <c r="I135" i="90"/>
  <c r="D135" i="90"/>
  <c r="I134" i="90"/>
  <c r="D134" i="90"/>
  <c r="I133" i="90"/>
  <c r="D133" i="90"/>
  <c r="I132" i="90"/>
  <c r="D132" i="90"/>
  <c r="I131" i="90"/>
  <c r="D131" i="90"/>
  <c r="I130" i="90"/>
  <c r="D130" i="90"/>
  <c r="I129" i="90"/>
  <c r="D129" i="90"/>
  <c r="I128" i="90"/>
  <c r="D128" i="90"/>
  <c r="I127" i="90"/>
  <c r="D127" i="90"/>
  <c r="I126" i="90"/>
  <c r="D126" i="90"/>
  <c r="I125" i="90"/>
  <c r="D125" i="90"/>
  <c r="I124" i="90"/>
  <c r="D124" i="90"/>
  <c r="I123" i="90"/>
  <c r="D123" i="90"/>
  <c r="I122" i="90"/>
  <c r="D122" i="90"/>
  <c r="I121" i="90"/>
  <c r="D121" i="90"/>
  <c r="I120" i="90"/>
  <c r="D120" i="90"/>
  <c r="I119" i="90"/>
  <c r="D119" i="90"/>
  <c r="I118" i="90"/>
  <c r="D118" i="90"/>
  <c r="I117" i="90"/>
  <c r="D117" i="90"/>
  <c r="I116" i="90"/>
  <c r="D116" i="90"/>
  <c r="I115" i="90"/>
  <c r="D115" i="90"/>
  <c r="I114" i="90"/>
  <c r="D114" i="90"/>
  <c r="I113" i="90"/>
  <c r="D113" i="90"/>
  <c r="I112" i="90"/>
  <c r="D112" i="90"/>
  <c r="I111" i="90"/>
  <c r="D111" i="90"/>
  <c r="I110" i="90"/>
  <c r="D110" i="90"/>
  <c r="I109" i="90"/>
  <c r="D109" i="90"/>
  <c r="I108" i="90"/>
  <c r="D108" i="90"/>
  <c r="I107" i="90"/>
  <c r="D107" i="90"/>
  <c r="I106" i="90"/>
  <c r="D106" i="90"/>
  <c r="I105" i="90"/>
  <c r="D105" i="90"/>
  <c r="I104" i="90"/>
  <c r="D104" i="90"/>
  <c r="I103" i="90"/>
  <c r="D103" i="90"/>
  <c r="I102" i="90"/>
  <c r="D102" i="90"/>
  <c r="I101" i="90"/>
  <c r="D101" i="90"/>
  <c r="L100" i="90"/>
  <c r="I100" i="90" s="1"/>
  <c r="G100" i="90"/>
  <c r="D100" i="90" s="1"/>
  <c r="I99" i="90"/>
  <c r="D99" i="90"/>
  <c r="I98" i="90"/>
  <c r="D98" i="90"/>
  <c r="I97" i="90"/>
  <c r="D97" i="90"/>
  <c r="I96" i="90"/>
  <c r="D96" i="90"/>
  <c r="I95" i="90"/>
  <c r="D95" i="90"/>
  <c r="I94" i="90"/>
  <c r="D94" i="90"/>
  <c r="I93" i="90"/>
  <c r="D93" i="90"/>
  <c r="I92" i="90"/>
  <c r="D92" i="90"/>
  <c r="I91" i="90"/>
  <c r="D91" i="90"/>
  <c r="I90" i="90"/>
  <c r="D90" i="90"/>
  <c r="J89" i="90"/>
  <c r="I89" i="90" s="1"/>
  <c r="D89" i="90"/>
  <c r="I88" i="90"/>
  <c r="D88" i="90"/>
  <c r="I87" i="90"/>
  <c r="D87" i="90"/>
  <c r="I86" i="90"/>
  <c r="D86" i="90"/>
  <c r="I85" i="90"/>
  <c r="D85" i="90"/>
  <c r="I84" i="90"/>
  <c r="D84" i="90"/>
  <c r="I83" i="90"/>
  <c r="D83" i="90"/>
  <c r="I82" i="90"/>
  <c r="D82" i="90"/>
  <c r="I81" i="90"/>
  <c r="D81" i="90"/>
  <c r="I80" i="90"/>
  <c r="D80" i="90"/>
  <c r="I79" i="90"/>
  <c r="D79" i="90"/>
  <c r="I78" i="90"/>
  <c r="D78" i="90"/>
  <c r="I77" i="90"/>
  <c r="D77" i="90"/>
  <c r="I76" i="90"/>
  <c r="D76" i="90"/>
  <c r="I75" i="90"/>
  <c r="D75" i="90"/>
  <c r="I74" i="90"/>
  <c r="D74" i="90"/>
  <c r="K73" i="90"/>
  <c r="I73" i="90" s="1"/>
  <c r="D73" i="90"/>
  <c r="I72" i="90"/>
  <c r="D72" i="90"/>
  <c r="I71" i="90"/>
  <c r="D71" i="90"/>
  <c r="I70" i="90"/>
  <c r="D70" i="90"/>
  <c r="I69" i="90"/>
  <c r="D69" i="90"/>
  <c r="I68" i="90"/>
  <c r="D68" i="90"/>
  <c r="I67" i="90"/>
  <c r="D67" i="90"/>
  <c r="I66" i="90"/>
  <c r="D66" i="90"/>
  <c r="I65" i="90"/>
  <c r="D65" i="90"/>
  <c r="I64" i="90"/>
  <c r="D64" i="90"/>
  <c r="I63" i="90"/>
  <c r="D63" i="90"/>
  <c r="I62" i="90"/>
  <c r="D62" i="90"/>
  <c r="I61" i="90"/>
  <c r="D61" i="90"/>
  <c r="I60" i="90"/>
  <c r="D60" i="90"/>
  <c r="I59" i="90"/>
  <c r="D59" i="90"/>
  <c r="I58" i="90"/>
  <c r="D58" i="90"/>
  <c r="I57" i="90"/>
  <c r="D57" i="90"/>
  <c r="I56" i="90"/>
  <c r="D56" i="90"/>
  <c r="I55" i="90"/>
  <c r="D55" i="90"/>
  <c r="I54" i="90"/>
  <c r="D54" i="90"/>
  <c r="I53" i="90"/>
  <c r="D53" i="90"/>
  <c r="I52" i="90"/>
  <c r="D52" i="90"/>
  <c r="I51" i="90"/>
  <c r="D51" i="90"/>
  <c r="I50" i="90"/>
  <c r="D50" i="90"/>
  <c r="I49" i="90"/>
  <c r="D49" i="90"/>
  <c r="M48" i="90"/>
  <c r="L48" i="90"/>
  <c r="D48" i="90"/>
  <c r="I47" i="90"/>
  <c r="D47" i="90"/>
  <c r="I46" i="90"/>
  <c r="D46" i="90"/>
  <c r="I45" i="90"/>
  <c r="D45" i="90"/>
  <c r="M44" i="90"/>
  <c r="L44" i="90"/>
  <c r="I44" i="90" s="1"/>
  <c r="D44" i="90"/>
  <c r="I43" i="90"/>
  <c r="D43" i="90"/>
  <c r="I42" i="90"/>
  <c r="D42" i="90"/>
  <c r="I41" i="90"/>
  <c r="D41" i="90"/>
  <c r="I40" i="90"/>
  <c r="D40" i="90"/>
  <c r="I39" i="90"/>
  <c r="D39" i="90"/>
  <c r="I38" i="90"/>
  <c r="D38" i="90"/>
  <c r="I37" i="90"/>
  <c r="D37" i="90"/>
  <c r="I36" i="90"/>
  <c r="D36" i="90"/>
  <c r="I35" i="90"/>
  <c r="D35" i="90"/>
  <c r="I34" i="90"/>
  <c r="D34" i="90"/>
  <c r="I33" i="90"/>
  <c r="D33" i="90"/>
  <c r="I32" i="90"/>
  <c r="D32" i="90"/>
  <c r="I31" i="90"/>
  <c r="D31" i="90"/>
  <c r="I30" i="90"/>
  <c r="D30" i="90"/>
  <c r="I29" i="90"/>
  <c r="D29" i="90"/>
  <c r="I28" i="90"/>
  <c r="D28" i="90"/>
  <c r="I27" i="90"/>
  <c r="D27" i="90"/>
  <c r="I26" i="90"/>
  <c r="D26" i="90"/>
  <c r="I25" i="90"/>
  <c r="D25" i="90"/>
  <c r="I24" i="90"/>
  <c r="D24" i="90"/>
  <c r="I23" i="90"/>
  <c r="D23" i="90"/>
  <c r="I22" i="90"/>
  <c r="D22" i="90"/>
  <c r="I21" i="90"/>
  <c r="D21" i="90"/>
  <c r="I20" i="90"/>
  <c r="D20" i="90"/>
  <c r="I19" i="90"/>
  <c r="D19" i="90"/>
  <c r="I18" i="90"/>
  <c r="D18" i="90"/>
  <c r="I17" i="90"/>
  <c r="D17" i="90"/>
  <c r="I16" i="90"/>
  <c r="D16" i="90"/>
  <c r="M15" i="90"/>
  <c r="I15" i="90" s="1"/>
  <c r="H15" i="90"/>
  <c r="D15" i="90"/>
  <c r="I14" i="90"/>
  <c r="D14" i="90"/>
  <c r="I13" i="90"/>
  <c r="D13" i="90"/>
  <c r="I12" i="90"/>
  <c r="D12" i="90"/>
  <c r="I11" i="90"/>
  <c r="D11" i="90"/>
  <c r="J10" i="90"/>
  <c r="J160" i="90" s="1"/>
  <c r="H10" i="90"/>
  <c r="H160" i="90" s="1"/>
  <c r="G10" i="90"/>
  <c r="G160" i="90" s="1"/>
  <c r="F10" i="90"/>
  <c r="F160" i="90" s="1"/>
  <c r="E10" i="90"/>
  <c r="E160" i="90" s="1"/>
  <c r="I9" i="90"/>
  <c r="D9" i="90"/>
  <c r="E8" i="90" l="1"/>
  <c r="K10" i="90"/>
  <c r="K160" i="90" s="1"/>
  <c r="H8" i="90"/>
  <c r="I48" i="90"/>
  <c r="G162" i="90"/>
  <c r="G164" i="90" s="1"/>
  <c r="H162" i="90"/>
  <c r="H164" i="90" s="1"/>
  <c r="L10" i="90"/>
  <c r="K162" i="90"/>
  <c r="K164" i="90" s="1"/>
  <c r="F8" i="90"/>
  <c r="J8" i="90"/>
  <c r="D10" i="90"/>
  <c r="G8" i="90"/>
  <c r="K8" i="90"/>
  <c r="E162" i="90"/>
  <c r="E164" i="90" s="1"/>
  <c r="M10" i="90"/>
  <c r="F162" i="90"/>
  <c r="F164" i="90" s="1"/>
  <c r="J162" i="90"/>
  <c r="J164" i="90" s="1"/>
  <c r="E166" i="90" l="1"/>
  <c r="E168" i="90" s="1"/>
  <c r="M160" i="90"/>
  <c r="M8" i="90"/>
  <c r="I10" i="90"/>
  <c r="D8" i="90"/>
  <c r="L8" i="90"/>
  <c r="L160" i="90"/>
  <c r="I8" i="90" l="1"/>
  <c r="L162" i="90"/>
  <c r="L164" i="90" s="1"/>
  <c r="M162" i="90"/>
  <c r="M164" i="90" s="1"/>
  <c r="J166" i="90" l="1"/>
  <c r="J168" i="90" s="1"/>
  <c r="D158" i="89" l="1"/>
  <c r="D157" i="89"/>
  <c r="D156" i="89"/>
  <c r="D155" i="89"/>
  <c r="D154" i="89"/>
  <c r="D153" i="89"/>
  <c r="D152" i="89"/>
  <c r="D151" i="89"/>
  <c r="D150" i="89"/>
  <c r="D149" i="89"/>
  <c r="D148" i="89"/>
  <c r="D147" i="89"/>
  <c r="P146" i="89"/>
  <c r="P10" i="89" s="1"/>
  <c r="P8" i="89" s="1"/>
  <c r="J146" i="89"/>
  <c r="D146" i="89" s="1"/>
  <c r="D145" i="89"/>
  <c r="D144" i="89"/>
  <c r="O143" i="89"/>
  <c r="D143" i="89"/>
  <c r="D142" i="89"/>
  <c r="D141" i="89"/>
  <c r="D140" i="89"/>
  <c r="D139" i="89"/>
  <c r="D138" i="89"/>
  <c r="D137" i="89"/>
  <c r="D136" i="89"/>
  <c r="D135" i="89"/>
  <c r="D134" i="89"/>
  <c r="D133" i="89"/>
  <c r="D132" i="89"/>
  <c r="D131" i="89"/>
  <c r="D130" i="89"/>
  <c r="D129" i="89"/>
  <c r="D128" i="89"/>
  <c r="D127" i="89"/>
  <c r="D126" i="89"/>
  <c r="D125" i="89"/>
  <c r="D124" i="89"/>
  <c r="D123" i="89"/>
  <c r="D122" i="89"/>
  <c r="D121" i="89"/>
  <c r="D120" i="89"/>
  <c r="D119" i="89"/>
  <c r="D118" i="89"/>
  <c r="D117" i="89"/>
  <c r="D116" i="89"/>
  <c r="D115" i="89"/>
  <c r="D114" i="89"/>
  <c r="D113" i="89"/>
  <c r="D112" i="89"/>
  <c r="D111" i="89"/>
  <c r="D110" i="89"/>
  <c r="D109" i="89"/>
  <c r="D108" i="89"/>
  <c r="D107" i="89"/>
  <c r="D106" i="89"/>
  <c r="D105" i="89"/>
  <c r="D104" i="89"/>
  <c r="D103" i="89"/>
  <c r="D102" i="89"/>
  <c r="D101" i="89"/>
  <c r="D100" i="89"/>
  <c r="D99" i="89"/>
  <c r="D98" i="89"/>
  <c r="D97" i="89"/>
  <c r="D96" i="89"/>
  <c r="D95" i="89"/>
  <c r="D94" i="89"/>
  <c r="D93" i="89"/>
  <c r="D92" i="89"/>
  <c r="D91" i="89"/>
  <c r="D90" i="89"/>
  <c r="K10" i="89"/>
  <c r="K8" i="89" s="1"/>
  <c r="D89" i="89"/>
  <c r="D88" i="89"/>
  <c r="D87" i="89"/>
  <c r="D86" i="89"/>
  <c r="D85" i="89"/>
  <c r="D84" i="89"/>
  <c r="D83" i="89"/>
  <c r="D82" i="89"/>
  <c r="D81" i="89"/>
  <c r="D80" i="89"/>
  <c r="D79" i="89"/>
  <c r="D78" i="89"/>
  <c r="D77" i="89"/>
  <c r="M76" i="89"/>
  <c r="D76" i="89"/>
  <c r="D75" i="89"/>
  <c r="D74" i="89"/>
  <c r="L73" i="89"/>
  <c r="L10" i="89" s="1"/>
  <c r="L8" i="89" s="1"/>
  <c r="D73" i="89"/>
  <c r="D72" i="89"/>
  <c r="D71" i="89"/>
  <c r="D70" i="89"/>
  <c r="D69" i="89"/>
  <c r="D68" i="89"/>
  <c r="D67" i="89"/>
  <c r="D66" i="89"/>
  <c r="D65" i="89"/>
  <c r="D64" i="89"/>
  <c r="D63" i="89"/>
  <c r="D62" i="89"/>
  <c r="D61" i="89"/>
  <c r="D60" i="89"/>
  <c r="D59" i="89"/>
  <c r="D58" i="89"/>
  <c r="D57" i="89"/>
  <c r="D56" i="89"/>
  <c r="D55" i="89"/>
  <c r="D54" i="89"/>
  <c r="N53" i="89"/>
  <c r="N10" i="89" s="1"/>
  <c r="N8" i="89" s="1"/>
  <c r="M53" i="89"/>
  <c r="D53" i="89"/>
  <c r="D52" i="89"/>
  <c r="D51" i="89"/>
  <c r="D50" i="89"/>
  <c r="D49" i="89"/>
  <c r="D48" i="89"/>
  <c r="D47" i="89"/>
  <c r="D46" i="89"/>
  <c r="D45" i="89"/>
  <c r="D44" i="89"/>
  <c r="D43" i="89"/>
  <c r="D42" i="89"/>
  <c r="D41" i="89"/>
  <c r="D40" i="89"/>
  <c r="D39" i="89"/>
  <c r="D38" i="89"/>
  <c r="D37" i="89"/>
  <c r="D36" i="89"/>
  <c r="D35" i="89"/>
  <c r="D34" i="89"/>
  <c r="D33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M14" i="89"/>
  <c r="D14" i="89"/>
  <c r="D13" i="89"/>
  <c r="D12" i="89"/>
  <c r="D11" i="89"/>
  <c r="O10" i="89"/>
  <c r="O8" i="89" s="1"/>
  <c r="J10" i="89"/>
  <c r="J8" i="89" s="1"/>
  <c r="I10" i="89"/>
  <c r="I8" i="89" s="1"/>
  <c r="H10" i="89"/>
  <c r="H8" i="89" s="1"/>
  <c r="G10" i="89"/>
  <c r="G8" i="89" s="1"/>
  <c r="F10" i="89"/>
  <c r="F8" i="89" s="1"/>
  <c r="E10" i="89"/>
  <c r="D9" i="89"/>
  <c r="D10" i="89" l="1"/>
  <c r="E8" i="89"/>
  <c r="M10" i="89"/>
  <c r="M8" i="89" s="1"/>
  <c r="D8" i="89"/>
  <c r="J158" i="88" l="1"/>
  <c r="E158" i="88"/>
  <c r="J157" i="88"/>
  <c r="E157" i="88"/>
  <c r="D157" i="88" s="1"/>
  <c r="J156" i="88"/>
  <c r="E156" i="88"/>
  <c r="J155" i="88"/>
  <c r="E155" i="88"/>
  <c r="D155" i="88" s="1"/>
  <c r="J154" i="88"/>
  <c r="E154" i="88"/>
  <c r="J153" i="88"/>
  <c r="E153" i="88"/>
  <c r="D153" i="88" s="1"/>
  <c r="J152" i="88"/>
  <c r="E152" i="88"/>
  <c r="J151" i="88"/>
  <c r="E151" i="88"/>
  <c r="D151" i="88" s="1"/>
  <c r="J150" i="88"/>
  <c r="E150" i="88"/>
  <c r="J149" i="88"/>
  <c r="E149" i="88"/>
  <c r="D149" i="88" s="1"/>
  <c r="J148" i="88"/>
  <c r="E148" i="88"/>
  <c r="J147" i="88"/>
  <c r="E147" i="88"/>
  <c r="D147" i="88" s="1"/>
  <c r="J146" i="88"/>
  <c r="E146" i="88"/>
  <c r="J145" i="88"/>
  <c r="E145" i="88"/>
  <c r="D145" i="88" s="1"/>
  <c r="J144" i="88"/>
  <c r="E144" i="88"/>
  <c r="J143" i="88"/>
  <c r="E143" i="88"/>
  <c r="D143" i="88" s="1"/>
  <c r="J142" i="88"/>
  <c r="E142" i="88"/>
  <c r="J141" i="88"/>
  <c r="E141" i="88"/>
  <c r="D141" i="88" s="1"/>
  <c r="J140" i="88"/>
  <c r="E140" i="88"/>
  <c r="J139" i="88"/>
  <c r="E139" i="88"/>
  <c r="D139" i="88" s="1"/>
  <c r="J138" i="88"/>
  <c r="E138" i="88"/>
  <c r="J137" i="88"/>
  <c r="E137" i="88"/>
  <c r="D137" i="88" s="1"/>
  <c r="J136" i="88"/>
  <c r="E136" i="88"/>
  <c r="J135" i="88"/>
  <c r="E135" i="88"/>
  <c r="D135" i="88" s="1"/>
  <c r="J134" i="88"/>
  <c r="E134" i="88"/>
  <c r="J133" i="88"/>
  <c r="E133" i="88"/>
  <c r="J132" i="88"/>
  <c r="E132" i="88"/>
  <c r="J131" i="88"/>
  <c r="E131" i="88"/>
  <c r="J130" i="88"/>
  <c r="E130" i="88"/>
  <c r="J129" i="88"/>
  <c r="E129" i="88"/>
  <c r="J128" i="88"/>
  <c r="E128" i="88"/>
  <c r="J127" i="88"/>
  <c r="E127" i="88"/>
  <c r="J126" i="88"/>
  <c r="E126" i="88"/>
  <c r="J125" i="88"/>
  <c r="E125" i="88"/>
  <c r="J124" i="88"/>
  <c r="E124" i="88"/>
  <c r="J123" i="88"/>
  <c r="E123" i="88"/>
  <c r="J122" i="88"/>
  <c r="E122" i="88"/>
  <c r="J121" i="88"/>
  <c r="E121" i="88"/>
  <c r="J120" i="88"/>
  <c r="E120" i="88"/>
  <c r="J119" i="88"/>
  <c r="E119" i="88"/>
  <c r="J118" i="88"/>
  <c r="E118" i="88"/>
  <c r="J117" i="88"/>
  <c r="E117" i="88"/>
  <c r="D117" i="88" s="1"/>
  <c r="J116" i="88"/>
  <c r="E116" i="88"/>
  <c r="J115" i="88"/>
  <c r="E115" i="88"/>
  <c r="J114" i="88"/>
  <c r="E114" i="88"/>
  <c r="J113" i="88"/>
  <c r="E113" i="88"/>
  <c r="J112" i="88"/>
  <c r="E112" i="88"/>
  <c r="D112" i="88" s="1"/>
  <c r="J111" i="88"/>
  <c r="E111" i="88"/>
  <c r="J110" i="88"/>
  <c r="E110" i="88"/>
  <c r="D110" i="88" s="1"/>
  <c r="J109" i="88"/>
  <c r="E109" i="88"/>
  <c r="J108" i="88"/>
  <c r="E108" i="88"/>
  <c r="J107" i="88"/>
  <c r="E107" i="88"/>
  <c r="J106" i="88"/>
  <c r="E106" i="88"/>
  <c r="J105" i="88"/>
  <c r="E105" i="88"/>
  <c r="J104" i="88"/>
  <c r="E104" i="88"/>
  <c r="J103" i="88"/>
  <c r="E103" i="88"/>
  <c r="J102" i="88"/>
  <c r="E102" i="88"/>
  <c r="J101" i="88"/>
  <c r="E101" i="88"/>
  <c r="M100" i="88"/>
  <c r="M10" i="88" s="1"/>
  <c r="M8" i="88" s="1"/>
  <c r="E100" i="88"/>
  <c r="J99" i="88"/>
  <c r="E99" i="88"/>
  <c r="J98" i="88"/>
  <c r="E98" i="88"/>
  <c r="J97" i="88"/>
  <c r="E97" i="88"/>
  <c r="J96" i="88"/>
  <c r="E96" i="88"/>
  <c r="J95" i="88"/>
  <c r="E95" i="88"/>
  <c r="J94" i="88"/>
  <c r="E94" i="88"/>
  <c r="J93" i="88"/>
  <c r="E93" i="88"/>
  <c r="J92" i="88"/>
  <c r="E92" i="88"/>
  <c r="J91" i="88"/>
  <c r="E91" i="88"/>
  <c r="J90" i="88"/>
  <c r="E90" i="88"/>
  <c r="J89" i="88"/>
  <c r="E89" i="88"/>
  <c r="J88" i="88"/>
  <c r="E88" i="88"/>
  <c r="J87" i="88"/>
  <c r="E87" i="88"/>
  <c r="J86" i="88"/>
  <c r="E86" i="88"/>
  <c r="J85" i="88"/>
  <c r="E85" i="88"/>
  <c r="J84" i="88"/>
  <c r="E84" i="88"/>
  <c r="J83" i="88"/>
  <c r="E83" i="88"/>
  <c r="J82" i="88"/>
  <c r="E82" i="88"/>
  <c r="J81" i="88"/>
  <c r="E81" i="88"/>
  <c r="J80" i="88"/>
  <c r="E80" i="88"/>
  <c r="J79" i="88"/>
  <c r="E79" i="88"/>
  <c r="J78" i="88"/>
  <c r="E78" i="88"/>
  <c r="J77" i="88"/>
  <c r="E77" i="88"/>
  <c r="J76" i="88"/>
  <c r="E76" i="88"/>
  <c r="J75" i="88"/>
  <c r="E75" i="88"/>
  <c r="J74" i="88"/>
  <c r="E74" i="88"/>
  <c r="J73" i="88"/>
  <c r="E73" i="88"/>
  <c r="J72" i="88"/>
  <c r="E72" i="88"/>
  <c r="J71" i="88"/>
  <c r="E71" i="88"/>
  <c r="J70" i="88"/>
  <c r="E70" i="88"/>
  <c r="J69" i="88"/>
  <c r="E69" i="88"/>
  <c r="J68" i="88"/>
  <c r="E68" i="88"/>
  <c r="J67" i="88"/>
  <c r="E67" i="88"/>
  <c r="J66" i="88"/>
  <c r="E66" i="88"/>
  <c r="J65" i="88"/>
  <c r="E65" i="88"/>
  <c r="J64" i="88"/>
  <c r="E64" i="88"/>
  <c r="J63" i="88"/>
  <c r="E63" i="88"/>
  <c r="D63" i="88" s="1"/>
  <c r="J62" i="88"/>
  <c r="E62" i="88"/>
  <c r="J61" i="88"/>
  <c r="E61" i="88"/>
  <c r="J60" i="88"/>
  <c r="E60" i="88"/>
  <c r="J59" i="88"/>
  <c r="E59" i="88"/>
  <c r="D59" i="88" s="1"/>
  <c r="J58" i="88"/>
  <c r="E58" i="88"/>
  <c r="J57" i="88"/>
  <c r="E57" i="88"/>
  <c r="J56" i="88"/>
  <c r="E56" i="88"/>
  <c r="J55" i="88"/>
  <c r="E55" i="88"/>
  <c r="J54" i="88"/>
  <c r="E54" i="88"/>
  <c r="J53" i="88"/>
  <c r="E53" i="88"/>
  <c r="J52" i="88"/>
  <c r="E52" i="88"/>
  <c r="J51" i="88"/>
  <c r="E51" i="88"/>
  <c r="J50" i="88"/>
  <c r="E50" i="88"/>
  <c r="J49" i="88"/>
  <c r="E49" i="88"/>
  <c r="J48" i="88"/>
  <c r="E48" i="88"/>
  <c r="J47" i="88"/>
  <c r="E47" i="88"/>
  <c r="J46" i="88"/>
  <c r="E46" i="88"/>
  <c r="J45" i="88"/>
  <c r="E45" i="88"/>
  <c r="J44" i="88"/>
  <c r="E44" i="88"/>
  <c r="J43" i="88"/>
  <c r="E43" i="88"/>
  <c r="J42" i="88"/>
  <c r="E42" i="88"/>
  <c r="J41" i="88"/>
  <c r="E41" i="88"/>
  <c r="J40" i="88"/>
  <c r="E40" i="88"/>
  <c r="J39" i="88"/>
  <c r="E39" i="88"/>
  <c r="J38" i="88"/>
  <c r="E38" i="88"/>
  <c r="J37" i="88"/>
  <c r="E37" i="88"/>
  <c r="J36" i="88"/>
  <c r="E36" i="88"/>
  <c r="J35" i="88"/>
  <c r="E35" i="88"/>
  <c r="J34" i="88"/>
  <c r="E34" i="88"/>
  <c r="J33" i="88"/>
  <c r="E33" i="88"/>
  <c r="J32" i="88"/>
  <c r="E32" i="88"/>
  <c r="J31" i="88"/>
  <c r="E31" i="88"/>
  <c r="J30" i="88"/>
  <c r="E30" i="88"/>
  <c r="J29" i="88"/>
  <c r="E29" i="88"/>
  <c r="J28" i="88"/>
  <c r="E28" i="88"/>
  <c r="J27" i="88"/>
  <c r="E27" i="88"/>
  <c r="J26" i="88"/>
  <c r="E26" i="88"/>
  <c r="J25" i="88"/>
  <c r="E25" i="88"/>
  <c r="J24" i="88"/>
  <c r="E24" i="88"/>
  <c r="J23" i="88"/>
  <c r="E23" i="88"/>
  <c r="J22" i="88"/>
  <c r="E22" i="88"/>
  <c r="J21" i="88"/>
  <c r="E21" i="88"/>
  <c r="J20" i="88"/>
  <c r="E20" i="88"/>
  <c r="J19" i="88"/>
  <c r="E19" i="88"/>
  <c r="J18" i="88"/>
  <c r="E18" i="88"/>
  <c r="J17" i="88"/>
  <c r="E17" i="88"/>
  <c r="J16" i="88"/>
  <c r="E16" i="88"/>
  <c r="J15" i="88"/>
  <c r="E15" i="88"/>
  <c r="J14" i="88"/>
  <c r="E14" i="88"/>
  <c r="J13" i="88"/>
  <c r="E13" i="88"/>
  <c r="J12" i="88"/>
  <c r="E12" i="88"/>
  <c r="J11" i="88"/>
  <c r="E11" i="88"/>
  <c r="P10" i="88"/>
  <c r="P8" i="88" s="1"/>
  <c r="O10" i="88"/>
  <c r="O8" i="88" s="1"/>
  <c r="N10" i="88"/>
  <c r="L10" i="88"/>
  <c r="L8" i="88" s="1"/>
  <c r="K10" i="88"/>
  <c r="K8" i="88" s="1"/>
  <c r="I10" i="88"/>
  <c r="I8" i="88" s="1"/>
  <c r="H10" i="88"/>
  <c r="H8" i="88" s="1"/>
  <c r="G10" i="88"/>
  <c r="G8" i="88" s="1"/>
  <c r="F10" i="88"/>
  <c r="F8" i="88" s="1"/>
  <c r="J9" i="88"/>
  <c r="E9" i="88"/>
  <c r="N8" i="88"/>
  <c r="D18" i="88" l="1"/>
  <c r="D22" i="88"/>
  <c r="D26" i="88"/>
  <c r="D30" i="88"/>
  <c r="D34" i="88"/>
  <c r="D38" i="88"/>
  <c r="D42" i="88"/>
  <c r="D46" i="88"/>
  <c r="D50" i="88"/>
  <c r="D54" i="88"/>
  <c r="D58" i="88"/>
  <c r="D62" i="88"/>
  <c r="D66" i="88"/>
  <c r="D74" i="88"/>
  <c r="D78" i="88"/>
  <c r="D82" i="88"/>
  <c r="D86" i="88"/>
  <c r="D90" i="88"/>
  <c r="D94" i="88"/>
  <c r="D98" i="88"/>
  <c r="D15" i="88"/>
  <c r="D19" i="88"/>
  <c r="D23" i="88"/>
  <c r="D27" i="88"/>
  <c r="D35" i="88"/>
  <c r="D39" i="88"/>
  <c r="D43" i="88"/>
  <c r="D51" i="88"/>
  <c r="D67" i="88"/>
  <c r="D71" i="88"/>
  <c r="D75" i="88"/>
  <c r="D79" i="88"/>
  <c r="D83" i="88"/>
  <c r="D87" i="88"/>
  <c r="D91" i="88"/>
  <c r="D95" i="88"/>
  <c r="D99" i="88"/>
  <c r="D105" i="88"/>
  <c r="D31" i="88"/>
  <c r="D55" i="88"/>
  <c r="D101" i="88"/>
  <c r="D114" i="88"/>
  <c r="D109" i="88"/>
  <c r="D70" i="88"/>
  <c r="D47" i="88"/>
  <c r="D12" i="88"/>
  <c r="D16" i="88"/>
  <c r="D20" i="88"/>
  <c r="D24" i="88"/>
  <c r="D28" i="88"/>
  <c r="D32" i="88"/>
  <c r="D36" i="88"/>
  <c r="D40" i="88"/>
  <c r="D44" i="88"/>
  <c r="D48" i="88"/>
  <c r="D52" i="88"/>
  <c r="D56" i="88"/>
  <c r="D60" i="88"/>
  <c r="D64" i="88"/>
  <c r="D68" i="88"/>
  <c r="D72" i="88"/>
  <c r="D76" i="88"/>
  <c r="D80" i="88"/>
  <c r="D84" i="88"/>
  <c r="D88" i="88"/>
  <c r="D92" i="88"/>
  <c r="D96" i="88"/>
  <c r="D11" i="88"/>
  <c r="J10" i="88"/>
  <c r="D13" i="88"/>
  <c r="D17" i="88"/>
  <c r="D21" i="88"/>
  <c r="D25" i="88"/>
  <c r="D29" i="88"/>
  <c r="D33" i="88"/>
  <c r="D37" i="88"/>
  <c r="D41" i="88"/>
  <c r="D45" i="88"/>
  <c r="D49" i="88"/>
  <c r="D53" i="88"/>
  <c r="D57" i="88"/>
  <c r="D61" i="88"/>
  <c r="D65" i="88"/>
  <c r="D69" i="88"/>
  <c r="D73" i="88"/>
  <c r="D77" i="88"/>
  <c r="D81" i="88"/>
  <c r="D85" i="88"/>
  <c r="D89" i="88"/>
  <c r="D93" i="88"/>
  <c r="D97" i="88"/>
  <c r="D113" i="88"/>
  <c r="D108" i="88"/>
  <c r="D14" i="88"/>
  <c r="D134" i="88"/>
  <c r="D136" i="88"/>
  <c r="D138" i="88"/>
  <c r="D140" i="88"/>
  <c r="D142" i="88"/>
  <c r="D144" i="88"/>
  <c r="D146" i="88"/>
  <c r="D148" i="88"/>
  <c r="D150" i="88"/>
  <c r="D152" i="88"/>
  <c r="D154" i="88"/>
  <c r="D156" i="88"/>
  <c r="D158" i="88"/>
  <c r="D116" i="88"/>
  <c r="D102" i="88"/>
  <c r="D103" i="88"/>
  <c r="D104" i="88"/>
  <c r="D111" i="88"/>
  <c r="D118" i="88"/>
  <c r="E10" i="88"/>
  <c r="D10" i="88" s="1"/>
  <c r="D115" i="88"/>
  <c r="D9" i="88"/>
  <c r="D106" i="88"/>
  <c r="D107" i="88"/>
  <c r="E8" i="88"/>
  <c r="J8" i="88"/>
  <c r="J100" i="88"/>
  <c r="D100" i="88" s="1"/>
  <c r="D120" i="88"/>
  <c r="D122" i="88"/>
  <c r="D124" i="88"/>
  <c r="D126" i="88"/>
  <c r="D128" i="88"/>
  <c r="D130" i="88"/>
  <c r="D132" i="88"/>
  <c r="D119" i="88"/>
  <c r="D121" i="88"/>
  <c r="D123" i="88"/>
  <c r="D125" i="88"/>
  <c r="D127" i="88"/>
  <c r="D129" i="88"/>
  <c r="D131" i="88"/>
  <c r="D133" i="88"/>
  <c r="D8" i="88" l="1"/>
  <c r="T158" i="87" l="1"/>
  <c r="Q158" i="87"/>
  <c r="J158" i="87"/>
  <c r="E158" i="87"/>
  <c r="T157" i="87"/>
  <c r="Q157" i="87"/>
  <c r="J157" i="87"/>
  <c r="E157" i="87"/>
  <c r="T156" i="87"/>
  <c r="Q156" i="87"/>
  <c r="J156" i="87"/>
  <c r="E156" i="87"/>
  <c r="T155" i="87"/>
  <c r="Q155" i="87"/>
  <c r="J155" i="87"/>
  <c r="E155" i="87"/>
  <c r="T154" i="87"/>
  <c r="Q154" i="87"/>
  <c r="J154" i="87"/>
  <c r="E154" i="87"/>
  <c r="T153" i="87"/>
  <c r="Q153" i="87"/>
  <c r="J153" i="87"/>
  <c r="E153" i="87"/>
  <c r="T152" i="87"/>
  <c r="Q152" i="87"/>
  <c r="J152" i="87"/>
  <c r="E152" i="87"/>
  <c r="T151" i="87"/>
  <c r="Q151" i="87"/>
  <c r="J151" i="87"/>
  <c r="E151" i="87"/>
  <c r="T150" i="87"/>
  <c r="Q150" i="87"/>
  <c r="J150" i="87"/>
  <c r="E150" i="87"/>
  <c r="T149" i="87"/>
  <c r="Q149" i="87"/>
  <c r="J149" i="87"/>
  <c r="E149" i="87"/>
  <c r="T148" i="87"/>
  <c r="Q148" i="87"/>
  <c r="J148" i="87"/>
  <c r="E148" i="87"/>
  <c r="T147" i="87"/>
  <c r="Q147" i="87"/>
  <c r="J147" i="87"/>
  <c r="E147" i="87"/>
  <c r="Y146" i="87"/>
  <c r="Y10" i="87" s="1"/>
  <c r="Y8" i="87" s="1"/>
  <c r="W146" i="87"/>
  <c r="Q146" i="87"/>
  <c r="J146" i="87"/>
  <c r="E146" i="87"/>
  <c r="T145" i="87"/>
  <c r="Q145" i="87"/>
  <c r="J145" i="87"/>
  <c r="E145" i="87"/>
  <c r="T144" i="87"/>
  <c r="Q144" i="87"/>
  <c r="J144" i="87"/>
  <c r="E144" i="87"/>
  <c r="T143" i="87"/>
  <c r="Q143" i="87"/>
  <c r="J143" i="87"/>
  <c r="E143" i="87"/>
  <c r="T142" i="87"/>
  <c r="Q142" i="87"/>
  <c r="J142" i="87"/>
  <c r="E142" i="87"/>
  <c r="T141" i="87"/>
  <c r="Q141" i="87"/>
  <c r="J141" i="87"/>
  <c r="E141" i="87"/>
  <c r="T140" i="87"/>
  <c r="Q140" i="87"/>
  <c r="J140" i="87"/>
  <c r="E140" i="87"/>
  <c r="T139" i="87"/>
  <c r="Q139" i="87"/>
  <c r="J139" i="87"/>
  <c r="E139" i="87"/>
  <c r="T138" i="87"/>
  <c r="Q138" i="87"/>
  <c r="J138" i="87"/>
  <c r="E138" i="87"/>
  <c r="T137" i="87"/>
  <c r="Q137" i="87"/>
  <c r="J137" i="87"/>
  <c r="E137" i="87"/>
  <c r="T136" i="87"/>
  <c r="Q136" i="87"/>
  <c r="J136" i="87"/>
  <c r="E136" i="87"/>
  <c r="T135" i="87"/>
  <c r="Q135" i="87"/>
  <c r="J135" i="87"/>
  <c r="E135" i="87"/>
  <c r="T134" i="87"/>
  <c r="Q134" i="87"/>
  <c r="J134" i="87"/>
  <c r="E134" i="87"/>
  <c r="T133" i="87"/>
  <c r="Q133" i="87"/>
  <c r="J133" i="87"/>
  <c r="E133" i="87"/>
  <c r="T132" i="87"/>
  <c r="Q132" i="87"/>
  <c r="J132" i="87"/>
  <c r="E132" i="87"/>
  <c r="T131" i="87"/>
  <c r="Q131" i="87"/>
  <c r="J131" i="87"/>
  <c r="E131" i="87"/>
  <c r="T129" i="87"/>
  <c r="Q129" i="87"/>
  <c r="J129" i="87"/>
  <c r="E129" i="87"/>
  <c r="T128" i="87"/>
  <c r="Q128" i="87"/>
  <c r="J128" i="87"/>
  <c r="E128" i="87"/>
  <c r="T127" i="87"/>
  <c r="Q127" i="87"/>
  <c r="J127" i="87"/>
  <c r="E127" i="87"/>
  <c r="T126" i="87"/>
  <c r="Q126" i="87"/>
  <c r="J126" i="87"/>
  <c r="E126" i="87"/>
  <c r="T125" i="87"/>
  <c r="Q125" i="87"/>
  <c r="J125" i="87"/>
  <c r="E125" i="87"/>
  <c r="T124" i="87"/>
  <c r="Q124" i="87"/>
  <c r="J124" i="87"/>
  <c r="E124" i="87"/>
  <c r="T123" i="87"/>
  <c r="Q123" i="87"/>
  <c r="J123" i="87"/>
  <c r="E123" i="87"/>
  <c r="T122" i="87"/>
  <c r="Q122" i="87"/>
  <c r="J122" i="87"/>
  <c r="E122" i="87"/>
  <c r="T121" i="87"/>
  <c r="Q121" i="87"/>
  <c r="J121" i="87"/>
  <c r="E121" i="87"/>
  <c r="T120" i="87"/>
  <c r="Q120" i="87"/>
  <c r="J120" i="87"/>
  <c r="E120" i="87"/>
  <c r="T119" i="87"/>
  <c r="Q119" i="87"/>
  <c r="J119" i="87"/>
  <c r="E119" i="87"/>
  <c r="T118" i="87"/>
  <c r="Q118" i="87"/>
  <c r="J118" i="87"/>
  <c r="E118" i="87"/>
  <c r="T117" i="87"/>
  <c r="Q117" i="87"/>
  <c r="J117" i="87"/>
  <c r="E117" i="87"/>
  <c r="T116" i="87"/>
  <c r="Q116" i="87"/>
  <c r="J116" i="87"/>
  <c r="E116" i="87"/>
  <c r="T115" i="87"/>
  <c r="Q115" i="87"/>
  <c r="J115" i="87"/>
  <c r="E115" i="87"/>
  <c r="T114" i="87"/>
  <c r="Q114" i="87"/>
  <c r="J114" i="87"/>
  <c r="E114" i="87"/>
  <c r="T113" i="87"/>
  <c r="Q113" i="87"/>
  <c r="J113" i="87"/>
  <c r="E113" i="87"/>
  <c r="T112" i="87"/>
  <c r="Q112" i="87"/>
  <c r="J112" i="87"/>
  <c r="E112" i="87"/>
  <c r="T111" i="87"/>
  <c r="Q111" i="87"/>
  <c r="J111" i="87"/>
  <c r="E111" i="87"/>
  <c r="T110" i="87"/>
  <c r="Q110" i="87"/>
  <c r="J110" i="87"/>
  <c r="E110" i="87"/>
  <c r="T109" i="87"/>
  <c r="Q109" i="87"/>
  <c r="J109" i="87"/>
  <c r="E109" i="87"/>
  <c r="T108" i="87"/>
  <c r="Q108" i="87"/>
  <c r="J108" i="87"/>
  <c r="E108" i="87"/>
  <c r="T107" i="87"/>
  <c r="Q107" i="87"/>
  <c r="J107" i="87"/>
  <c r="E107" i="87"/>
  <c r="T106" i="87"/>
  <c r="Q106" i="87"/>
  <c r="J106" i="87"/>
  <c r="E106" i="87"/>
  <c r="T105" i="87"/>
  <c r="Q105" i="87"/>
  <c r="J105" i="87"/>
  <c r="D105" i="87" s="1"/>
  <c r="E105" i="87"/>
  <c r="T104" i="87"/>
  <c r="Q104" i="87"/>
  <c r="J104" i="87"/>
  <c r="E104" i="87"/>
  <c r="T103" i="87"/>
  <c r="Q103" i="87"/>
  <c r="J103" i="87"/>
  <c r="E103" i="87"/>
  <c r="T102" i="87"/>
  <c r="Q102" i="87"/>
  <c r="J102" i="87"/>
  <c r="E102" i="87"/>
  <c r="T101" i="87"/>
  <c r="Q101" i="87"/>
  <c r="J101" i="87"/>
  <c r="D101" i="87" s="1"/>
  <c r="E101" i="87"/>
  <c r="T100" i="87"/>
  <c r="Q100" i="87"/>
  <c r="J100" i="87"/>
  <c r="E100" i="87"/>
  <c r="T99" i="87"/>
  <c r="Q99" i="87"/>
  <c r="J99" i="87"/>
  <c r="E99" i="87"/>
  <c r="T98" i="87"/>
  <c r="Q98" i="87"/>
  <c r="J98" i="87"/>
  <c r="E98" i="87"/>
  <c r="T97" i="87"/>
  <c r="Q97" i="87"/>
  <c r="J97" i="87"/>
  <c r="E97" i="87"/>
  <c r="T96" i="87"/>
  <c r="Q96" i="87"/>
  <c r="J96" i="87"/>
  <c r="E96" i="87"/>
  <c r="T95" i="87"/>
  <c r="Q95" i="87"/>
  <c r="J95" i="87"/>
  <c r="E95" i="87"/>
  <c r="T94" i="87"/>
  <c r="Q94" i="87"/>
  <c r="J94" i="87"/>
  <c r="E94" i="87"/>
  <c r="T93" i="87"/>
  <c r="Q93" i="87"/>
  <c r="J93" i="87"/>
  <c r="E93" i="87"/>
  <c r="T92" i="87"/>
  <c r="Q92" i="87"/>
  <c r="J92" i="87"/>
  <c r="E92" i="87"/>
  <c r="T91" i="87"/>
  <c r="Q91" i="87"/>
  <c r="J91" i="87"/>
  <c r="E91" i="87"/>
  <c r="T90" i="87"/>
  <c r="Q90" i="87"/>
  <c r="J90" i="87"/>
  <c r="E90" i="87"/>
  <c r="T89" i="87"/>
  <c r="Q89" i="87"/>
  <c r="J89" i="87"/>
  <c r="E89" i="87"/>
  <c r="T88" i="87"/>
  <c r="Q88" i="87"/>
  <c r="J88" i="87"/>
  <c r="E88" i="87"/>
  <c r="T87" i="87"/>
  <c r="Q87" i="87"/>
  <c r="J87" i="87"/>
  <c r="E87" i="87"/>
  <c r="T86" i="87"/>
  <c r="Q86" i="87"/>
  <c r="J86" i="87"/>
  <c r="E86" i="87"/>
  <c r="T85" i="87"/>
  <c r="Q85" i="87"/>
  <c r="J85" i="87"/>
  <c r="E85" i="87"/>
  <c r="T84" i="87"/>
  <c r="Q84" i="87"/>
  <c r="J84" i="87"/>
  <c r="E84" i="87"/>
  <c r="T83" i="87"/>
  <c r="Q83" i="87"/>
  <c r="J83" i="87"/>
  <c r="E83" i="87"/>
  <c r="T82" i="87"/>
  <c r="Q82" i="87"/>
  <c r="J82" i="87"/>
  <c r="E82" i="87"/>
  <c r="T81" i="87"/>
  <c r="Q81" i="87"/>
  <c r="J81" i="87"/>
  <c r="E81" i="87"/>
  <c r="T80" i="87"/>
  <c r="Q80" i="87"/>
  <c r="J80" i="87"/>
  <c r="E80" i="87"/>
  <c r="T79" i="87"/>
  <c r="Q79" i="87"/>
  <c r="J79" i="87"/>
  <c r="E79" i="87"/>
  <c r="T78" i="87"/>
  <c r="Q78" i="87"/>
  <c r="J78" i="87"/>
  <c r="E78" i="87"/>
  <c r="T77" i="87"/>
  <c r="Q77" i="87"/>
  <c r="J77" i="87"/>
  <c r="E77" i="87"/>
  <c r="T76" i="87"/>
  <c r="Q76" i="87"/>
  <c r="J76" i="87"/>
  <c r="E76" i="87"/>
  <c r="T75" i="87"/>
  <c r="Q75" i="87"/>
  <c r="J75" i="87"/>
  <c r="E75" i="87"/>
  <c r="T74" i="87"/>
  <c r="Q74" i="87"/>
  <c r="J74" i="87"/>
  <c r="E74" i="87"/>
  <c r="T73" i="87"/>
  <c r="Q73" i="87"/>
  <c r="J73" i="87"/>
  <c r="E73" i="87"/>
  <c r="T72" i="87"/>
  <c r="Q72" i="87"/>
  <c r="J72" i="87"/>
  <c r="E72" i="87"/>
  <c r="T71" i="87"/>
  <c r="Q71" i="87"/>
  <c r="J71" i="87"/>
  <c r="E71" i="87"/>
  <c r="T70" i="87"/>
  <c r="Q70" i="87"/>
  <c r="J70" i="87"/>
  <c r="E70" i="87"/>
  <c r="T69" i="87"/>
  <c r="Q69" i="87"/>
  <c r="J69" i="87"/>
  <c r="E69" i="87"/>
  <c r="T68" i="87"/>
  <c r="Q68" i="87"/>
  <c r="J68" i="87"/>
  <c r="E68" i="87"/>
  <c r="T67" i="87"/>
  <c r="Q67" i="87"/>
  <c r="J67" i="87"/>
  <c r="E67" i="87"/>
  <c r="T66" i="87"/>
  <c r="Q66" i="87"/>
  <c r="J66" i="87"/>
  <c r="E66" i="87"/>
  <c r="T65" i="87"/>
  <c r="Q65" i="87"/>
  <c r="J65" i="87"/>
  <c r="E65" i="87"/>
  <c r="T64" i="87"/>
  <c r="Q64" i="87"/>
  <c r="J64" i="87"/>
  <c r="E64" i="87"/>
  <c r="T63" i="87"/>
  <c r="Q63" i="87"/>
  <c r="J63" i="87"/>
  <c r="E63" i="87"/>
  <c r="T62" i="87"/>
  <c r="Q62" i="87"/>
  <c r="J62" i="87"/>
  <c r="E62" i="87"/>
  <c r="T61" i="87"/>
  <c r="Q61" i="87"/>
  <c r="J61" i="87"/>
  <c r="E61" i="87"/>
  <c r="T60" i="87"/>
  <c r="Q60" i="87"/>
  <c r="J60" i="87"/>
  <c r="E60" i="87"/>
  <c r="T59" i="87"/>
  <c r="Q59" i="87"/>
  <c r="J59" i="87"/>
  <c r="D59" i="87" s="1"/>
  <c r="E59" i="87"/>
  <c r="T58" i="87"/>
  <c r="Q58" i="87"/>
  <c r="J58" i="87"/>
  <c r="E58" i="87"/>
  <c r="T57" i="87"/>
  <c r="Q57" i="87"/>
  <c r="J57" i="87"/>
  <c r="E57" i="87"/>
  <c r="T56" i="87"/>
  <c r="Q56" i="87"/>
  <c r="J56" i="87"/>
  <c r="E56" i="87"/>
  <c r="T55" i="87"/>
  <c r="Q55" i="87"/>
  <c r="J55" i="87"/>
  <c r="E55" i="87"/>
  <c r="T54" i="87"/>
  <c r="Q54" i="87"/>
  <c r="J54" i="87"/>
  <c r="E54" i="87"/>
  <c r="T53" i="87"/>
  <c r="Q53" i="87"/>
  <c r="J53" i="87"/>
  <c r="E53" i="87"/>
  <c r="T52" i="87"/>
  <c r="Q52" i="87"/>
  <c r="J52" i="87"/>
  <c r="E52" i="87"/>
  <c r="T51" i="87"/>
  <c r="Q51" i="87"/>
  <c r="J51" i="87"/>
  <c r="E51" i="87"/>
  <c r="T50" i="87"/>
  <c r="Q50" i="87"/>
  <c r="J50" i="87"/>
  <c r="E50" i="87"/>
  <c r="T49" i="87"/>
  <c r="Q49" i="87"/>
  <c r="J49" i="87"/>
  <c r="D49" i="87" s="1"/>
  <c r="E49" i="87"/>
  <c r="T48" i="87"/>
  <c r="Q48" i="87"/>
  <c r="J48" i="87"/>
  <c r="E48" i="87"/>
  <c r="T47" i="87"/>
  <c r="Q47" i="87"/>
  <c r="J47" i="87"/>
  <c r="E47" i="87"/>
  <c r="T46" i="87"/>
  <c r="Q46" i="87"/>
  <c r="J46" i="87"/>
  <c r="E46" i="87"/>
  <c r="T45" i="87"/>
  <c r="Q45" i="87"/>
  <c r="J45" i="87"/>
  <c r="E45" i="87"/>
  <c r="T44" i="87"/>
  <c r="Q44" i="87"/>
  <c r="J44" i="87"/>
  <c r="E44" i="87"/>
  <c r="T43" i="87"/>
  <c r="Q43" i="87"/>
  <c r="J43" i="87"/>
  <c r="E43" i="87"/>
  <c r="T42" i="87"/>
  <c r="Q42" i="87"/>
  <c r="J42" i="87"/>
  <c r="E42" i="87"/>
  <c r="T41" i="87"/>
  <c r="Q41" i="87"/>
  <c r="J41" i="87"/>
  <c r="E41" i="87"/>
  <c r="T40" i="87"/>
  <c r="Q40" i="87"/>
  <c r="J40" i="87"/>
  <c r="E40" i="87"/>
  <c r="T39" i="87"/>
  <c r="Q39" i="87"/>
  <c r="J39" i="87"/>
  <c r="E39" i="87"/>
  <c r="T38" i="87"/>
  <c r="Q38" i="87"/>
  <c r="J38" i="87"/>
  <c r="E38" i="87"/>
  <c r="T37" i="87"/>
  <c r="Q37" i="87"/>
  <c r="J37" i="87"/>
  <c r="E37" i="87"/>
  <c r="T36" i="87"/>
  <c r="Q36" i="87"/>
  <c r="J36" i="87"/>
  <c r="E36" i="87"/>
  <c r="T35" i="87"/>
  <c r="Q35" i="87"/>
  <c r="J35" i="87"/>
  <c r="E35" i="87"/>
  <c r="T34" i="87"/>
  <c r="Q34" i="87"/>
  <c r="J34" i="87"/>
  <c r="E34" i="87"/>
  <c r="T33" i="87"/>
  <c r="Q33" i="87"/>
  <c r="J33" i="87"/>
  <c r="E33" i="87"/>
  <c r="T32" i="87"/>
  <c r="Q32" i="87"/>
  <c r="J32" i="87"/>
  <c r="E32" i="87"/>
  <c r="T31" i="87"/>
  <c r="Q31" i="87"/>
  <c r="J31" i="87"/>
  <c r="E31" i="87"/>
  <c r="T30" i="87"/>
  <c r="Q30" i="87"/>
  <c r="J30" i="87"/>
  <c r="E30" i="87"/>
  <c r="T29" i="87"/>
  <c r="Q29" i="87"/>
  <c r="J29" i="87"/>
  <c r="E29" i="87"/>
  <c r="T28" i="87"/>
  <c r="Q28" i="87"/>
  <c r="J28" i="87"/>
  <c r="E28" i="87"/>
  <c r="T27" i="87"/>
  <c r="Q27" i="87"/>
  <c r="J27" i="87"/>
  <c r="E27" i="87"/>
  <c r="T26" i="87"/>
  <c r="Q26" i="87"/>
  <c r="J26" i="87"/>
  <c r="E26" i="87"/>
  <c r="T25" i="87"/>
  <c r="Q25" i="87"/>
  <c r="J25" i="87"/>
  <c r="E25" i="87"/>
  <c r="T24" i="87"/>
  <c r="Q24" i="87"/>
  <c r="J24" i="87"/>
  <c r="E24" i="87"/>
  <c r="T23" i="87"/>
  <c r="Q23" i="87"/>
  <c r="J23" i="87"/>
  <c r="E23" i="87"/>
  <c r="T22" i="87"/>
  <c r="Q22" i="87"/>
  <c r="J22" i="87"/>
  <c r="E22" i="87"/>
  <c r="T21" i="87"/>
  <c r="Q21" i="87"/>
  <c r="J21" i="87"/>
  <c r="E21" i="87"/>
  <c r="T20" i="87"/>
  <c r="Q20" i="87"/>
  <c r="J20" i="87"/>
  <c r="E20" i="87"/>
  <c r="T19" i="87"/>
  <c r="Q19" i="87"/>
  <c r="J19" i="87"/>
  <c r="E19" i="87"/>
  <c r="T18" i="87"/>
  <c r="Q18" i="87"/>
  <c r="J18" i="87"/>
  <c r="E18" i="87"/>
  <c r="T17" i="87"/>
  <c r="Q17" i="87"/>
  <c r="J17" i="87"/>
  <c r="E17" i="87"/>
  <c r="T16" i="87"/>
  <c r="Q16" i="87"/>
  <c r="J16" i="87"/>
  <c r="E16" i="87"/>
  <c r="T15" i="87"/>
  <c r="Q15" i="87"/>
  <c r="J15" i="87"/>
  <c r="E15" i="87"/>
  <c r="T14" i="87"/>
  <c r="Q14" i="87"/>
  <c r="J14" i="87"/>
  <c r="E14" i="87"/>
  <c r="T13" i="87"/>
  <c r="Q13" i="87"/>
  <c r="J13" i="87"/>
  <c r="E13" i="87"/>
  <c r="T12" i="87"/>
  <c r="Q12" i="87"/>
  <c r="J12" i="87"/>
  <c r="E12" i="87"/>
  <c r="T11" i="87"/>
  <c r="Q11" i="87"/>
  <c r="J11" i="87"/>
  <c r="E11" i="87"/>
  <c r="Z10" i="87"/>
  <c r="Z8" i="87" s="1"/>
  <c r="X10" i="87"/>
  <c r="X8" i="87" s="1"/>
  <c r="V10" i="87"/>
  <c r="V8" i="87" s="1"/>
  <c r="U10" i="87"/>
  <c r="S10" i="87"/>
  <c r="R10" i="87"/>
  <c r="R8" i="87" s="1"/>
  <c r="P10" i="87"/>
  <c r="P8" i="87" s="1"/>
  <c r="O10" i="87"/>
  <c r="O8" i="87" s="1"/>
  <c r="N10" i="87"/>
  <c r="N8" i="87" s="1"/>
  <c r="M10" i="87"/>
  <c r="M8" i="87" s="1"/>
  <c r="L10" i="87"/>
  <c r="L8" i="87" s="1"/>
  <c r="K10" i="87"/>
  <c r="K8" i="87" s="1"/>
  <c r="I10" i="87"/>
  <c r="I8" i="87" s="1"/>
  <c r="H10" i="87"/>
  <c r="H8" i="87" s="1"/>
  <c r="G10" i="87"/>
  <c r="G8" i="87" s="1"/>
  <c r="F10" i="87"/>
  <c r="F8" i="87" s="1"/>
  <c r="T9" i="87"/>
  <c r="Q9" i="87"/>
  <c r="J9" i="87"/>
  <c r="E9" i="87"/>
  <c r="S8" i="87"/>
  <c r="D107" i="87" l="1"/>
  <c r="D109" i="87"/>
  <c r="D121" i="87"/>
  <c r="D17" i="87"/>
  <c r="D15" i="87"/>
  <c r="D47" i="87"/>
  <c r="D54" i="87"/>
  <c r="D33" i="87"/>
  <c r="D85" i="87"/>
  <c r="D119" i="87"/>
  <c r="D149" i="87"/>
  <c r="D111" i="87"/>
  <c r="D14" i="87"/>
  <c r="D46" i="87"/>
  <c r="D62" i="87"/>
  <c r="D70" i="87"/>
  <c r="D72" i="87"/>
  <c r="D82" i="87"/>
  <c r="D84" i="87"/>
  <c r="D98" i="87"/>
  <c r="D118" i="87"/>
  <c r="D30" i="87"/>
  <c r="D68" i="87"/>
  <c r="D21" i="87"/>
  <c r="D26" i="87"/>
  <c r="D28" i="87"/>
  <c r="D53" i="87"/>
  <c r="D31" i="87"/>
  <c r="D58" i="87"/>
  <c r="D75" i="87"/>
  <c r="D87" i="87"/>
  <c r="D99" i="87"/>
  <c r="D132" i="87"/>
  <c r="D156" i="87"/>
  <c r="D158" i="87"/>
  <c r="D12" i="87"/>
  <c r="D37" i="87"/>
  <c r="D42" i="87"/>
  <c r="D44" i="87"/>
  <c r="D60" i="87"/>
  <c r="D115" i="87"/>
  <c r="D117" i="87"/>
  <c r="D148" i="87"/>
  <c r="D157" i="87"/>
  <c r="D71" i="87"/>
  <c r="D74" i="87"/>
  <c r="D83" i="87"/>
  <c r="D86" i="87"/>
  <c r="D94" i="87"/>
  <c r="D103" i="87"/>
  <c r="D126" i="87"/>
  <c r="D131" i="87"/>
  <c r="D134" i="87"/>
  <c r="D138" i="87"/>
  <c r="D143" i="87"/>
  <c r="D145" i="87"/>
  <c r="D18" i="87"/>
  <c r="D34" i="87"/>
  <c r="D50" i="87"/>
  <c r="D55" i="87"/>
  <c r="D66" i="87"/>
  <c r="D69" i="87"/>
  <c r="D76" i="87"/>
  <c r="D78" i="87"/>
  <c r="D80" i="87"/>
  <c r="D110" i="87"/>
  <c r="D112" i="87"/>
  <c r="D114" i="87"/>
  <c r="D133" i="87"/>
  <c r="D135" i="87"/>
  <c r="D150" i="87"/>
  <c r="D152" i="87"/>
  <c r="D154" i="87"/>
  <c r="E10" i="87"/>
  <c r="D13" i="87"/>
  <c r="D16" i="87"/>
  <c r="D22" i="87"/>
  <c r="D29" i="87"/>
  <c r="D32" i="87"/>
  <c r="D38" i="87"/>
  <c r="D45" i="87"/>
  <c r="D48" i="87"/>
  <c r="D64" i="87"/>
  <c r="D79" i="87"/>
  <c r="D88" i="87"/>
  <c r="D90" i="87"/>
  <c r="D97" i="87"/>
  <c r="D100" i="87"/>
  <c r="D102" i="87"/>
  <c r="D122" i="87"/>
  <c r="D129" i="87"/>
  <c r="D139" i="87"/>
  <c r="D153" i="87"/>
  <c r="Q10" i="87"/>
  <c r="D11" i="87"/>
  <c r="D19" i="87"/>
  <c r="D23" i="87"/>
  <c r="D25" i="87"/>
  <c r="D27" i="87"/>
  <c r="D35" i="87"/>
  <c r="D39" i="87"/>
  <c r="D41" i="87"/>
  <c r="D43" i="87"/>
  <c r="D51" i="87"/>
  <c r="D56" i="87"/>
  <c r="D63" i="87"/>
  <c r="D65" i="87"/>
  <c r="D67" i="87"/>
  <c r="D91" i="87"/>
  <c r="D93" i="87"/>
  <c r="D95" i="87"/>
  <c r="D106" i="87"/>
  <c r="D113" i="87"/>
  <c r="D116" i="87"/>
  <c r="D123" i="87"/>
  <c r="D125" i="87"/>
  <c r="D127" i="87"/>
  <c r="D136" i="87"/>
  <c r="D140" i="87"/>
  <c r="D142" i="87"/>
  <c r="D144" i="87"/>
  <c r="E8" i="87"/>
  <c r="Q8" i="87"/>
  <c r="J10" i="87"/>
  <c r="J8" i="87" s="1"/>
  <c r="U8" i="87"/>
  <c r="D20" i="87"/>
  <c r="D36" i="87"/>
  <c r="D52" i="87"/>
  <c r="D57" i="87"/>
  <c r="D9" i="87"/>
  <c r="D24" i="87"/>
  <c r="D40" i="87"/>
  <c r="D81" i="87"/>
  <c r="D96" i="87"/>
  <c r="D128" i="87"/>
  <c r="T146" i="87"/>
  <c r="D146" i="87" s="1"/>
  <c r="W10" i="87"/>
  <c r="W8" i="87" s="1"/>
  <c r="D155" i="87"/>
  <c r="D73" i="87"/>
  <c r="D89" i="87"/>
  <c r="D104" i="87"/>
  <c r="D120" i="87"/>
  <c r="D137" i="87"/>
  <c r="D147" i="87"/>
  <c r="D61" i="87"/>
  <c r="D77" i="87"/>
  <c r="D92" i="87"/>
  <c r="D108" i="87"/>
  <c r="D124" i="87"/>
  <c r="D141" i="87"/>
  <c r="D151" i="87"/>
  <c r="T10" i="87" l="1"/>
  <c r="D10" i="87" s="1"/>
  <c r="D8" i="87" s="1"/>
  <c r="T8" i="87"/>
  <c r="H158" i="86" l="1"/>
  <c r="E158" i="86"/>
  <c r="H157" i="86"/>
  <c r="E157" i="86"/>
  <c r="D157" i="86" s="1"/>
  <c r="H156" i="86"/>
  <c r="E156" i="86"/>
  <c r="H155" i="86"/>
  <c r="E155" i="86"/>
  <c r="D155" i="86" s="1"/>
  <c r="H154" i="86"/>
  <c r="E154" i="86"/>
  <c r="H153" i="86"/>
  <c r="E153" i="86"/>
  <c r="D153" i="86" s="1"/>
  <c r="H152" i="86"/>
  <c r="E152" i="86"/>
  <c r="H151" i="86"/>
  <c r="E151" i="86"/>
  <c r="D151" i="86" s="1"/>
  <c r="H150" i="86"/>
  <c r="E150" i="86"/>
  <c r="H149" i="86"/>
  <c r="E149" i="86"/>
  <c r="D149" i="86" s="1"/>
  <c r="H148" i="86"/>
  <c r="E148" i="86"/>
  <c r="H147" i="86"/>
  <c r="E147" i="86"/>
  <c r="D147" i="86" s="1"/>
  <c r="H146" i="86"/>
  <c r="E146" i="86"/>
  <c r="H145" i="86"/>
  <c r="E145" i="86"/>
  <c r="D145" i="86" s="1"/>
  <c r="H144" i="86"/>
  <c r="E144" i="86"/>
  <c r="H143" i="86"/>
  <c r="E143" i="86"/>
  <c r="D143" i="86" s="1"/>
  <c r="H142" i="86"/>
  <c r="E142" i="86"/>
  <c r="H141" i="86"/>
  <c r="E141" i="86"/>
  <c r="D141" i="86" s="1"/>
  <c r="H140" i="86"/>
  <c r="E140" i="86"/>
  <c r="H139" i="86"/>
  <c r="E139" i="86"/>
  <c r="D139" i="86" s="1"/>
  <c r="H138" i="86"/>
  <c r="E138" i="86"/>
  <c r="H137" i="86"/>
  <c r="E137" i="86"/>
  <c r="D137" i="86" s="1"/>
  <c r="H136" i="86"/>
  <c r="E136" i="86"/>
  <c r="H135" i="86"/>
  <c r="E135" i="86"/>
  <c r="D135" i="86" s="1"/>
  <c r="H134" i="86"/>
  <c r="E134" i="86"/>
  <c r="H133" i="86"/>
  <c r="E133" i="86"/>
  <c r="D133" i="86" s="1"/>
  <c r="H132" i="86"/>
  <c r="E132" i="86"/>
  <c r="H131" i="86"/>
  <c r="E131" i="86"/>
  <c r="D131" i="86" s="1"/>
  <c r="H130" i="86"/>
  <c r="E130" i="86"/>
  <c r="H129" i="86"/>
  <c r="E129" i="86"/>
  <c r="D129" i="86" s="1"/>
  <c r="H128" i="86"/>
  <c r="E128" i="86"/>
  <c r="H127" i="86"/>
  <c r="E127" i="86"/>
  <c r="D127" i="86" s="1"/>
  <c r="H126" i="86"/>
  <c r="E126" i="86"/>
  <c r="H125" i="86"/>
  <c r="E125" i="86"/>
  <c r="D125" i="86" s="1"/>
  <c r="H124" i="86"/>
  <c r="E124" i="86"/>
  <c r="H123" i="86"/>
  <c r="E123" i="86"/>
  <c r="D123" i="86" s="1"/>
  <c r="H122" i="86"/>
  <c r="E122" i="86"/>
  <c r="H121" i="86"/>
  <c r="E121" i="86"/>
  <c r="D121" i="86" s="1"/>
  <c r="H120" i="86"/>
  <c r="E120" i="86"/>
  <c r="H119" i="86"/>
  <c r="E119" i="86"/>
  <c r="D119" i="86" s="1"/>
  <c r="H118" i="86"/>
  <c r="E118" i="86"/>
  <c r="H117" i="86"/>
  <c r="E117" i="86"/>
  <c r="H116" i="86"/>
  <c r="E116" i="86"/>
  <c r="H115" i="86"/>
  <c r="E115" i="86"/>
  <c r="D115" i="86" s="1"/>
  <c r="H114" i="86"/>
  <c r="E114" i="86"/>
  <c r="H113" i="86"/>
  <c r="E113" i="86"/>
  <c r="H112" i="86"/>
  <c r="E112" i="86"/>
  <c r="H111" i="86"/>
  <c r="E111" i="86"/>
  <c r="D111" i="86" s="1"/>
  <c r="H110" i="86"/>
  <c r="E110" i="86"/>
  <c r="H109" i="86"/>
  <c r="E109" i="86"/>
  <c r="H108" i="86"/>
  <c r="E108" i="86"/>
  <c r="H107" i="86"/>
  <c r="E107" i="86"/>
  <c r="D107" i="86" s="1"/>
  <c r="H106" i="86"/>
  <c r="E106" i="86"/>
  <c r="H105" i="86"/>
  <c r="E105" i="86"/>
  <c r="H104" i="86"/>
  <c r="E104" i="86"/>
  <c r="H103" i="86"/>
  <c r="E103" i="86"/>
  <c r="D103" i="86" s="1"/>
  <c r="H102" i="86"/>
  <c r="E102" i="86"/>
  <c r="H101" i="86"/>
  <c r="E101" i="86"/>
  <c r="K100" i="86"/>
  <c r="H100" i="86" s="1"/>
  <c r="E100" i="86"/>
  <c r="H99" i="86"/>
  <c r="E99" i="86"/>
  <c r="H98" i="86"/>
  <c r="E98" i="86"/>
  <c r="H97" i="86"/>
  <c r="E97" i="86"/>
  <c r="H96" i="86"/>
  <c r="E96" i="86"/>
  <c r="H95" i="86"/>
  <c r="E95" i="86"/>
  <c r="H94" i="86"/>
  <c r="E94" i="86"/>
  <c r="H93" i="86"/>
  <c r="E93" i="86"/>
  <c r="H92" i="86"/>
  <c r="E92" i="86"/>
  <c r="H91" i="86"/>
  <c r="E91" i="86"/>
  <c r="H90" i="86"/>
  <c r="E90" i="86"/>
  <c r="H89" i="86"/>
  <c r="E89" i="86"/>
  <c r="H88" i="86"/>
  <c r="E88" i="86"/>
  <c r="H87" i="86"/>
  <c r="E87" i="86"/>
  <c r="H86" i="86"/>
  <c r="E86" i="86"/>
  <c r="H85" i="86"/>
  <c r="E85" i="86"/>
  <c r="H84" i="86"/>
  <c r="E84" i="86"/>
  <c r="H83" i="86"/>
  <c r="E83" i="86"/>
  <c r="H82" i="86"/>
  <c r="E82" i="86"/>
  <c r="H81" i="86"/>
  <c r="E81" i="86"/>
  <c r="H80" i="86"/>
  <c r="E80" i="86"/>
  <c r="H79" i="86"/>
  <c r="E79" i="86"/>
  <c r="H78" i="86"/>
  <c r="E78" i="86"/>
  <c r="H77" i="86"/>
  <c r="E77" i="86"/>
  <c r="H76" i="86"/>
  <c r="E76" i="86"/>
  <c r="H75" i="86"/>
  <c r="E75" i="86"/>
  <c r="H74" i="86"/>
  <c r="E74" i="86"/>
  <c r="H73" i="86"/>
  <c r="E73" i="86"/>
  <c r="H72" i="86"/>
  <c r="E72" i="86"/>
  <c r="H71" i="86"/>
  <c r="E71" i="86"/>
  <c r="H70" i="86"/>
  <c r="E70" i="86"/>
  <c r="H69" i="86"/>
  <c r="E69" i="86"/>
  <c r="H68" i="86"/>
  <c r="E68" i="86"/>
  <c r="H67" i="86"/>
  <c r="E67" i="86"/>
  <c r="H66" i="86"/>
  <c r="E66" i="86"/>
  <c r="H65" i="86"/>
  <c r="E65" i="86"/>
  <c r="H64" i="86"/>
  <c r="E64" i="86"/>
  <c r="H63" i="86"/>
  <c r="E63" i="86"/>
  <c r="H62" i="86"/>
  <c r="E62" i="86"/>
  <c r="H61" i="86"/>
  <c r="E61" i="86"/>
  <c r="H60" i="86"/>
  <c r="E60" i="86"/>
  <c r="H59" i="86"/>
  <c r="E59" i="86"/>
  <c r="H58" i="86"/>
  <c r="E58" i="86"/>
  <c r="H57" i="86"/>
  <c r="E57" i="86"/>
  <c r="H56" i="86"/>
  <c r="E56" i="86"/>
  <c r="H55" i="86"/>
  <c r="E55" i="86"/>
  <c r="H54" i="86"/>
  <c r="E54" i="86"/>
  <c r="H53" i="86"/>
  <c r="E53" i="86"/>
  <c r="H52" i="86"/>
  <c r="E52" i="86"/>
  <c r="H51" i="86"/>
  <c r="E51" i="86"/>
  <c r="H50" i="86"/>
  <c r="E50" i="86"/>
  <c r="H49" i="86"/>
  <c r="E49" i="86"/>
  <c r="H48" i="86"/>
  <c r="E48" i="86"/>
  <c r="H47" i="86"/>
  <c r="E47" i="86"/>
  <c r="H46" i="86"/>
  <c r="E46" i="86"/>
  <c r="H45" i="86"/>
  <c r="E45" i="86"/>
  <c r="H44" i="86"/>
  <c r="E44" i="86"/>
  <c r="H43" i="86"/>
  <c r="E43" i="86"/>
  <c r="H42" i="86"/>
  <c r="E42" i="86"/>
  <c r="H41" i="86"/>
  <c r="E41" i="86"/>
  <c r="H40" i="86"/>
  <c r="E40" i="86"/>
  <c r="H39" i="86"/>
  <c r="E39" i="86"/>
  <c r="H38" i="86"/>
  <c r="E38" i="86"/>
  <c r="H37" i="86"/>
  <c r="E37" i="86"/>
  <c r="H36" i="86"/>
  <c r="E36" i="86"/>
  <c r="H35" i="86"/>
  <c r="E35" i="86"/>
  <c r="H34" i="86"/>
  <c r="E34" i="86"/>
  <c r="H33" i="86"/>
  <c r="E33" i="86"/>
  <c r="H32" i="86"/>
  <c r="E32" i="86"/>
  <c r="H31" i="86"/>
  <c r="E31" i="86"/>
  <c r="H30" i="86"/>
  <c r="D30" i="86" s="1"/>
  <c r="E30" i="86"/>
  <c r="H29" i="86"/>
  <c r="E29" i="86"/>
  <c r="H28" i="86"/>
  <c r="E28" i="86"/>
  <c r="H27" i="86"/>
  <c r="E27" i="86"/>
  <c r="H26" i="86"/>
  <c r="E26" i="86"/>
  <c r="H25" i="86"/>
  <c r="E25" i="86"/>
  <c r="H24" i="86"/>
  <c r="E24" i="86"/>
  <c r="H23" i="86"/>
  <c r="E23" i="86"/>
  <c r="H22" i="86"/>
  <c r="E22" i="86"/>
  <c r="H21" i="86"/>
  <c r="E21" i="86"/>
  <c r="H20" i="86"/>
  <c r="E20" i="86"/>
  <c r="H19" i="86"/>
  <c r="E19" i="86"/>
  <c r="H18" i="86"/>
  <c r="E18" i="86"/>
  <c r="H17" i="86"/>
  <c r="E17" i="86"/>
  <c r="H16" i="86"/>
  <c r="E16" i="86"/>
  <c r="L15" i="86"/>
  <c r="L10" i="86" s="1"/>
  <c r="L8" i="86" s="1"/>
  <c r="E15" i="86"/>
  <c r="H14" i="86"/>
  <c r="E14" i="86"/>
  <c r="H13" i="86"/>
  <c r="E13" i="86"/>
  <c r="H12" i="86"/>
  <c r="E12" i="86"/>
  <c r="H11" i="86"/>
  <c r="E11" i="86"/>
  <c r="N10" i="86"/>
  <c r="N8" i="86" s="1"/>
  <c r="M10" i="86"/>
  <c r="M8" i="86" s="1"/>
  <c r="J10" i="86"/>
  <c r="J8" i="86" s="1"/>
  <c r="I10" i="86"/>
  <c r="I8" i="86" s="1"/>
  <c r="G10" i="86"/>
  <c r="F10" i="86"/>
  <c r="F8" i="86" s="1"/>
  <c r="H9" i="86"/>
  <c r="E9" i="86"/>
  <c r="D14" i="86" l="1"/>
  <c r="D26" i="86"/>
  <c r="D28" i="86"/>
  <c r="R28" i="86" s="1"/>
  <c r="E10" i="86"/>
  <c r="D25" i="86"/>
  <c r="R25" i="86" s="1"/>
  <c r="D29" i="86"/>
  <c r="R29" i="86" s="1"/>
  <c r="D31" i="86"/>
  <c r="D20" i="86"/>
  <c r="R20" i="86" s="1"/>
  <c r="D17" i="86"/>
  <c r="R17" i="86" s="1"/>
  <c r="D18" i="86"/>
  <c r="H15" i="86"/>
  <c r="D15" i="86" s="1"/>
  <c r="R15" i="86" s="1"/>
  <c r="D23" i="86"/>
  <c r="R23" i="86" s="1"/>
  <c r="D21" i="86"/>
  <c r="R21" i="86" s="1"/>
  <c r="D32" i="86"/>
  <c r="R32" i="86" s="1"/>
  <c r="D22" i="86"/>
  <c r="R22" i="86" s="1"/>
  <c r="D33" i="86"/>
  <c r="R33" i="86" s="1"/>
  <c r="D12" i="86"/>
  <c r="D16" i="86"/>
  <c r="R16" i="86" s="1"/>
  <c r="D24" i="86"/>
  <c r="R24" i="86" s="1"/>
  <c r="D9" i="86"/>
  <c r="D11" i="86"/>
  <c r="R11" i="86" s="1"/>
  <c r="D19" i="86"/>
  <c r="R19" i="86" s="1"/>
  <c r="D43" i="86"/>
  <c r="R43" i="86" s="1"/>
  <c r="D45" i="86"/>
  <c r="R45" i="86" s="1"/>
  <c r="D59" i="86"/>
  <c r="R59" i="86" s="1"/>
  <c r="D61" i="86"/>
  <c r="R61" i="86" s="1"/>
  <c r="D73" i="86"/>
  <c r="R73" i="86" s="1"/>
  <c r="D81" i="86"/>
  <c r="R81" i="86" s="1"/>
  <c r="D89" i="86"/>
  <c r="R89" i="86" s="1"/>
  <c r="D97" i="86"/>
  <c r="R97" i="86" s="1"/>
  <c r="G8" i="86"/>
  <c r="E8" i="86" s="1"/>
  <c r="D27" i="86"/>
  <c r="R27" i="86" s="1"/>
  <c r="D34" i="86"/>
  <c r="D36" i="86"/>
  <c r="R36" i="86" s="1"/>
  <c r="D50" i="86"/>
  <c r="R50" i="86" s="1"/>
  <c r="D52" i="86"/>
  <c r="R52" i="86" s="1"/>
  <c r="D66" i="86"/>
  <c r="R66" i="86" s="1"/>
  <c r="D68" i="86"/>
  <c r="D76" i="86"/>
  <c r="D84" i="86"/>
  <c r="R84" i="86" s="1"/>
  <c r="D92" i="86"/>
  <c r="D100" i="86"/>
  <c r="R100" i="86" s="1"/>
  <c r="D38" i="86"/>
  <c r="R38" i="86" s="1"/>
  <c r="D49" i="86"/>
  <c r="R49" i="86" s="1"/>
  <c r="D54" i="86"/>
  <c r="R54" i="86" s="1"/>
  <c r="D63" i="86"/>
  <c r="R63" i="86" s="1"/>
  <c r="D78" i="86"/>
  <c r="R78" i="86" s="1"/>
  <c r="D86" i="86"/>
  <c r="R86" i="86" s="1"/>
  <c r="D94" i="86"/>
  <c r="D99" i="86"/>
  <c r="R99" i="86" s="1"/>
  <c r="K10" i="86"/>
  <c r="K8" i="86" s="1"/>
  <c r="D35" i="86"/>
  <c r="R35" i="86" s="1"/>
  <c r="D37" i="86"/>
  <c r="R37" i="86" s="1"/>
  <c r="D42" i="86"/>
  <c r="R42" i="86" s="1"/>
  <c r="D44" i="86"/>
  <c r="R44" i="86" s="1"/>
  <c r="D51" i="86"/>
  <c r="R51" i="86" s="1"/>
  <c r="D53" i="86"/>
  <c r="R53" i="86" s="1"/>
  <c r="D58" i="86"/>
  <c r="R58" i="86" s="1"/>
  <c r="D60" i="86"/>
  <c r="R60" i="86" s="1"/>
  <c r="D67" i="86"/>
  <c r="R67" i="86" s="1"/>
  <c r="D69" i="86"/>
  <c r="R69" i="86" s="1"/>
  <c r="D72" i="86"/>
  <c r="D77" i="86"/>
  <c r="R77" i="86" s="1"/>
  <c r="D80" i="86"/>
  <c r="D85" i="86"/>
  <c r="R85" i="86" s="1"/>
  <c r="D88" i="86"/>
  <c r="R88" i="86" s="1"/>
  <c r="D93" i="86"/>
  <c r="R93" i="86" s="1"/>
  <c r="D96" i="86"/>
  <c r="R96" i="86" s="1"/>
  <c r="D40" i="86"/>
  <c r="D47" i="86"/>
  <c r="R47" i="86" s="1"/>
  <c r="D56" i="86"/>
  <c r="D65" i="86"/>
  <c r="R65" i="86" s="1"/>
  <c r="D70" i="86"/>
  <c r="D75" i="86"/>
  <c r="R75" i="86" s="1"/>
  <c r="D83" i="86"/>
  <c r="R83" i="86" s="1"/>
  <c r="D91" i="86"/>
  <c r="R91" i="86" s="1"/>
  <c r="D13" i="86"/>
  <c r="R13" i="86" s="1"/>
  <c r="D39" i="86"/>
  <c r="R39" i="86" s="1"/>
  <c r="D41" i="86"/>
  <c r="R41" i="86" s="1"/>
  <c r="D46" i="86"/>
  <c r="R46" i="86" s="1"/>
  <c r="D48" i="86"/>
  <c r="D55" i="86"/>
  <c r="R55" i="86" s="1"/>
  <c r="D57" i="86"/>
  <c r="R57" i="86" s="1"/>
  <c r="D62" i="86"/>
  <c r="R62" i="86" s="1"/>
  <c r="D64" i="86"/>
  <c r="R64" i="86" s="1"/>
  <c r="D71" i="86"/>
  <c r="R71" i="86" s="1"/>
  <c r="D74" i="86"/>
  <c r="R74" i="86" s="1"/>
  <c r="D79" i="86"/>
  <c r="R79" i="86" s="1"/>
  <c r="D82" i="86"/>
  <c r="R82" i="86" s="1"/>
  <c r="D87" i="86"/>
  <c r="R87" i="86" s="1"/>
  <c r="D90" i="86"/>
  <c r="R90" i="86" s="1"/>
  <c r="D95" i="86"/>
  <c r="R95" i="86" s="1"/>
  <c r="D98" i="86"/>
  <c r="R98" i="86" s="1"/>
  <c r="D106" i="86"/>
  <c r="D114" i="86"/>
  <c r="R114" i="86" s="1"/>
  <c r="D146" i="86"/>
  <c r="R146" i="86" s="1"/>
  <c r="D148" i="86"/>
  <c r="D150" i="86"/>
  <c r="R150" i="86" s="1"/>
  <c r="D152" i="86"/>
  <c r="R152" i="86" s="1"/>
  <c r="D154" i="86"/>
  <c r="R154" i="86" s="1"/>
  <c r="D156" i="86"/>
  <c r="D158" i="86"/>
  <c r="R158" i="86" s="1"/>
  <c r="R111" i="86"/>
  <c r="R119" i="86"/>
  <c r="R127" i="86"/>
  <c r="R143" i="86"/>
  <c r="R156" i="86"/>
  <c r="R12" i="86"/>
  <c r="R14" i="86"/>
  <c r="R106" i="86"/>
  <c r="R31" i="86"/>
  <c r="R107" i="86"/>
  <c r="R115" i="86"/>
  <c r="R123" i="86"/>
  <c r="R131" i="86"/>
  <c r="R139" i="86"/>
  <c r="R148" i="86"/>
  <c r="R103" i="86"/>
  <c r="R135" i="86"/>
  <c r="R147" i="86"/>
  <c r="R18" i="86"/>
  <c r="R26" i="86"/>
  <c r="R30" i="86"/>
  <c r="D102" i="86"/>
  <c r="D110" i="86"/>
  <c r="R155" i="86"/>
  <c r="R34" i="86"/>
  <c r="R40" i="86"/>
  <c r="R48" i="86"/>
  <c r="R56" i="86"/>
  <c r="R68" i="86"/>
  <c r="R70" i="86"/>
  <c r="R72" i="86"/>
  <c r="R76" i="86"/>
  <c r="R80" i="86"/>
  <c r="R92" i="86"/>
  <c r="R94" i="86"/>
  <c r="D104" i="86"/>
  <c r="D108" i="86"/>
  <c r="D112" i="86"/>
  <c r="D116" i="86"/>
  <c r="R151" i="86"/>
  <c r="D101" i="86"/>
  <c r="D105" i="86"/>
  <c r="D109" i="86"/>
  <c r="D113" i="86"/>
  <c r="D117" i="86"/>
  <c r="R121" i="86"/>
  <c r="R125" i="86"/>
  <c r="R129" i="86"/>
  <c r="R133" i="86"/>
  <c r="R137" i="86"/>
  <c r="R141" i="86"/>
  <c r="R145" i="86"/>
  <c r="R149" i="86"/>
  <c r="R153" i="86"/>
  <c r="R157" i="86"/>
  <c r="D118" i="86"/>
  <c r="D120" i="86"/>
  <c r="D122" i="86"/>
  <c r="D124" i="86"/>
  <c r="D126" i="86"/>
  <c r="D128" i="86"/>
  <c r="D130" i="86"/>
  <c r="D132" i="86"/>
  <c r="D134" i="86"/>
  <c r="D136" i="86"/>
  <c r="D138" i="86"/>
  <c r="D140" i="86"/>
  <c r="D142" i="86"/>
  <c r="D144" i="86"/>
  <c r="H8" i="86" l="1"/>
  <c r="H10" i="86"/>
  <c r="D10" i="86" s="1"/>
  <c r="D8" i="86" s="1"/>
  <c r="R124" i="86"/>
  <c r="R130" i="86"/>
  <c r="R116" i="86"/>
  <c r="R144" i="86"/>
  <c r="R136" i="86"/>
  <c r="R128" i="86"/>
  <c r="R120" i="86"/>
  <c r="R113" i="86"/>
  <c r="R112" i="86"/>
  <c r="R102" i="86"/>
  <c r="R140" i="86"/>
  <c r="R132" i="86"/>
  <c r="R105" i="86"/>
  <c r="R104" i="86"/>
  <c r="R138" i="86"/>
  <c r="R122" i="86"/>
  <c r="R117" i="86"/>
  <c r="R101" i="86"/>
  <c r="R110" i="86"/>
  <c r="R142" i="86"/>
  <c r="R134" i="86"/>
  <c r="R126" i="86"/>
  <c r="R118" i="86"/>
  <c r="R109" i="86"/>
  <c r="R108" i="86"/>
  <c r="H158" i="85" l="1"/>
  <c r="D158" i="85" s="1"/>
  <c r="H157" i="85"/>
  <c r="D157" i="85" s="1"/>
  <c r="H156" i="85"/>
  <c r="E156" i="85"/>
  <c r="D156" i="85" s="1"/>
  <c r="H155" i="85"/>
  <c r="E155" i="85"/>
  <c r="H154" i="85"/>
  <c r="E154" i="85"/>
  <c r="D154" i="85" s="1"/>
  <c r="H153" i="85"/>
  <c r="E153" i="85"/>
  <c r="H152" i="85"/>
  <c r="E152" i="85"/>
  <c r="H151" i="85"/>
  <c r="D151" i="85" s="1"/>
  <c r="E151" i="85"/>
  <c r="H150" i="85"/>
  <c r="D150" i="85" s="1"/>
  <c r="E150" i="85"/>
  <c r="H149" i="85"/>
  <c r="E149" i="85"/>
  <c r="H148" i="85"/>
  <c r="E148" i="85"/>
  <c r="H147" i="85"/>
  <c r="E147" i="85"/>
  <c r="H146" i="85"/>
  <c r="D146" i="85" s="1"/>
  <c r="E146" i="85"/>
  <c r="H145" i="85"/>
  <c r="E145" i="85"/>
  <c r="H144" i="85"/>
  <c r="E144" i="85"/>
  <c r="H143" i="85"/>
  <c r="E143" i="85"/>
  <c r="H142" i="85"/>
  <c r="D142" i="85" s="1"/>
  <c r="H141" i="85"/>
  <c r="E141" i="85"/>
  <c r="H140" i="85"/>
  <c r="D140" i="85" s="1"/>
  <c r="H139" i="85"/>
  <c r="E139" i="85"/>
  <c r="H138" i="85"/>
  <c r="D138" i="85" s="1"/>
  <c r="H137" i="85"/>
  <c r="D137" i="85" s="1"/>
  <c r="H136" i="85"/>
  <c r="E136" i="85"/>
  <c r="H135" i="85"/>
  <c r="D135" i="85" s="1"/>
  <c r="H134" i="85"/>
  <c r="D134" i="85" s="1"/>
  <c r="H133" i="85"/>
  <c r="D133" i="85" s="1"/>
  <c r="H132" i="85"/>
  <c r="D132" i="85" s="1"/>
  <c r="H131" i="85"/>
  <c r="E131" i="85"/>
  <c r="H130" i="85"/>
  <c r="D130" i="85" s="1"/>
  <c r="H129" i="85"/>
  <c r="E129" i="85"/>
  <c r="H128" i="85"/>
  <c r="D128" i="85" s="1"/>
  <c r="H127" i="85"/>
  <c r="D127" i="85" s="1"/>
  <c r="H126" i="85"/>
  <c r="D126" i="85" s="1"/>
  <c r="H125" i="85"/>
  <c r="E125" i="85"/>
  <c r="H124" i="85"/>
  <c r="E124" i="85"/>
  <c r="H123" i="85"/>
  <c r="D123" i="85" s="1"/>
  <c r="H122" i="85"/>
  <c r="E122" i="85"/>
  <c r="H121" i="85"/>
  <c r="E121" i="85"/>
  <c r="H120" i="85"/>
  <c r="E120" i="85"/>
  <c r="H119" i="85"/>
  <c r="E119" i="85"/>
  <c r="H118" i="85"/>
  <c r="E118" i="85"/>
  <c r="H117" i="85"/>
  <c r="E117" i="85"/>
  <c r="H116" i="85"/>
  <c r="E116" i="85"/>
  <c r="H115" i="85"/>
  <c r="E115" i="85"/>
  <c r="H114" i="85"/>
  <c r="E114" i="85"/>
  <c r="H113" i="85"/>
  <c r="E113" i="85"/>
  <c r="H112" i="85"/>
  <c r="E112" i="85"/>
  <c r="H111" i="85"/>
  <c r="E111" i="85"/>
  <c r="H110" i="85"/>
  <c r="E110" i="85"/>
  <c r="H109" i="85"/>
  <c r="E109" i="85"/>
  <c r="H108" i="85"/>
  <c r="E108" i="85"/>
  <c r="H107" i="85"/>
  <c r="E107" i="85"/>
  <c r="H106" i="85"/>
  <c r="E106" i="85"/>
  <c r="H105" i="85"/>
  <c r="E105" i="85"/>
  <c r="H104" i="85"/>
  <c r="E104" i="85"/>
  <c r="H103" i="85"/>
  <c r="E103" i="85"/>
  <c r="H102" i="85"/>
  <c r="D102" i="85" s="1"/>
  <c r="H101" i="85"/>
  <c r="E101" i="85"/>
  <c r="D101" i="85" s="1"/>
  <c r="H100" i="85"/>
  <c r="E100" i="85"/>
  <c r="H99" i="85"/>
  <c r="E99" i="85"/>
  <c r="H98" i="85"/>
  <c r="E98" i="85"/>
  <c r="H97" i="85"/>
  <c r="E97" i="85"/>
  <c r="H96" i="85"/>
  <c r="E96" i="85"/>
  <c r="H95" i="85"/>
  <c r="E95" i="85"/>
  <c r="H94" i="85"/>
  <c r="E94" i="85"/>
  <c r="H93" i="85"/>
  <c r="E93" i="85"/>
  <c r="H92" i="85"/>
  <c r="E92" i="85"/>
  <c r="H91" i="85"/>
  <c r="E91" i="85"/>
  <c r="H90" i="85"/>
  <c r="E90" i="85"/>
  <c r="H89" i="85"/>
  <c r="E89" i="85"/>
  <c r="H88" i="85"/>
  <c r="E88" i="85"/>
  <c r="H87" i="85"/>
  <c r="E87" i="85"/>
  <c r="H86" i="85"/>
  <c r="E86" i="85"/>
  <c r="H85" i="85"/>
  <c r="E85" i="85"/>
  <c r="H84" i="85"/>
  <c r="E84" i="85"/>
  <c r="H83" i="85"/>
  <c r="D83" i="85" s="1"/>
  <c r="E83" i="85"/>
  <c r="H82" i="85"/>
  <c r="E82" i="85"/>
  <c r="H81" i="85"/>
  <c r="E81" i="85"/>
  <c r="H80" i="85"/>
  <c r="E80" i="85"/>
  <c r="H79" i="85"/>
  <c r="E79" i="85"/>
  <c r="H78" i="85"/>
  <c r="E78" i="85"/>
  <c r="H77" i="85"/>
  <c r="E77" i="85"/>
  <c r="H76" i="85"/>
  <c r="E76" i="85"/>
  <c r="H75" i="85"/>
  <c r="E75" i="85"/>
  <c r="H74" i="85"/>
  <c r="E74" i="85"/>
  <c r="H73" i="85"/>
  <c r="E73" i="85"/>
  <c r="H72" i="85"/>
  <c r="E72" i="85"/>
  <c r="H71" i="85"/>
  <c r="E71" i="85"/>
  <c r="H70" i="85"/>
  <c r="E70" i="85"/>
  <c r="H69" i="85"/>
  <c r="E69" i="85"/>
  <c r="H68" i="85"/>
  <c r="E68" i="85"/>
  <c r="H67" i="85"/>
  <c r="D67" i="85" s="1"/>
  <c r="H66" i="85"/>
  <c r="D66" i="85"/>
  <c r="H65" i="85"/>
  <c r="E65" i="85"/>
  <c r="H64" i="85"/>
  <c r="E64" i="85"/>
  <c r="H63" i="85"/>
  <c r="E63" i="85"/>
  <c r="D63" i="85" s="1"/>
  <c r="H62" i="85"/>
  <c r="E62" i="85"/>
  <c r="H61" i="85"/>
  <c r="E61" i="85"/>
  <c r="D61" i="85" s="1"/>
  <c r="H60" i="85"/>
  <c r="E60" i="85"/>
  <c r="H59" i="85"/>
  <c r="E59" i="85"/>
  <c r="D59" i="85" s="1"/>
  <c r="H58" i="85"/>
  <c r="E58" i="85"/>
  <c r="D58" i="85" s="1"/>
  <c r="H57" i="85"/>
  <c r="E57" i="85"/>
  <c r="H56" i="85"/>
  <c r="E56" i="85"/>
  <c r="H55" i="85"/>
  <c r="E55" i="85"/>
  <c r="H54" i="85"/>
  <c r="E54" i="85"/>
  <c r="H53" i="85"/>
  <c r="E53" i="85"/>
  <c r="H52" i="85"/>
  <c r="E52" i="85"/>
  <c r="H51" i="85"/>
  <c r="E51" i="85"/>
  <c r="H50" i="85"/>
  <c r="E50" i="85"/>
  <c r="H49" i="85"/>
  <c r="E49" i="85"/>
  <c r="H48" i="85"/>
  <c r="E48" i="85"/>
  <c r="H47" i="85"/>
  <c r="E47" i="85"/>
  <c r="H46" i="85"/>
  <c r="E46" i="85"/>
  <c r="H45" i="85"/>
  <c r="E45" i="85"/>
  <c r="H44" i="85"/>
  <c r="D44" i="85" s="1"/>
  <c r="E44" i="85"/>
  <c r="H43" i="85"/>
  <c r="E43" i="85"/>
  <c r="H42" i="85"/>
  <c r="E42" i="85"/>
  <c r="H41" i="85"/>
  <c r="D41" i="85" s="1"/>
  <c r="H40" i="85"/>
  <c r="E40" i="85"/>
  <c r="H39" i="85"/>
  <c r="E39" i="85"/>
  <c r="D39" i="85" s="1"/>
  <c r="H38" i="85"/>
  <c r="E38" i="85"/>
  <c r="H37" i="85"/>
  <c r="E37" i="85"/>
  <c r="H36" i="85"/>
  <c r="E36" i="85"/>
  <c r="H35" i="85"/>
  <c r="D35" i="85" s="1"/>
  <c r="H34" i="85"/>
  <c r="D34" i="85" s="1"/>
  <c r="H33" i="85"/>
  <c r="E33" i="85"/>
  <c r="H32" i="85"/>
  <c r="E32" i="85"/>
  <c r="H31" i="85"/>
  <c r="E31" i="85"/>
  <c r="H30" i="85"/>
  <c r="E30" i="85"/>
  <c r="H29" i="85"/>
  <c r="E29" i="85"/>
  <c r="H28" i="85"/>
  <c r="E28" i="85"/>
  <c r="H27" i="85"/>
  <c r="E27" i="85"/>
  <c r="H26" i="85"/>
  <c r="E26" i="85"/>
  <c r="H25" i="85"/>
  <c r="E25" i="85"/>
  <c r="H24" i="85"/>
  <c r="D24" i="85" s="1"/>
  <c r="H23" i="85"/>
  <c r="D23" i="85" s="1"/>
  <c r="H22" i="85"/>
  <c r="E22" i="85"/>
  <c r="H21" i="85"/>
  <c r="E21" i="85"/>
  <c r="H20" i="85"/>
  <c r="E20" i="85"/>
  <c r="H19" i="85"/>
  <c r="E19" i="85"/>
  <c r="H18" i="85"/>
  <c r="E18" i="85"/>
  <c r="H17" i="85"/>
  <c r="E17" i="85"/>
  <c r="H16" i="85"/>
  <c r="E16" i="85"/>
  <c r="H15" i="85"/>
  <c r="E15" i="85"/>
  <c r="H14" i="85"/>
  <c r="E14" i="85"/>
  <c r="H13" i="85"/>
  <c r="E13" i="85"/>
  <c r="H12" i="85"/>
  <c r="E12" i="85"/>
  <c r="H11" i="85"/>
  <c r="E11" i="85"/>
  <c r="N10" i="85"/>
  <c r="N8" i="85" s="1"/>
  <c r="M10" i="85"/>
  <c r="L10" i="85"/>
  <c r="L8" i="85" s="1"/>
  <c r="K10" i="85"/>
  <c r="K8" i="85" s="1"/>
  <c r="J10" i="85"/>
  <c r="I10" i="85"/>
  <c r="I8" i="85" s="1"/>
  <c r="G10" i="85"/>
  <c r="G8" i="85" s="1"/>
  <c r="F10" i="85"/>
  <c r="F8" i="85" s="1"/>
  <c r="H9" i="85"/>
  <c r="E9" i="85"/>
  <c r="M8" i="85"/>
  <c r="D103" i="85" l="1"/>
  <c r="D107" i="85"/>
  <c r="D115" i="85"/>
  <c r="D124" i="85"/>
  <c r="D131" i="85"/>
  <c r="D25" i="85"/>
  <c r="D29" i="85"/>
  <c r="D46" i="85"/>
  <c r="D54" i="85"/>
  <c r="D148" i="85"/>
  <c r="D42" i="85"/>
  <c r="D38" i="85"/>
  <c r="D43" i="85"/>
  <c r="D99" i="85"/>
  <c r="D111" i="85"/>
  <c r="D14" i="85"/>
  <c r="D22" i="85"/>
  <c r="D80" i="85"/>
  <c r="D108" i="85"/>
  <c r="D112" i="85"/>
  <c r="D15" i="85"/>
  <c r="D19" i="85"/>
  <c r="D28" i="85"/>
  <c r="D45" i="85"/>
  <c r="D77" i="85"/>
  <c r="D81" i="85"/>
  <c r="D85" i="85"/>
  <c r="D93" i="85"/>
  <c r="D105" i="85"/>
  <c r="D113" i="85"/>
  <c r="D36" i="85"/>
  <c r="D86" i="85"/>
  <c r="D155" i="85"/>
  <c r="D143" i="85"/>
  <c r="D32" i="85"/>
  <c r="D56" i="85"/>
  <c r="D71" i="85"/>
  <c r="D64" i="85"/>
  <c r="D72" i="85"/>
  <c r="D88" i="85"/>
  <c r="D92" i="85"/>
  <c r="D18" i="85"/>
  <c r="D87" i="85"/>
  <c r="D106" i="85"/>
  <c r="D125" i="85"/>
  <c r="D149" i="85"/>
  <c r="D13" i="85"/>
  <c r="D50" i="85"/>
  <c r="D69" i="85"/>
  <c r="D97" i="85"/>
  <c r="D119" i="85"/>
  <c r="D40" i="85"/>
  <c r="D49" i="85"/>
  <c r="D55" i="85"/>
  <c r="D65" i="85"/>
  <c r="D68" i="85"/>
  <c r="D70" i="85"/>
  <c r="D76" i="85"/>
  <c r="D78" i="85"/>
  <c r="D90" i="85"/>
  <c r="D96" i="85"/>
  <c r="D100" i="85"/>
  <c r="D116" i="85"/>
  <c r="D120" i="85"/>
  <c r="D129" i="85"/>
  <c r="D17" i="85"/>
  <c r="D91" i="85"/>
  <c r="D118" i="85"/>
  <c r="D21" i="85"/>
  <c r="D27" i="85"/>
  <c r="D48" i="85"/>
  <c r="D51" i="85"/>
  <c r="D53" i="85"/>
  <c r="D73" i="85"/>
  <c r="D75" i="85"/>
  <c r="D95" i="85"/>
  <c r="D110" i="85"/>
  <c r="D122" i="85"/>
  <c r="D139" i="85"/>
  <c r="D153" i="85"/>
  <c r="D89" i="85"/>
  <c r="E10" i="85"/>
  <c r="D31" i="85"/>
  <c r="D33" i="85"/>
  <c r="D37" i="85"/>
  <c r="D47" i="85"/>
  <c r="D52" i="85"/>
  <c r="D57" i="85"/>
  <c r="D62" i="85"/>
  <c r="D74" i="85"/>
  <c r="D79" i="85"/>
  <c r="D84" i="85"/>
  <c r="D94" i="85"/>
  <c r="D104" i="85"/>
  <c r="D114" i="85"/>
  <c r="D121" i="85"/>
  <c r="D136" i="85"/>
  <c r="D145" i="85"/>
  <c r="D147" i="85"/>
  <c r="J8" i="85"/>
  <c r="H10" i="85"/>
  <c r="H8" i="85" s="1"/>
  <c r="D12" i="85"/>
  <c r="D20" i="85"/>
  <c r="D26" i="85"/>
  <c r="D9" i="85"/>
  <c r="D11" i="85"/>
  <c r="D16" i="85"/>
  <c r="D30" i="85"/>
  <c r="D60" i="85"/>
  <c r="D82" i="85"/>
  <c r="D98" i="85"/>
  <c r="D109" i="85"/>
  <c r="D117" i="85"/>
  <c r="D141" i="85"/>
  <c r="D144" i="85"/>
  <c r="D152" i="85"/>
  <c r="D10" i="85" l="1"/>
  <c r="E8" i="85"/>
  <c r="D8" i="85"/>
  <c r="K157" i="84" l="1"/>
  <c r="E157" i="84"/>
  <c r="K156" i="84"/>
  <c r="H156" i="84"/>
  <c r="E156" i="84"/>
  <c r="K155" i="84"/>
  <c r="H155" i="84"/>
  <c r="K154" i="84"/>
  <c r="H154" i="84"/>
  <c r="K153" i="84"/>
  <c r="E153" i="84"/>
  <c r="K152" i="84"/>
  <c r="H152" i="84"/>
  <c r="K151" i="84"/>
  <c r="H151" i="84"/>
  <c r="K150" i="84"/>
  <c r="H150" i="84"/>
  <c r="E150" i="84"/>
  <c r="K149" i="84"/>
  <c r="E149" i="84"/>
  <c r="K148" i="84"/>
  <c r="H148" i="84"/>
  <c r="K147" i="84"/>
  <c r="H147" i="84"/>
  <c r="K146" i="84"/>
  <c r="K145" i="84"/>
  <c r="K144" i="84"/>
  <c r="H144" i="84"/>
  <c r="K143" i="84"/>
  <c r="K142" i="84"/>
  <c r="E142" i="84"/>
  <c r="K141" i="84"/>
  <c r="K140" i="84"/>
  <c r="H140" i="84"/>
  <c r="E140" i="84"/>
  <c r="K139" i="84"/>
  <c r="H139" i="84"/>
  <c r="K138" i="84"/>
  <c r="K137" i="84"/>
  <c r="E137" i="84"/>
  <c r="K136" i="84"/>
  <c r="K135" i="84"/>
  <c r="H135" i="84"/>
  <c r="K134" i="84"/>
  <c r="K133" i="84"/>
  <c r="E133" i="84"/>
  <c r="K132" i="84"/>
  <c r="E132" i="84"/>
  <c r="K131" i="84"/>
  <c r="H131" i="84"/>
  <c r="K130" i="84"/>
  <c r="K129" i="84"/>
  <c r="E129" i="84"/>
  <c r="K128" i="84"/>
  <c r="H128" i="84"/>
  <c r="K127" i="84"/>
  <c r="H127" i="84"/>
  <c r="K126" i="84"/>
  <c r="E126" i="84"/>
  <c r="K125" i="84"/>
  <c r="E125" i="84"/>
  <c r="K124" i="84"/>
  <c r="H124" i="84"/>
  <c r="E124" i="84"/>
  <c r="K123" i="84"/>
  <c r="H123" i="84"/>
  <c r="K122" i="84"/>
  <c r="H122" i="84"/>
  <c r="K121" i="84"/>
  <c r="E121" i="84"/>
  <c r="K120" i="84"/>
  <c r="H120" i="84"/>
  <c r="K119" i="84"/>
  <c r="H119" i="84"/>
  <c r="K118" i="84"/>
  <c r="H118" i="84"/>
  <c r="E118" i="84"/>
  <c r="K117" i="84"/>
  <c r="E117" i="84"/>
  <c r="K116" i="84"/>
  <c r="H116" i="84"/>
  <c r="K115" i="84"/>
  <c r="H115" i="84"/>
  <c r="K114" i="84"/>
  <c r="K113" i="84"/>
  <c r="K112" i="84"/>
  <c r="H112" i="84"/>
  <c r="K111" i="84"/>
  <c r="K110" i="84"/>
  <c r="K109" i="84"/>
  <c r="K108" i="84"/>
  <c r="H108" i="84"/>
  <c r="E108" i="84"/>
  <c r="K107" i="84"/>
  <c r="H107" i="84"/>
  <c r="K106" i="84"/>
  <c r="H106" i="84"/>
  <c r="K105" i="84"/>
  <c r="E105" i="84"/>
  <c r="K104" i="84"/>
  <c r="K103" i="84"/>
  <c r="H103" i="84"/>
  <c r="K102" i="84"/>
  <c r="H102" i="84"/>
  <c r="K101" i="84"/>
  <c r="K100" i="84"/>
  <c r="H100" i="84"/>
  <c r="E100" i="84"/>
  <c r="K99" i="84"/>
  <c r="H99" i="84"/>
  <c r="K98" i="84"/>
  <c r="H98" i="84"/>
  <c r="E98" i="84"/>
  <c r="K97" i="84"/>
  <c r="E97" i="84"/>
  <c r="K96" i="84"/>
  <c r="H96" i="84"/>
  <c r="K95" i="84"/>
  <c r="H95" i="84"/>
  <c r="K94" i="84"/>
  <c r="H94" i="84"/>
  <c r="K93" i="84"/>
  <c r="K92" i="84"/>
  <c r="H92" i="84"/>
  <c r="K91" i="84"/>
  <c r="K90" i="84"/>
  <c r="K89" i="84"/>
  <c r="K88" i="84"/>
  <c r="K87" i="84"/>
  <c r="H87" i="84"/>
  <c r="K86" i="84"/>
  <c r="E86" i="84"/>
  <c r="K85" i="84"/>
  <c r="K84" i="84"/>
  <c r="H84" i="84"/>
  <c r="E84" i="84"/>
  <c r="K83" i="84"/>
  <c r="H83" i="84"/>
  <c r="K82" i="84"/>
  <c r="E82" i="84"/>
  <c r="K81" i="84"/>
  <c r="H81" i="84"/>
  <c r="K80" i="84"/>
  <c r="K79" i="84"/>
  <c r="K78" i="84"/>
  <c r="K77" i="84"/>
  <c r="H77" i="84"/>
  <c r="E77" i="84"/>
  <c r="K76" i="84"/>
  <c r="K75" i="84"/>
  <c r="K74" i="84"/>
  <c r="E74" i="84"/>
  <c r="K73" i="84"/>
  <c r="H73" i="84"/>
  <c r="K72" i="84"/>
  <c r="E72" i="84"/>
  <c r="K71" i="84"/>
  <c r="K70" i="84"/>
  <c r="K69" i="84"/>
  <c r="K68" i="84"/>
  <c r="K67" i="84"/>
  <c r="E67" i="84"/>
  <c r="K66" i="84"/>
  <c r="E66" i="84"/>
  <c r="K65" i="84"/>
  <c r="H65" i="84"/>
  <c r="K64" i="84"/>
  <c r="K63" i="84"/>
  <c r="H63" i="84"/>
  <c r="K62" i="84"/>
  <c r="E62" i="84"/>
  <c r="K61" i="84"/>
  <c r="H61" i="84"/>
  <c r="K60" i="84"/>
  <c r="K59" i="84"/>
  <c r="H59" i="84"/>
  <c r="E59" i="84"/>
  <c r="K58" i="84"/>
  <c r="K57" i="84"/>
  <c r="H57" i="84"/>
  <c r="K56" i="84"/>
  <c r="H56" i="84"/>
  <c r="K55" i="84"/>
  <c r="E55" i="84"/>
  <c r="K54" i="84"/>
  <c r="K53" i="84"/>
  <c r="H53" i="84"/>
  <c r="K52" i="84"/>
  <c r="H52" i="84"/>
  <c r="E52" i="84"/>
  <c r="K51" i="84"/>
  <c r="K50" i="84"/>
  <c r="K49" i="84"/>
  <c r="H49" i="84"/>
  <c r="K48" i="84"/>
  <c r="K47" i="84"/>
  <c r="H47" i="84"/>
  <c r="E47" i="84"/>
  <c r="K46" i="84"/>
  <c r="E46" i="84"/>
  <c r="K45" i="84"/>
  <c r="H45" i="84"/>
  <c r="K44" i="84"/>
  <c r="H44" i="84"/>
  <c r="E44" i="84"/>
  <c r="K43" i="84"/>
  <c r="E43" i="84"/>
  <c r="K42" i="84"/>
  <c r="E42" i="84"/>
  <c r="K41" i="84"/>
  <c r="H41" i="84"/>
  <c r="K40" i="84"/>
  <c r="K39" i="84"/>
  <c r="K38" i="84"/>
  <c r="K37" i="84"/>
  <c r="H37" i="84"/>
  <c r="K36" i="84"/>
  <c r="E36" i="84"/>
  <c r="K35" i="84"/>
  <c r="H35" i="84"/>
  <c r="K34" i="84"/>
  <c r="K33" i="84"/>
  <c r="H33" i="84"/>
  <c r="K32" i="84"/>
  <c r="H32" i="84"/>
  <c r="K31" i="84"/>
  <c r="E31" i="84"/>
  <c r="K30" i="84"/>
  <c r="K29" i="84"/>
  <c r="E29" i="84"/>
  <c r="K28" i="84"/>
  <c r="K27" i="84"/>
  <c r="K26" i="84"/>
  <c r="E26" i="84"/>
  <c r="K25" i="84"/>
  <c r="H25" i="84"/>
  <c r="K24" i="84"/>
  <c r="K23" i="84"/>
  <c r="E23" i="84"/>
  <c r="K22" i="84"/>
  <c r="K21" i="84"/>
  <c r="H21" i="84"/>
  <c r="E21" i="84"/>
  <c r="K20" i="84"/>
  <c r="K19" i="84"/>
  <c r="K18" i="84"/>
  <c r="H18" i="84"/>
  <c r="E18" i="84"/>
  <c r="K17" i="84"/>
  <c r="H17" i="84"/>
  <c r="K16" i="84"/>
  <c r="H16" i="84"/>
  <c r="E16" i="84"/>
  <c r="K15" i="84"/>
  <c r="E15" i="84"/>
  <c r="K14" i="84"/>
  <c r="E14" i="84"/>
  <c r="K13" i="84"/>
  <c r="H13" i="84"/>
  <c r="E13" i="84"/>
  <c r="K12" i="84"/>
  <c r="K11" i="84"/>
  <c r="K10" i="84"/>
  <c r="E10" i="84"/>
  <c r="Q9" i="84"/>
  <c r="P9" i="84"/>
  <c r="O9" i="84"/>
  <c r="O7" i="84" s="1"/>
  <c r="N9" i="84"/>
  <c r="M9" i="84"/>
  <c r="L9" i="84"/>
  <c r="Q8" i="84"/>
  <c r="Q7" i="84" s="1"/>
  <c r="P8" i="84"/>
  <c r="P7" i="84" s="1"/>
  <c r="N8" i="84"/>
  <c r="M8" i="84"/>
  <c r="M7" i="84" s="1"/>
  <c r="L8" i="84"/>
  <c r="H8" i="84"/>
  <c r="E8" i="84"/>
  <c r="D21" i="84" l="1"/>
  <c r="N7" i="84"/>
  <c r="L7" i="84"/>
  <c r="D47" i="84"/>
  <c r="H15" i="84"/>
  <c r="H43" i="84"/>
  <c r="D43" i="84" s="1"/>
  <c r="E54" i="84"/>
  <c r="D59" i="84"/>
  <c r="H69" i="84"/>
  <c r="E76" i="84"/>
  <c r="H91" i="84"/>
  <c r="D118" i="84"/>
  <c r="H126" i="84"/>
  <c r="D126" i="84" s="1"/>
  <c r="H130" i="84"/>
  <c r="D150" i="84"/>
  <c r="D13" i="84"/>
  <c r="E24" i="84"/>
  <c r="E48" i="84"/>
  <c r="E68" i="84"/>
  <c r="H79" i="84"/>
  <c r="D84" i="84"/>
  <c r="E90" i="84"/>
  <c r="H134" i="84"/>
  <c r="H138" i="84"/>
  <c r="H10" i="84"/>
  <c r="D10" i="84" s="1"/>
  <c r="E22" i="84"/>
  <c r="H23" i="84"/>
  <c r="H24" i="84"/>
  <c r="H26" i="84"/>
  <c r="D26" i="84" s="1"/>
  <c r="H29" i="84"/>
  <c r="D29" i="84" s="1"/>
  <c r="H30" i="84"/>
  <c r="E40" i="84"/>
  <c r="H51" i="84"/>
  <c r="E63" i="84"/>
  <c r="D63" i="84" s="1"/>
  <c r="H64" i="84"/>
  <c r="H67" i="84"/>
  <c r="H71" i="84"/>
  <c r="E75" i="84"/>
  <c r="E78" i="84"/>
  <c r="H86" i="84"/>
  <c r="D86" i="84" s="1"/>
  <c r="E88" i="84"/>
  <c r="E92" i="84"/>
  <c r="D92" i="84" s="1"/>
  <c r="H104" i="84"/>
  <c r="E106" i="84"/>
  <c r="D106" i="84" s="1"/>
  <c r="H110" i="84"/>
  <c r="H111" i="84"/>
  <c r="E113" i="84"/>
  <c r="H114" i="84"/>
  <c r="E116" i="84"/>
  <c r="D116" i="84" s="1"/>
  <c r="H132" i="84"/>
  <c r="E134" i="84"/>
  <c r="H136" i="84"/>
  <c r="E141" i="84"/>
  <c r="H142" i="84"/>
  <c r="D142" i="84" s="1"/>
  <c r="H143" i="84"/>
  <c r="E145" i="84"/>
  <c r="H146" i="84"/>
  <c r="E148" i="84"/>
  <c r="D98" i="84"/>
  <c r="D67" i="84"/>
  <c r="D77" i="84"/>
  <c r="D16" i="84"/>
  <c r="E17" i="84"/>
  <c r="E19" i="84"/>
  <c r="E25" i="84"/>
  <c r="D25" i="84" s="1"/>
  <c r="E27" i="84"/>
  <c r="H34" i="84"/>
  <c r="H36" i="84"/>
  <c r="D36" i="84" s="1"/>
  <c r="D44" i="84"/>
  <c r="H48" i="84"/>
  <c r="H55" i="84"/>
  <c r="D55" i="84" s="1"/>
  <c r="E58" i="84"/>
  <c r="H60" i="84"/>
  <c r="E70" i="84"/>
  <c r="E71" i="84"/>
  <c r="H72" i="84"/>
  <c r="D72" i="84" s="1"/>
  <c r="E80" i="84"/>
  <c r="E81" i="84"/>
  <c r="D81" i="84" s="1"/>
  <c r="H82" i="84"/>
  <c r="D82" i="84" s="1"/>
  <c r="H85" i="84"/>
  <c r="H89" i="84"/>
  <c r="E93" i="84"/>
  <c r="E102" i="84"/>
  <c r="D102" i="84" s="1"/>
  <c r="E104" i="84"/>
  <c r="E109" i="84"/>
  <c r="E114" i="84"/>
  <c r="E120" i="84"/>
  <c r="D120" i="84" s="1"/>
  <c r="E130" i="84"/>
  <c r="E136" i="84"/>
  <c r="E146" i="84"/>
  <c r="E152" i="84"/>
  <c r="D152" i="84" s="1"/>
  <c r="K8" i="84"/>
  <c r="K9" i="84"/>
  <c r="E12" i="84"/>
  <c r="D17" i="84"/>
  <c r="E20" i="84"/>
  <c r="E28" i="84"/>
  <c r="E38" i="84"/>
  <c r="H39" i="84"/>
  <c r="E56" i="84"/>
  <c r="D56" i="84" s="1"/>
  <c r="E94" i="84"/>
  <c r="D94" i="84" s="1"/>
  <c r="E96" i="84"/>
  <c r="D96" i="84" s="1"/>
  <c r="E101" i="84"/>
  <c r="E110" i="84"/>
  <c r="E112" i="84"/>
  <c r="D112" i="84" s="1"/>
  <c r="E122" i="84"/>
  <c r="D122" i="84" s="1"/>
  <c r="E128" i="84"/>
  <c r="D128" i="84" s="1"/>
  <c r="E138" i="84"/>
  <c r="E144" i="84"/>
  <c r="D144" i="84" s="1"/>
  <c r="E154" i="84"/>
  <c r="D154" i="84" s="1"/>
  <c r="J9" i="84"/>
  <c r="J7" i="84" s="1"/>
  <c r="H12" i="84"/>
  <c r="H14" i="84"/>
  <c r="D14" i="84" s="1"/>
  <c r="H19" i="84"/>
  <c r="H20" i="84"/>
  <c r="H22" i="84"/>
  <c r="H27" i="84"/>
  <c r="D27" i="84" s="1"/>
  <c r="H28" i="84"/>
  <c r="E30" i="84"/>
  <c r="H31" i="84"/>
  <c r="D31" i="84" s="1"/>
  <c r="E32" i="84"/>
  <c r="D32" i="84" s="1"/>
  <c r="E34" i="84"/>
  <c r="D34" i="84" s="1"/>
  <c r="E35" i="84"/>
  <c r="D35" i="84" s="1"/>
  <c r="E39" i="84"/>
  <c r="D39" i="84" s="1"/>
  <c r="H40" i="84"/>
  <c r="E50" i="84"/>
  <c r="E51" i="84"/>
  <c r="E60" i="84"/>
  <c r="E64" i="84"/>
  <c r="H68" i="84"/>
  <c r="H75" i="84"/>
  <c r="H78" i="84"/>
  <c r="E85" i="84"/>
  <c r="E89" i="84"/>
  <c r="H90" i="84"/>
  <c r="H93" i="84"/>
  <c r="H97" i="84"/>
  <c r="D97" i="84" s="1"/>
  <c r="H101" i="84"/>
  <c r="H105" i="84"/>
  <c r="D105" i="84" s="1"/>
  <c r="H109" i="84"/>
  <c r="H113" i="84"/>
  <c r="H117" i="84"/>
  <c r="D117" i="84" s="1"/>
  <c r="H121" i="84"/>
  <c r="D121" i="84" s="1"/>
  <c r="H125" i="84"/>
  <c r="D125" i="84" s="1"/>
  <c r="H129" i="84"/>
  <c r="D129" i="84" s="1"/>
  <c r="H133" i="84"/>
  <c r="D133" i="84" s="1"/>
  <c r="H137" i="84"/>
  <c r="D137" i="84" s="1"/>
  <c r="H141" i="84"/>
  <c r="H145" i="84"/>
  <c r="H149" i="84"/>
  <c r="D149" i="84" s="1"/>
  <c r="H153" i="84"/>
  <c r="D153" i="84" s="1"/>
  <c r="H157" i="84"/>
  <c r="D157" i="84" s="1"/>
  <c r="D15" i="84"/>
  <c r="D23" i="84"/>
  <c r="G9" i="84"/>
  <c r="G7" i="84" s="1"/>
  <c r="D8" i="84"/>
  <c r="E11" i="84"/>
  <c r="F9" i="84"/>
  <c r="D18" i="84"/>
  <c r="K7" i="84"/>
  <c r="H11" i="84"/>
  <c r="I9" i="84"/>
  <c r="D52" i="84"/>
  <c r="D90" i="84"/>
  <c r="E33" i="84"/>
  <c r="D33" i="84" s="1"/>
  <c r="E37" i="84"/>
  <c r="D37" i="84" s="1"/>
  <c r="E41" i="84"/>
  <c r="D41" i="84" s="1"/>
  <c r="E45" i="84"/>
  <c r="D45" i="84" s="1"/>
  <c r="E49" i="84"/>
  <c r="D49" i="84" s="1"/>
  <c r="E53" i="84"/>
  <c r="D53" i="84" s="1"/>
  <c r="E57" i="84"/>
  <c r="D57" i="84" s="1"/>
  <c r="E61" i="84"/>
  <c r="D61" i="84" s="1"/>
  <c r="E65" i="84"/>
  <c r="D65" i="84" s="1"/>
  <c r="E69" i="84"/>
  <c r="E73" i="84"/>
  <c r="D73" i="84" s="1"/>
  <c r="H88" i="84"/>
  <c r="H38" i="84"/>
  <c r="H42" i="84"/>
  <c r="D42" i="84" s="1"/>
  <c r="H46" i="84"/>
  <c r="D46" i="84" s="1"/>
  <c r="H50" i="84"/>
  <c r="H54" i="84"/>
  <c r="H58" i="84"/>
  <c r="H62" i="84"/>
  <c r="D62" i="84" s="1"/>
  <c r="H66" i="84"/>
  <c r="D66" i="84" s="1"/>
  <c r="H70" i="84"/>
  <c r="H74" i="84"/>
  <c r="D74" i="84" s="1"/>
  <c r="H76" i="84"/>
  <c r="H80" i="84"/>
  <c r="D100" i="84"/>
  <c r="D108" i="84"/>
  <c r="D124" i="84"/>
  <c r="D132" i="84"/>
  <c r="D140" i="84"/>
  <c r="D148" i="84"/>
  <c r="D156" i="84"/>
  <c r="E79" i="84"/>
  <c r="E83" i="84"/>
  <c r="D83" i="84" s="1"/>
  <c r="E87" i="84"/>
  <c r="D87" i="84" s="1"/>
  <c r="E91" i="84"/>
  <c r="D91" i="84" s="1"/>
  <c r="E95" i="84"/>
  <c r="D95" i="84" s="1"/>
  <c r="E99" i="84"/>
  <c r="D99" i="84" s="1"/>
  <c r="E103" i="84"/>
  <c r="D103" i="84" s="1"/>
  <c r="E107" i="84"/>
  <c r="D107" i="84" s="1"/>
  <c r="E111" i="84"/>
  <c r="D111" i="84" s="1"/>
  <c r="E115" i="84"/>
  <c r="D115" i="84" s="1"/>
  <c r="E119" i="84"/>
  <c r="D119" i="84" s="1"/>
  <c r="E123" i="84"/>
  <c r="D123" i="84" s="1"/>
  <c r="E127" i="84"/>
  <c r="D127" i="84" s="1"/>
  <c r="E131" i="84"/>
  <c r="D131" i="84" s="1"/>
  <c r="E135" i="84"/>
  <c r="D135" i="84" s="1"/>
  <c r="E139" i="84"/>
  <c r="D139" i="84" s="1"/>
  <c r="E143" i="84"/>
  <c r="E147" i="84"/>
  <c r="D147" i="84" s="1"/>
  <c r="E151" i="84"/>
  <c r="D151" i="84" s="1"/>
  <c r="E155" i="84"/>
  <c r="D155" i="84" s="1"/>
  <c r="D80" i="84" l="1"/>
  <c r="D60" i="84"/>
  <c r="D114" i="84"/>
  <c r="D145" i="84"/>
  <c r="D138" i="84"/>
  <c r="D85" i="84"/>
  <c r="D141" i="84"/>
  <c r="D24" i="84"/>
  <c r="D134" i="84"/>
  <c r="D136" i="84"/>
  <c r="D76" i="84"/>
  <c r="D48" i="84"/>
  <c r="D69" i="84"/>
  <c r="D78" i="84"/>
  <c r="D88" i="84"/>
  <c r="D40" i="84"/>
  <c r="D11" i="84"/>
  <c r="D75" i="84"/>
  <c r="D22" i="84"/>
  <c r="D68" i="84"/>
  <c r="D58" i="84"/>
  <c r="D70" i="84"/>
  <c r="D54" i="84"/>
  <c r="D143" i="84"/>
  <c r="D79" i="84"/>
  <c r="D51" i="84"/>
  <c r="D30" i="84"/>
  <c r="D12" i="84"/>
  <c r="D130" i="84"/>
  <c r="D104" i="84"/>
  <c r="D89" i="84"/>
  <c r="D110" i="84"/>
  <c r="D71" i="84"/>
  <c r="D38" i="84"/>
  <c r="D113" i="84"/>
  <c r="D64" i="84"/>
  <c r="D146" i="84"/>
  <c r="D28" i="84"/>
  <c r="D19" i="84"/>
  <c r="D50" i="84"/>
  <c r="D101" i="84"/>
  <c r="D93" i="84"/>
  <c r="D20" i="84"/>
  <c r="D109" i="84"/>
  <c r="H9" i="84"/>
  <c r="I7" i="84"/>
  <c r="F7" i="84"/>
  <c r="E9" i="84"/>
  <c r="H7" i="84" l="1"/>
  <c r="D9" i="84"/>
  <c r="E7" i="84"/>
  <c r="D7" i="84" l="1"/>
  <c r="F157" i="83" l="1"/>
  <c r="E157" i="83"/>
  <c r="E156" i="83"/>
  <c r="F156" i="83"/>
  <c r="F154" i="83"/>
  <c r="E154" i="83"/>
  <c r="E151" i="83"/>
  <c r="F151" i="83"/>
  <c r="F149" i="83"/>
  <c r="E149" i="83"/>
  <c r="E148" i="83"/>
  <c r="F148" i="83"/>
  <c r="F147" i="83"/>
  <c r="E147" i="83"/>
  <c r="E146" i="83"/>
  <c r="F146" i="83"/>
  <c r="F143" i="83"/>
  <c r="E143" i="83"/>
  <c r="E142" i="83"/>
  <c r="F142" i="83"/>
  <c r="F141" i="83"/>
  <c r="E141" i="83"/>
  <c r="E140" i="83"/>
  <c r="F140" i="83"/>
  <c r="F137" i="83"/>
  <c r="E137" i="83"/>
  <c r="E133" i="83"/>
  <c r="F133" i="83"/>
  <c r="F132" i="83"/>
  <c r="E132" i="83"/>
  <c r="E130" i="83"/>
  <c r="F130" i="83"/>
  <c r="D130" i="83" s="1"/>
  <c r="F128" i="83"/>
  <c r="E128" i="83"/>
  <c r="E127" i="83"/>
  <c r="F127" i="83"/>
  <c r="F125" i="83"/>
  <c r="E125" i="83"/>
  <c r="E124" i="83"/>
  <c r="F124" i="83"/>
  <c r="D124" i="83" s="1"/>
  <c r="F123" i="83"/>
  <c r="E123" i="83"/>
  <c r="E122" i="83"/>
  <c r="F122" i="83"/>
  <c r="F121" i="83"/>
  <c r="E121" i="83"/>
  <c r="E120" i="83"/>
  <c r="F120" i="83"/>
  <c r="F119" i="83"/>
  <c r="E119" i="83"/>
  <c r="E118" i="83"/>
  <c r="F118" i="83"/>
  <c r="F117" i="83"/>
  <c r="E117" i="83"/>
  <c r="E116" i="83"/>
  <c r="F116" i="83"/>
  <c r="F115" i="83"/>
  <c r="E115" i="83"/>
  <c r="E114" i="83"/>
  <c r="F114" i="83"/>
  <c r="F113" i="83"/>
  <c r="E113" i="83"/>
  <c r="D113" i="83" s="1"/>
  <c r="E112" i="83"/>
  <c r="F112" i="83"/>
  <c r="F111" i="83"/>
  <c r="E111" i="83"/>
  <c r="E110" i="83"/>
  <c r="F110" i="83"/>
  <c r="F109" i="83"/>
  <c r="E109" i="83"/>
  <c r="D109" i="83" s="1"/>
  <c r="E108" i="83"/>
  <c r="F108" i="83"/>
  <c r="F107" i="83"/>
  <c r="E107" i="83"/>
  <c r="E106" i="83"/>
  <c r="F106" i="83"/>
  <c r="F104" i="83"/>
  <c r="E104" i="83"/>
  <c r="D104" i="83" s="1"/>
  <c r="E103" i="83"/>
  <c r="F103" i="83"/>
  <c r="F102" i="83"/>
  <c r="E102" i="83"/>
  <c r="E101" i="83"/>
  <c r="F101" i="83"/>
  <c r="F100" i="83"/>
  <c r="E100" i="83"/>
  <c r="D100" i="83" s="1"/>
  <c r="E99" i="83"/>
  <c r="F99" i="83"/>
  <c r="F98" i="83"/>
  <c r="E98" i="83"/>
  <c r="E97" i="83"/>
  <c r="F97" i="83"/>
  <c r="F96" i="83"/>
  <c r="E96" i="83"/>
  <c r="D96" i="83" s="1"/>
  <c r="E95" i="83"/>
  <c r="F95" i="83"/>
  <c r="F94" i="83"/>
  <c r="E94" i="83"/>
  <c r="E93" i="83"/>
  <c r="F93" i="83"/>
  <c r="F92" i="83"/>
  <c r="E92" i="83"/>
  <c r="D92" i="83" s="1"/>
  <c r="E91" i="83"/>
  <c r="F91" i="83"/>
  <c r="F90" i="83"/>
  <c r="E90" i="83"/>
  <c r="E89" i="83"/>
  <c r="F89" i="83"/>
  <c r="F88" i="83"/>
  <c r="E88" i="83"/>
  <c r="D88" i="83" s="1"/>
  <c r="E87" i="83"/>
  <c r="F87" i="83"/>
  <c r="F86" i="83"/>
  <c r="E86" i="83"/>
  <c r="E85" i="83"/>
  <c r="F85" i="83"/>
  <c r="F84" i="83"/>
  <c r="E84" i="83"/>
  <c r="D84" i="83" s="1"/>
  <c r="E83" i="83"/>
  <c r="F83" i="83"/>
  <c r="F82" i="83"/>
  <c r="E82" i="83"/>
  <c r="E81" i="83"/>
  <c r="F81" i="83"/>
  <c r="F80" i="83"/>
  <c r="E80" i="83"/>
  <c r="D80" i="83" s="1"/>
  <c r="E79" i="83"/>
  <c r="F79" i="83"/>
  <c r="F78" i="83"/>
  <c r="E78" i="83"/>
  <c r="E77" i="83"/>
  <c r="F77" i="83"/>
  <c r="F76" i="83"/>
  <c r="E76" i="83"/>
  <c r="D76" i="83" s="1"/>
  <c r="E75" i="83"/>
  <c r="F75" i="83"/>
  <c r="F74" i="83"/>
  <c r="E74" i="83"/>
  <c r="E73" i="83"/>
  <c r="F73" i="83"/>
  <c r="F72" i="83"/>
  <c r="E72" i="83"/>
  <c r="D72" i="83" s="1"/>
  <c r="E71" i="83"/>
  <c r="F71" i="83"/>
  <c r="F69" i="83"/>
  <c r="E69" i="83"/>
  <c r="E68" i="83"/>
  <c r="F68" i="83"/>
  <c r="F67" i="83"/>
  <c r="E67" i="83"/>
  <c r="D67" i="83" s="1"/>
  <c r="E66" i="83"/>
  <c r="F66" i="83"/>
  <c r="F65" i="83"/>
  <c r="E65" i="83"/>
  <c r="E64" i="83"/>
  <c r="F64" i="83"/>
  <c r="F63" i="83"/>
  <c r="E63" i="83"/>
  <c r="D63" i="83" s="1"/>
  <c r="E62" i="83"/>
  <c r="F62" i="83"/>
  <c r="F61" i="83"/>
  <c r="E61" i="83"/>
  <c r="D61" i="83" s="1"/>
  <c r="E60" i="83"/>
  <c r="F60" i="83"/>
  <c r="F59" i="83"/>
  <c r="E59" i="83"/>
  <c r="D59" i="83" s="1"/>
  <c r="E58" i="83"/>
  <c r="F58" i="83"/>
  <c r="F57" i="83"/>
  <c r="E57" i="83"/>
  <c r="D57" i="83" s="1"/>
  <c r="E56" i="83"/>
  <c r="F56" i="83"/>
  <c r="F55" i="83"/>
  <c r="E55" i="83"/>
  <c r="D55" i="83" s="1"/>
  <c r="E54" i="83"/>
  <c r="F54" i="83"/>
  <c r="F53" i="83"/>
  <c r="E53" i="83"/>
  <c r="D53" i="83" s="1"/>
  <c r="E52" i="83"/>
  <c r="F52" i="83"/>
  <c r="F51" i="83"/>
  <c r="E51" i="83"/>
  <c r="D51" i="83" s="1"/>
  <c r="E50" i="83"/>
  <c r="F50" i="83"/>
  <c r="F49" i="83"/>
  <c r="E49" i="83"/>
  <c r="D49" i="83" s="1"/>
  <c r="E48" i="83"/>
  <c r="F48" i="83"/>
  <c r="F47" i="83"/>
  <c r="E47" i="83"/>
  <c r="D47" i="83" s="1"/>
  <c r="E46" i="83"/>
  <c r="F46" i="83"/>
  <c r="F45" i="83"/>
  <c r="E45" i="83"/>
  <c r="D45" i="83" s="1"/>
  <c r="E43" i="83"/>
  <c r="F43" i="83"/>
  <c r="F42" i="83"/>
  <c r="E42" i="83"/>
  <c r="D42" i="83" s="1"/>
  <c r="E41" i="83"/>
  <c r="F41" i="83"/>
  <c r="F40" i="83"/>
  <c r="E40" i="83"/>
  <c r="D40" i="83" s="1"/>
  <c r="E39" i="83"/>
  <c r="F39" i="83"/>
  <c r="F36" i="83"/>
  <c r="E36" i="83"/>
  <c r="D36" i="83" s="1"/>
  <c r="E35" i="83"/>
  <c r="F35" i="83"/>
  <c r="F34" i="83"/>
  <c r="E34" i="83"/>
  <c r="D34" i="83" s="1"/>
  <c r="E33" i="83"/>
  <c r="F33" i="83"/>
  <c r="F32" i="83"/>
  <c r="E32" i="83"/>
  <c r="D32" i="83" s="1"/>
  <c r="E31" i="83"/>
  <c r="F31" i="83"/>
  <c r="F30" i="83"/>
  <c r="E30" i="83"/>
  <c r="D30" i="83" s="1"/>
  <c r="E29" i="83"/>
  <c r="F29" i="83"/>
  <c r="F28" i="83"/>
  <c r="E28" i="83"/>
  <c r="D28" i="83" s="1"/>
  <c r="E27" i="83"/>
  <c r="F27" i="83"/>
  <c r="F26" i="83"/>
  <c r="E26" i="83"/>
  <c r="D26" i="83" s="1"/>
  <c r="E25" i="83"/>
  <c r="F25" i="83"/>
  <c r="F24" i="83"/>
  <c r="E24" i="83"/>
  <c r="E23" i="83"/>
  <c r="F23" i="83"/>
  <c r="F22" i="83"/>
  <c r="E22" i="83"/>
  <c r="E21" i="83"/>
  <c r="F21" i="83"/>
  <c r="F20" i="83"/>
  <c r="E20" i="83"/>
  <c r="D20" i="83" s="1"/>
  <c r="E19" i="83"/>
  <c r="F19" i="83"/>
  <c r="F18" i="83"/>
  <c r="E18" i="83"/>
  <c r="E17" i="83"/>
  <c r="F17" i="83"/>
  <c r="F16" i="83"/>
  <c r="E16" i="83"/>
  <c r="D16" i="83" s="1"/>
  <c r="E15" i="83"/>
  <c r="F15" i="83"/>
  <c r="U13" i="83"/>
  <c r="U10" i="83" s="1"/>
  <c r="S13" i="83"/>
  <c r="S10" i="83" s="1"/>
  <c r="E14" i="83"/>
  <c r="AH13" i="83"/>
  <c r="AH10" i="83" s="1"/>
  <c r="AF13" i="83"/>
  <c r="AF10" i="83" s="1"/>
  <c r="AD13" i="83"/>
  <c r="AD10" i="83" s="1"/>
  <c r="AB13" i="83"/>
  <c r="AB10" i="83" s="1"/>
  <c r="Z13" i="83"/>
  <c r="Z10" i="83" s="1"/>
  <c r="V13" i="83"/>
  <c r="V10" i="83" s="1"/>
  <c r="T13" i="83"/>
  <c r="T10" i="83" s="1"/>
  <c r="R13" i="83"/>
  <c r="R10" i="83" s="1"/>
  <c r="P13" i="83"/>
  <c r="P10" i="83" s="1"/>
  <c r="N13" i="83"/>
  <c r="N10" i="83" s="1"/>
  <c r="L13" i="83"/>
  <c r="L10" i="83" s="1"/>
  <c r="J13" i="83"/>
  <c r="J10" i="83" s="1"/>
  <c r="H13" i="83"/>
  <c r="H10" i="83" s="1"/>
  <c r="D116" i="83" l="1"/>
  <c r="D137" i="83"/>
  <c r="D143" i="83"/>
  <c r="D149" i="83"/>
  <c r="D157" i="83"/>
  <c r="D122" i="83"/>
  <c r="D65" i="83"/>
  <c r="D69" i="83"/>
  <c r="D74" i="83"/>
  <c r="D78" i="83"/>
  <c r="D82" i="83"/>
  <c r="D86" i="83"/>
  <c r="D90" i="83"/>
  <c r="D94" i="83"/>
  <c r="D98" i="83"/>
  <c r="D102" i="83"/>
  <c r="D107" i="83"/>
  <c r="D111" i="83"/>
  <c r="D115" i="83"/>
  <c r="D133" i="83"/>
  <c r="D123" i="83"/>
  <c r="D120" i="83"/>
  <c r="D118" i="83"/>
  <c r="D119" i="83"/>
  <c r="D127" i="83"/>
  <c r="D128" i="83"/>
  <c r="D15" i="83"/>
  <c r="D17" i="83"/>
  <c r="D19" i="83"/>
  <c r="D21" i="83"/>
  <c r="D23" i="83"/>
  <c r="D25" i="83"/>
  <c r="D27" i="83"/>
  <c r="D29" i="83"/>
  <c r="D31" i="83"/>
  <c r="D33" i="83"/>
  <c r="D35" i="83"/>
  <c r="D39" i="83"/>
  <c r="D41" i="83"/>
  <c r="D43" i="83"/>
  <c r="D46" i="83"/>
  <c r="D48" i="83"/>
  <c r="D50" i="83"/>
  <c r="D52" i="83"/>
  <c r="D54" i="83"/>
  <c r="D56" i="83"/>
  <c r="D58" i="83"/>
  <c r="D62" i="83"/>
  <c r="D64" i="83"/>
  <c r="D66" i="83"/>
  <c r="D68" i="83"/>
  <c r="D71" i="83"/>
  <c r="D73" i="83"/>
  <c r="D75" i="83"/>
  <c r="D77" i="83"/>
  <c r="D79" i="83"/>
  <c r="D81" i="83"/>
  <c r="D83" i="83"/>
  <c r="D85" i="83"/>
  <c r="D87" i="83"/>
  <c r="D89" i="83"/>
  <c r="D91" i="83"/>
  <c r="D93" i="83"/>
  <c r="D95" i="83"/>
  <c r="D97" i="83"/>
  <c r="D99" i="83"/>
  <c r="D101" i="83"/>
  <c r="D103" i="83"/>
  <c r="D106" i="83"/>
  <c r="D108" i="83"/>
  <c r="D110" i="83"/>
  <c r="D112" i="83"/>
  <c r="D114" i="83"/>
  <c r="D117" i="83"/>
  <c r="D121" i="83"/>
  <c r="D125" i="83"/>
  <c r="D132" i="83"/>
  <c r="D140" i="83"/>
  <c r="D142" i="83"/>
  <c r="D146" i="83"/>
  <c r="D148" i="83"/>
  <c r="D151" i="83"/>
  <c r="D156" i="83"/>
  <c r="D18" i="83"/>
  <c r="D22" i="83"/>
  <c r="D24" i="83"/>
  <c r="D60" i="83"/>
  <c r="E13" i="83"/>
  <c r="E10" i="83" s="1"/>
  <c r="G13" i="83"/>
  <c r="G10" i="83" s="1"/>
  <c r="I13" i="83"/>
  <c r="I10" i="83" s="1"/>
  <c r="K13" i="83"/>
  <c r="K10" i="83" s="1"/>
  <c r="M13" i="83"/>
  <c r="M10" i="83" s="1"/>
  <c r="O13" i="83"/>
  <c r="O10" i="83" s="1"/>
  <c r="Q13" i="83"/>
  <c r="Q10" i="83" s="1"/>
  <c r="W13" i="83"/>
  <c r="W10" i="83" s="1"/>
  <c r="Y13" i="83"/>
  <c r="Y10" i="83" s="1"/>
  <c r="AA13" i="83"/>
  <c r="AA10" i="83" s="1"/>
  <c r="AC13" i="83"/>
  <c r="AC10" i="83" s="1"/>
  <c r="AE13" i="83"/>
  <c r="AE10" i="83" s="1"/>
  <c r="AG13" i="83"/>
  <c r="AG10" i="83" s="1"/>
  <c r="F14" i="83"/>
  <c r="D141" i="83"/>
  <c r="D147" i="83"/>
  <c r="D154" i="83"/>
  <c r="M13" i="82"/>
  <c r="M11" i="82" s="1"/>
  <c r="I13" i="82"/>
  <c r="I11" i="82" s="1"/>
  <c r="L13" i="82"/>
  <c r="L11" i="82" s="1"/>
  <c r="J13" i="82"/>
  <c r="J11" i="82" s="1"/>
  <c r="S13" i="82"/>
  <c r="S11" i="82" s="1"/>
  <c r="R13" i="82"/>
  <c r="R11" i="82" s="1"/>
  <c r="Q13" i="82"/>
  <c r="Q11" i="82" s="1"/>
  <c r="P13" i="82"/>
  <c r="P11" i="82" s="1"/>
  <c r="O13" i="82"/>
  <c r="O11" i="82" s="1"/>
  <c r="K13" i="82"/>
  <c r="K11" i="82" s="1"/>
  <c r="E13" i="82"/>
  <c r="E11" i="82" s="1"/>
  <c r="F13" i="83" l="1"/>
  <c r="F10" i="83" s="1"/>
  <c r="X13" i="83"/>
  <c r="X10" i="83" s="1"/>
  <c r="D14" i="83"/>
  <c r="F13" i="82"/>
  <c r="F11" i="82" s="1"/>
  <c r="G13" i="82"/>
  <c r="G11" i="82" s="1"/>
  <c r="H13" i="82"/>
  <c r="H11" i="82" s="1"/>
  <c r="D13" i="83" l="1"/>
  <c r="D10" i="83" s="1"/>
  <c r="D13" i="82"/>
  <c r="D11" i="82" s="1"/>
  <c r="N13" i="82"/>
  <c r="N11" i="82" s="1"/>
</calcChain>
</file>

<file path=xl/comments1.xml><?xml version="1.0" encoding="utf-8"?>
<comments xmlns="http://schemas.openxmlformats.org/spreadsheetml/2006/main">
  <authors>
    <author>Автор</author>
  </authors>
  <commentList>
    <comment ref="E2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Протокол 12-21</t>
        </r>
      </text>
    </comment>
    <comment ref="E2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2018 году</t>
        </r>
      </text>
    </comment>
    <comment ref="E2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 14-21</t>
        </r>
      </text>
    </comment>
  </commentList>
</comments>
</file>

<file path=xl/sharedStrings.xml><?xml version="1.0" encoding="utf-8"?>
<sst xmlns="http://schemas.openxmlformats.org/spreadsheetml/2006/main" count="4257" uniqueCount="761">
  <si>
    <t>№ п/п</t>
  </si>
  <si>
    <t>Всего</t>
  </si>
  <si>
    <t>ГБУЗ РБ БСМП г.Уфа</t>
  </si>
  <si>
    <t>022720</t>
  </si>
  <si>
    <t>021201</t>
  </si>
  <si>
    <t>021602</t>
  </si>
  <si>
    <t>021601</t>
  </si>
  <si>
    <t>ГБУЗ РДКБ</t>
  </si>
  <si>
    <t>ГБУЗ РКИБ</t>
  </si>
  <si>
    <t>028000</t>
  </si>
  <si>
    <t>022113</t>
  </si>
  <si>
    <t>022710</t>
  </si>
  <si>
    <t>022400</t>
  </si>
  <si>
    <t>ГБУЗ РКЦ</t>
  </si>
  <si>
    <t>022130</t>
  </si>
  <si>
    <t>022120</t>
  </si>
  <si>
    <t>в том числе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</si>
  <si>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</si>
  <si>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</si>
  <si>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</si>
  <si>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</si>
  <si>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</si>
  <si>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025001</t>
  </si>
  <si>
    <t>ГБУЗ РБ Бирская ЦРБ</t>
  </si>
  <si>
    <t>025005</t>
  </si>
  <si>
    <t>022102</t>
  </si>
  <si>
    <t>ГБУЗ РБ Верхне-Татышлинская ЦРБ</t>
  </si>
  <si>
    <t>ГБУЗ РБ ГБ г.Нефтекамск</t>
  </si>
  <si>
    <t>027001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</si>
  <si>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</si>
  <si>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</si>
  <si>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</si>
  <si>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</si>
  <si>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</si>
  <si>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</si>
  <si>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</si>
  <si>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</si>
  <si>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</si>
  <si>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</si>
  <si>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021501</t>
  </si>
  <si>
    <t>ГБУЗ РБ Акъярская ЦРБ</t>
  </si>
  <si>
    <t>024001</t>
  </si>
  <si>
    <t>ГБУЗ РБ Аскаровская ЦРБ</t>
  </si>
  <si>
    <t>022001</t>
  </si>
  <si>
    <t>024005</t>
  </si>
  <si>
    <t>ГБУЗ РБ Белорецкая ЦРКБ</t>
  </si>
  <si>
    <t>024002</t>
  </si>
  <si>
    <t>ГБУЗ РБ Бурзянская ЦРБ</t>
  </si>
  <si>
    <t>022012</t>
  </si>
  <si>
    <t>021901</t>
  </si>
  <si>
    <t>ГБУЗ РБ Учалинская ЦГБ</t>
  </si>
  <si>
    <t>021502</t>
  </si>
  <si>
    <t>ГБУЗ РБ ЦГБ г.Сибай</t>
  </si>
  <si>
    <t>024006</t>
  </si>
  <si>
    <t>021616</t>
  </si>
  <si>
    <t>021604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</si>
  <si>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</si>
  <si>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</si>
  <si>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</si>
  <si>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</si>
  <si>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</si>
  <si>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</si>
  <si>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</si>
  <si>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</si>
  <si>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</si>
  <si>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</si>
  <si>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</si>
  <si>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021102</t>
  </si>
  <si>
    <t>021606</t>
  </si>
  <si>
    <t>021607</t>
  </si>
  <si>
    <t>ГБУЗ РБ Толбазинская ЦРБ</t>
  </si>
  <si>
    <t>021401</t>
  </si>
  <si>
    <t>021303</t>
  </si>
  <si>
    <t>ГБУЗ РБ ГБ №1 г.Октябрьский</t>
  </si>
  <si>
    <t>028004</t>
  </si>
  <si>
    <t>023002</t>
  </si>
  <si>
    <t>ГБУЗ РБ Белебеевская ЦРБ</t>
  </si>
  <si>
    <t>023005</t>
  </si>
  <si>
    <t>ГБУЗ РБ Бижбулякская ЦРБ</t>
  </si>
  <si>
    <t>028002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</si>
  <si>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</si>
  <si>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</si>
  <si>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</si>
  <si>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</si>
  <si>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</si>
  <si>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</si>
  <si>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</si>
  <si>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021701</t>
  </si>
  <si>
    <t>ГБУЗ РБ Туймазинская ЦРБ</t>
  </si>
  <si>
    <t>021706</t>
  </si>
  <si>
    <t>021110</t>
  </si>
  <si>
    <t>021100</t>
  </si>
  <si>
    <t>027000</t>
  </si>
  <si>
    <t>021120</t>
  </si>
  <si>
    <t>021130</t>
  </si>
  <si>
    <t>027100</t>
  </si>
  <si>
    <t>028300</t>
  </si>
  <si>
    <t>028400</t>
  </si>
  <si>
    <t>028800</t>
  </si>
  <si>
    <t>029100</t>
  </si>
  <si>
    <t>029200</t>
  </si>
  <si>
    <t>029300</t>
  </si>
  <si>
    <t>029500</t>
  </si>
  <si>
    <t>029700</t>
  </si>
  <si>
    <t>029800</t>
  </si>
  <si>
    <t>029900</t>
  </si>
  <si>
    <t>029400</t>
  </si>
  <si>
    <t>ГБУЗ РБ ГКБ Демского района г.Уфы</t>
  </si>
  <si>
    <t>023500</t>
  </si>
  <si>
    <t>021800</t>
  </si>
  <si>
    <t>024200</t>
  </si>
  <si>
    <t>023000</t>
  </si>
  <si>
    <t>022300</t>
  </si>
  <si>
    <t>021200</t>
  </si>
  <si>
    <t>023200</t>
  </si>
  <si>
    <t>022800</t>
  </si>
  <si>
    <t>ФГБОУ ВО БГМУ Минздрава России</t>
  </si>
  <si>
    <t>020171</t>
  </si>
  <si>
    <t>022117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</si>
  <si>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</si>
  <si>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</si>
  <si>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</si>
  <si>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</si>
  <si>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</si>
  <si>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</si>
  <si>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</si>
  <si>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</si>
  <si>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</si>
  <si>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</si>
  <si>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</si>
  <si>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</si>
  <si>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</si>
  <si>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</si>
  <si>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</si>
  <si>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</si>
  <si>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</si>
  <si>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</si>
  <si>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</si>
  <si>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</si>
  <si>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</si>
  <si>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</si>
  <si>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</si>
  <si>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</si>
  <si>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</si>
  <si>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</si>
  <si>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</si>
  <si>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</si>
  <si>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</si>
  <si>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020172</t>
  </si>
  <si>
    <t xml:space="preserve">022112 </t>
  </si>
  <si>
    <t>ГБУЗ РКВД №1</t>
  </si>
  <si>
    <t>026000</t>
  </si>
  <si>
    <t>ГБУЗ РКПЦ МЗ РБ</t>
  </si>
  <si>
    <t>ГБУЗ РБ Балтачевская ЦРБ</t>
  </si>
  <si>
    <t>ГБУЗ РБ Бураевская ЦРБ</t>
  </si>
  <si>
    <t>ГБУЗ РБ Дюртюлинская ЦРБ</t>
  </si>
  <si>
    <t>ГБУЗ РБ Баймакская ЦГБ</t>
  </si>
  <si>
    <t>ГБУЗ РБ Зилаирская ЦРБ</t>
  </si>
  <si>
    <t>ГБУЗ РБ Мелеузовская ЦРБ</t>
  </si>
  <si>
    <t>ГБУЗ РБ Мраковская ЦРБ</t>
  </si>
  <si>
    <t>ГБУЗ РБ Стерлибашевская ЦРБ</t>
  </si>
  <si>
    <t>ГБУЗ РБ Бакалинская ЦРБ</t>
  </si>
  <si>
    <t>ГБУЗ РБ Верхнеяркеевская ЦРБ</t>
  </si>
  <si>
    <t>ГБУЗ РБ Раевская ЦРБ</t>
  </si>
  <si>
    <t>ГБУЗ РБ Шаранская ЦРБ</t>
  </si>
  <si>
    <t>ГБУЗ РБ Языковская ЦРБ</t>
  </si>
  <si>
    <t>021668</t>
  </si>
  <si>
    <t>021259</t>
  </si>
  <si>
    <t>021613</t>
  </si>
  <si>
    <t>ГБУЗ РБ КВД г.Стерлитамак</t>
  </si>
  <si>
    <t>021636</t>
  </si>
  <si>
    <t>ГБУЗ РБ СП г.Стерлитамак</t>
  </si>
  <si>
    <t>021407</t>
  </si>
  <si>
    <t>ГБУЗ РБ КВД г.Салават</t>
  </si>
  <si>
    <t>021405</t>
  </si>
  <si>
    <t>ГБУЗ РБ Федоровская ЦРБ</t>
  </si>
  <si>
    <t>021749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</si>
  <si>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</si>
  <si>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</si>
  <si>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</si>
  <si>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</si>
  <si>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</si>
  <si>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</si>
  <si>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</si>
  <si>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</si>
  <si>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</si>
  <si>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025000</t>
  </si>
  <si>
    <t>020251</t>
  </si>
  <si>
    <t>020260</t>
  </si>
  <si>
    <t>020235</t>
  </si>
  <si>
    <t>020241</t>
  </si>
  <si>
    <t>029140</t>
  </si>
  <si>
    <t>020157</t>
  </si>
  <si>
    <t>020165</t>
  </si>
  <si>
    <t>020170</t>
  </si>
  <si>
    <t>020161</t>
  </si>
  <si>
    <t>022109</t>
  </si>
  <si>
    <t>022124</t>
  </si>
  <si>
    <t>ГБУЗ РВФД</t>
  </si>
  <si>
    <t>ГБУЗ РБ ГКБ № 21 г. Уфа</t>
  </si>
  <si>
    <t>022121</t>
  </si>
  <si>
    <t>АУЗ РСП</t>
  </si>
  <si>
    <t>022131</t>
  </si>
  <si>
    <t>Реестровый номер</t>
  </si>
  <si>
    <t>Наименование медицинских организаций</t>
  </si>
  <si>
    <t>Объемы медицинской помощи в амбулаторно-поликлинических условиях
 в неотложной форме на 2021 год</t>
  </si>
  <si>
    <t>норматив</t>
  </si>
  <si>
    <t>Наименование учреждения здравоохранения</t>
  </si>
  <si>
    <t>Объемы на 2021 год</t>
  </si>
  <si>
    <t xml:space="preserve">в том числе:                                          </t>
  </si>
  <si>
    <t>Количество посещений, всего</t>
  </si>
  <si>
    <t>по профилю стоматология</t>
  </si>
  <si>
    <t>для травмотологических пунктов:</t>
  </si>
  <si>
    <t>в том числе на период июль-декабрь 2021 г.</t>
  </si>
  <si>
    <t>по профилю "травматология и ортопедия"</t>
  </si>
  <si>
    <t>по профилю "офтальмология"</t>
  </si>
  <si>
    <t>по профилю "стоматология" посещения к врачам-стоматологам</t>
  </si>
  <si>
    <t>по профилю "стоматология" посещения к зубным врачам</t>
  </si>
  <si>
    <t>взрослое население</t>
  </si>
  <si>
    <t>детское население</t>
  </si>
  <si>
    <t>3</t>
  </si>
  <si>
    <t>5</t>
  </si>
  <si>
    <t>7</t>
  </si>
  <si>
    <t>9</t>
  </si>
  <si>
    <t>11</t>
  </si>
  <si>
    <t>13</t>
  </si>
  <si>
    <t>15</t>
  </si>
  <si>
    <t>17</t>
  </si>
  <si>
    <t>19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</si>
  <si>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</si>
  <si>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</si>
  <si>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</si>
  <si>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</si>
  <si>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</t>
  </si>
  <si>
    <t>ООО Медсервис</t>
  </si>
  <si>
    <t>ГБУЗ РБ Детская поликлиника № 2 г.Уфа</t>
  </si>
  <si>
    <t>ГБУЗ РБ Детская поликлиника № 3 г.Уфа</t>
  </si>
  <si>
    <t>ГБУЗ РБ Детская поликлиника № 4 г. Уфа</t>
  </si>
  <si>
    <t>ГБУЗ РБ Детская поликлиника № 5 г.Уфа</t>
  </si>
  <si>
    <t>ГБУЗ РБ Детская поликлиника № 6 г.Уфа</t>
  </si>
  <si>
    <t>ГБУЗ РБ Детская стоматологическая поликлиника № 7 г.Уфа</t>
  </si>
  <si>
    <t>ГБУЗ РБ Поликлиника № 1 г Уфа</t>
  </si>
  <si>
    <t>ГБУЗ РБ Поликлиника № 2 г.Уфа</t>
  </si>
  <si>
    <t>ГБУЗ РБ Поликлиника № 32 г.Уфа</t>
  </si>
  <si>
    <t>ГБУЗ РБ Поликлиника № 38 г.Уфа</t>
  </si>
  <si>
    <t>ГБУЗ РБ Поликлиника № 43 г.Уфа</t>
  </si>
  <si>
    <t>ГБУЗ РБ Поликлиника № 44 г.Уфа</t>
  </si>
  <si>
    <t>ГБУЗ РБ Поликлиника № 46 г.Уфа</t>
  </si>
  <si>
    <t>ГБУЗ РБ Поликлиника № 48 г.Уфа</t>
  </si>
  <si>
    <t>ГБУЗ РБ Поликлиника № 50 г.Уфа</t>
  </si>
  <si>
    <t>ГБУЗ РБ Поликлиника № 51 г.Уфа</t>
  </si>
  <si>
    <t>ГБУЗ РБ Поликлиника № 52 г.Уфа</t>
  </si>
  <si>
    <t>ГБУЗ РБ Стоматологическая поликлиника № 2 г.Уфа</t>
  </si>
  <si>
    <t>ГБУЗ РБ ГКБ № 5 г.Уфа</t>
  </si>
  <si>
    <t>ГБУЗ РБ ГКБ № 8 г.Уфа</t>
  </si>
  <si>
    <t>ГБУЗ РБ ГБ № 9 г.Уфа</t>
  </si>
  <si>
    <t>ГБУЗ РБ ГКБ № 10 г.Уфа</t>
  </si>
  <si>
    <t>ГБУЗ РБ ГКБ № 13 г. Уфа</t>
  </si>
  <si>
    <t>ГБУЗ РБ ГДКБ № 17 г.Уфа</t>
  </si>
  <si>
    <t>ГБУЗ РБ ГКБ № 18 г. Уфы</t>
  </si>
  <si>
    <t>Поликлиника УФИЦ РАН</t>
  </si>
  <si>
    <t>ЧУЗ КБ РЖД-МЕДИЦИНА Г.УФА</t>
  </si>
  <si>
    <t>ГБУ Уфимский НИИ глазных болезн</t>
  </si>
  <si>
    <t>Объемы обращений по поводу заболевания на 2021 год в рамках базовой Программы ОМС.</t>
  </si>
  <si>
    <t xml:space="preserve">Количество обращений </t>
  </si>
  <si>
    <t>в том числе:</t>
  </si>
  <si>
    <t>всего</t>
  </si>
  <si>
    <t>ММОЦ</t>
  </si>
  <si>
    <t>ЦАОП</t>
  </si>
  <si>
    <t xml:space="preserve">Медицинская реабилитация </t>
  </si>
  <si>
    <t>Обращения МО, не имеющих прикрепленное население, в том числе обращения для целей учета процедур гемодиализа</t>
  </si>
  <si>
    <t>Обращения МО, не имеющих прикрепленное население по профилю "стоматология"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</si>
  <si>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</si>
  <si>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</si>
  <si>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количество обращений, всего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</si>
  <si>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</si>
  <si>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</si>
  <si>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</si>
  <si>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финансируемые по реестрам</t>
  </si>
  <si>
    <t>по профилю "стоматология"</t>
  </si>
  <si>
    <t>финансируемые по подушевому принципу</t>
  </si>
  <si>
    <t>количество обращений</t>
  </si>
  <si>
    <t>Прирост регистра пациентов</t>
  </si>
  <si>
    <t>ООО МЦ Семейный доктор</t>
  </si>
  <si>
    <t>ООО СтомЭл</t>
  </si>
  <si>
    <t>ЧУЗ РЖД-МЕДИЦИНА г.Стерлитамак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</si>
  <si>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</si>
  <si>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</si>
  <si>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</si>
  <si>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</si>
  <si>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</si>
  <si>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</si>
  <si>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</si>
  <si>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</si>
  <si>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</si>
  <si>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</si>
  <si>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</si>
  <si>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</si>
  <si>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</si>
  <si>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</si>
  <si>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</si>
  <si>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РД № 3 г.Уфа</t>
  </si>
  <si>
    <t>ФКУЗ МСЧ МВД России по РБ</t>
  </si>
  <si>
    <t>ООО МЦ Агидель</t>
  </si>
  <si>
    <t xml:space="preserve"> ООО ДиаЛайф г.Уфа</t>
  </si>
  <si>
    <t>ООО Евромед-Уфа</t>
  </si>
  <si>
    <t>ООО Клиника современной флебологии г. 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</si>
  <si>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</si>
  <si>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</si>
  <si>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</si>
  <si>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</si>
  <si>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ЦМТ</t>
  </si>
  <si>
    <t>ООО Экома г.Уфа</t>
  </si>
  <si>
    <t>ГБУЗ РКБ им. Г.Г. Куватова</t>
  </si>
  <si>
    <t>ГБУ Уфимский НИИ глазных болезней</t>
  </si>
  <si>
    <t>ФГБУ ВЦГПХ Минздрава России</t>
  </si>
  <si>
    <t>021536</t>
  </si>
  <si>
    <t>ООО "Медтех"</t>
  </si>
  <si>
    <t>021621</t>
  </si>
  <si>
    <t>ГАУЗ РБ "Санаторий для детей Нур  г. Стерлитамак</t>
  </si>
  <si>
    <t>021620</t>
  </si>
  <si>
    <t>ГБУЗ РБ Станция скорой медицинской помощи</t>
  </si>
  <si>
    <t>021322</t>
  </si>
  <si>
    <t>ООО "ОСЦ"</t>
  </si>
  <si>
    <t>020159</t>
  </si>
  <si>
    <t>ГБУЗ РССМП и ЦМК</t>
  </si>
  <si>
    <t>020169</t>
  </si>
  <si>
    <t>ООО "АНЭКО"</t>
  </si>
  <si>
    <t>020232</t>
  </si>
  <si>
    <t>ООО "Клиника глазных болезней"</t>
  </si>
  <si>
    <t>020181</t>
  </si>
  <si>
    <t>ООО "Клиника Эксперт Уфа"</t>
  </si>
  <si>
    <t>020265</t>
  </si>
  <si>
    <t>ООО " ММЦ Медикал Он Груп Уфа"</t>
  </si>
  <si>
    <t>020262</t>
  </si>
  <si>
    <t>ООО " ММЦ "Клиника аллергологии и педиатрии"</t>
  </si>
  <si>
    <t>020199</t>
  </si>
  <si>
    <t>ООО " ММЦ "Профилактическая медицина"</t>
  </si>
  <si>
    <t>029110</t>
  </si>
  <si>
    <t xml:space="preserve">ООО "Санаторий "Зеленая роща" </t>
  </si>
  <si>
    <t>020233</t>
  </si>
  <si>
    <t>ООО санаторий "Юматово"</t>
  </si>
  <si>
    <t>022100</t>
  </si>
  <si>
    <t>ГАУЗ РКОД Минздрава РБ</t>
  </si>
  <si>
    <t>022132</t>
  </si>
  <si>
    <t>ГБУЗ РМГЦ</t>
  </si>
  <si>
    <t>022220</t>
  </si>
  <si>
    <t>ГБУЗ РКГВВ</t>
  </si>
  <si>
    <t>022134</t>
  </si>
  <si>
    <t>ООО "Центр ПЭТ-Технолоджи"</t>
  </si>
  <si>
    <t xml:space="preserve">Амбулаторно-поликлиническая помощь в части посещений с профилактическими и иными целями  в рамках базовой программы ОМС на 2021 год </t>
  </si>
  <si>
    <t>Реестровый номер МО</t>
  </si>
  <si>
    <t>Наименование МО</t>
  </si>
  <si>
    <t>Итого посещений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</si>
  <si>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</si>
  <si>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</si>
  <si>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</si>
  <si>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</si>
  <si>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</si>
  <si>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</si>
  <si>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</si>
  <si>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</si>
  <si>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</si>
  <si>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</si>
  <si>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</si>
  <si>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</si>
  <si>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</si>
  <si>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</si>
  <si>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>ГБУЗ РБ Бураевская  ЦРБ</t>
  </si>
  <si>
    <t>ГБУЗ РБ Дюртюлинская  ЦРБ</t>
  </si>
  <si>
    <t>ООО МЦ "СЕМЕЙНЫЙ ДОКТОР"</t>
  </si>
  <si>
    <t>ООО "СтомЭл"</t>
  </si>
  <si>
    <t>ГБУЗ РБ Баймакская  ЦГБ</t>
  </si>
  <si>
    <t>ГБУЗ РБ Зилаирская  ЦРБ</t>
  </si>
  <si>
    <t>ФГБУЗ МСЧ №142 ФМБА России</t>
  </si>
  <si>
    <t>ООО "МедТех"</t>
  </si>
  <si>
    <t>ГАУЗ РБ  "Санаторий для детей Нур г.Стерлитамак"</t>
  </si>
  <si>
    <t>ГБУЗ РБ ГКБ №1 г.Стерлитамак</t>
  </si>
  <si>
    <t>ГБУЗ РБ ГБ №2 г.Стерлитамак</t>
  </si>
  <si>
    <t>ГБУЗ РБ ДБ г.Стерлитамак</t>
  </si>
  <si>
    <t>ГБУЗ РБ Станция скорой медицинской помощи г.Стерлитамак</t>
  </si>
  <si>
    <t>ЧУЗ "РЖД-Медицина" г.Стерлитамак"</t>
  </si>
  <si>
    <t>ГБУЗ РБ Мелеузовская  ЦРБ</t>
  </si>
  <si>
    <t>ГБУЗ РБ Мраковская  ЦРБ</t>
  </si>
  <si>
    <t>ГБУЗ РБ Стерлибашевская  ЦРБ</t>
  </si>
  <si>
    <t>ООО "Медсервис" г.Салават</t>
  </si>
  <si>
    <t>ГБУЗ РБ Бакалинская  ЦРБ</t>
  </si>
  <si>
    <t>ГБУЗ РБ Верхнеяркеевская  ЦРБ</t>
  </si>
  <si>
    <t>ГБУЗ РБ РаевскаяЦРБ</t>
  </si>
  <si>
    <t>ГБУЗ РБ Шаранская  ЦРБ</t>
  </si>
  <si>
    <t>ООО "Медсервис" с.Верхнеяркеево</t>
  </si>
  <si>
    <t>ГБУЗ РБ Детская поликлиника №2 г.Уфа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</si>
  <si>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</si>
  <si>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t>ГБУЗ РБ Детская поликлиника  №4 г.Уфа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</si>
  <si>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</si>
  <si>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t>ГБУЗ РБ Детская поликлиника №6 г.Уфа</t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</si>
  <si>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</si>
  <si>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</si>
  <si>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</si>
  <si>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</si>
  <si>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№32 г.Уфа</t>
    </r>
  </si>
  <si>
    <r>
      <t>Г</t>
    </r>
    <r>
      <rPr>
        <sz val="10"/>
        <rFont val="Times New Roman"/>
        <family val="1"/>
        <charset val="204"/>
      </rPr>
      <t>БУЗ РБ Поликлиника №38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</si>
  <si>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</si>
  <si>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t>ГБУЗ РБ Поликлиника№44 г.Уфа</t>
  </si>
  <si>
    <t>ГБУЗ РБ Поликлиника №46 г.Уфа</t>
  </si>
  <si>
    <t>ГБУЗ РБ Поликлиника №48 г.Уфа</t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</si>
  <si>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</si>
  <si>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t>ГБУЗ РБ Поликлиника №51 г.Уфа</t>
  </si>
  <si>
    <t>ГБУЗ РБ Поликлиника №52 г.Уфа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</si>
  <si>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</si>
  <si>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</si>
  <si>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</si>
  <si>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</si>
  <si>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</si>
  <si>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</si>
  <si>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</si>
  <si>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</si>
  <si>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t>ГБУЗ РБ ГКБ №8 г.Уфа</t>
  </si>
  <si>
    <t>ГБУЗ РБ ГБ №9 г.Уфа</t>
  </si>
  <si>
    <r>
      <t>Г</t>
    </r>
    <r>
      <rPr>
        <sz val="10"/>
        <color indexed="8"/>
        <rFont val="Times New Roman"/>
        <family val="1"/>
        <charset val="204"/>
      </rPr>
      <t>БУЗ РБ ГКБ №10 г.Уфа</t>
    </r>
  </si>
  <si>
    <t>ГБУЗ РБ ГКБ №13 г.Уфа</t>
  </si>
  <si>
    <t>ГБУЗ РБ ГДКБ №17 г.Уфа</t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</si>
  <si>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</si>
  <si>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ГБУЗ РБ РД №3 г.Уфа</t>
  </si>
  <si>
    <r>
      <t>Г</t>
    </r>
    <r>
      <rPr>
        <sz val="9"/>
        <rFont val="Times New Roman"/>
        <family val="1"/>
        <charset val="204"/>
      </rPr>
      <t>БУЗ  РССМП и ЦМК</t>
    </r>
  </si>
  <si>
    <t>ФКУЗ "МСЧ МВД России по Республике Башкортостан"</t>
  </si>
  <si>
    <t>УФИЦ РАН</t>
  </si>
  <si>
    <t>ЧУЗ "КБ "РЖД-Медицина"г.Уфа</t>
  </si>
  <si>
    <t>ГБУЗ РБ Языковская  ЦРБ</t>
  </si>
  <si>
    <t>ООО  "МЦ "Агидель"</t>
  </si>
  <si>
    <t>ООО "ДиаЛайф"</t>
  </si>
  <si>
    <t>ООО "Евромед-Уфа"</t>
  </si>
  <si>
    <t>ООО "Клиника современной флебологии"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</si>
  <si>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</si>
  <si>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</si>
  <si>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</si>
  <si>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</si>
  <si>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</si>
  <si>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ООО "Медицинский центр Семья"</t>
  </si>
  <si>
    <t>ООО "ММЦ Медикал Он Груп-Уфа"</t>
  </si>
  <si>
    <t>ООО "ММЦ "Клиника аллергологии и педиатрии"</t>
  </si>
  <si>
    <t>ООО "ММЦ "Профилактическая медицина"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</si>
  <si>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</si>
  <si>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ООО "Сфера-Эстейт"</t>
  </si>
  <si>
    <t>ООО "ЦМТ"</t>
  </si>
  <si>
    <t>ООО "Экома"</t>
  </si>
  <si>
    <t>020248</t>
  </si>
  <si>
    <t>ООО "Юхелф"</t>
  </si>
  <si>
    <t>ГБУЗ РКБ им.Г.Г.Куватова</t>
  </si>
  <si>
    <t>ГБУ "УфНИИ ГБ АН РБ"</t>
  </si>
  <si>
    <t>ГБУЗ РБ ГКБ №21 г.Уфа</t>
  </si>
  <si>
    <t>ФГБУ "ВЦГПХ" Минздрава России</t>
  </si>
  <si>
    <t xml:space="preserve">Амбулаторно-поликлиническая помощь в части профилактических посещений для проведения диспансерного наблюдения на 2021 год </t>
  </si>
  <si>
    <t>Итого</t>
  </si>
  <si>
    <t>Посещения МО, не имеющих прикрепленного населения</t>
  </si>
  <si>
    <t>Посещения МО,  имеющих прикрепленное население</t>
  </si>
  <si>
    <t>ГБУЗ РБ Балтачевская  ЦРБ</t>
  </si>
  <si>
    <t>ООО "МД-Проект 2010" (г.Уфа)</t>
  </si>
  <si>
    <t xml:space="preserve"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</t>
  </si>
  <si>
    <t>Посещения медицинских работников, имеющих среднее медицинское образование, ведущих самостоятельный прием</t>
  </si>
  <si>
    <t xml:space="preserve">ООО "МД-Проект 2010" </t>
  </si>
  <si>
    <t xml:space="preserve">Амбулаторно-поликлиническая помощь в части профилактических посещений по разовым посещениям в связи с заболеванием на 2021 год </t>
  </si>
  <si>
    <t xml:space="preserve">Разовые посещения в связи с заболеванием
</t>
  </si>
  <si>
    <t>Гериатрия</t>
  </si>
  <si>
    <t>Консультативные посещения</t>
  </si>
  <si>
    <t xml:space="preserve">Комплексный прием  в амбулаторном центре диагностики и лечения новой короновирусной инфекции COVID-19 </t>
  </si>
  <si>
    <t>по другим профилям, 
в том числе:</t>
  </si>
  <si>
    <t>по другим профилям, в том числе</t>
  </si>
  <si>
    <t>на 1 квартал 2021 года</t>
  </si>
  <si>
    <t>первичный прием</t>
  </si>
  <si>
    <t>повторная консультация</t>
  </si>
  <si>
    <t>в т.ч.пульманолог в АЦКТ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</si>
  <si>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</t>
  </si>
  <si>
    <t>Посещения с другими целями (патронаж,выдача справок и иных медицинских документов и др.)</t>
  </si>
  <si>
    <t>по другим профилям,
 в том числе</t>
  </si>
  <si>
    <r>
      <t xml:space="preserve">Амбулаторно-поликлиническая помощь в части профилактических посещений по разовым посещениям в связи с заболеванием на 2021 год  </t>
    </r>
    <r>
      <rPr>
        <sz val="12"/>
        <rFont val="Times New Roman"/>
        <family val="1"/>
        <charset val="204"/>
      </rPr>
      <t>по профилю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"стоматология"</t>
    </r>
  </si>
  <si>
    <t xml:space="preserve">Разовые посещения в связи с заболеванием (план год)
</t>
  </si>
  <si>
    <t>ВСЕГО</t>
  </si>
  <si>
    <t>на период июль-декабрь 2021 г.</t>
  </si>
  <si>
    <t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 по профилю "стоматология"</t>
  </si>
  <si>
    <t xml:space="preserve">Посещения медицинских работников, имеющих среднее медицинское образование, ведущих самостоятельный прием по профилю "стоматология" на 2021 год </t>
  </si>
  <si>
    <t>в том числе на период июль-декабрь 2021 года</t>
  </si>
  <si>
    <t>на текущий момент</t>
  </si>
  <si>
    <t>в случае уменьшения  стоимости 1 пос.</t>
  </si>
  <si>
    <t>Экономия</t>
  </si>
  <si>
    <t>Экономия всего на 2021 год:</t>
  </si>
  <si>
    <t>Экономия на 2-е полугодие 2021 года</t>
  </si>
  <si>
    <t xml:space="preserve">Объемы отдельных диагностических (лабораторных) исследований, оказываемых в амбулаторно-поликлинических условиях на 2021 год                                                                                                                                    </t>
  </si>
  <si>
    <t>Наименование медицинской организации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</si>
  <si>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</si>
  <si>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</si>
  <si>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</si>
  <si>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</si>
  <si>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</si>
  <si>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</si>
  <si>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>ГБУЗ РБ Поликлиника №32 г.Уфа</t>
  </si>
  <si>
    <t>ГБУЗ РБ ГКБ №18 г.Уфы</t>
  </si>
  <si>
    <t>ООО "МЦ МЕГИ"</t>
  </si>
  <si>
    <t>Объемы отдельных диагностических (лабораторных) исследований, оказываемых в амбулаторно-поликлинических условиях на 2021 год</t>
  </si>
  <si>
    <t>(исследования)</t>
  </si>
  <si>
    <t xml:space="preserve">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</si>
  <si>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</si>
  <si>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</si>
  <si>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</si>
  <si>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</si>
  <si>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15.10.2020 г. № 1063</t>
  </si>
  <si>
    <t>План в рамках Приказа МЗ РБ 
от 21.10.2020 г. № 1628-Д
 (2 этап скрининга колоректального рака)</t>
  </si>
  <si>
    <t>Колоно-скопия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</si>
  <si>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</si>
  <si>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</si>
  <si>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</si>
  <si>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</si>
  <si>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</si>
  <si>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</si>
  <si>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</si>
  <si>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</si>
  <si>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</si>
  <si>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</si>
  <si>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</si>
  <si>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</si>
  <si>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</si>
  <si>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</si>
  <si>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 xml:space="preserve">Колоно-скопия с наркозом </t>
  </si>
  <si>
    <t xml:space="preserve">Колоно-скопия с полип-эктомией </t>
  </si>
  <si>
    <t>ГБУЗ РБ Детская поликлиника №3 г.Уфа</t>
  </si>
  <si>
    <t>ГБУЗ РБ Детская поликлиника №5 г.Уфа</t>
  </si>
  <si>
    <t>ГБУЗ РБ Поликлиника №1 г.Уфа</t>
  </si>
  <si>
    <t>ГБУЗ РБ Поликлиника №2 г.Уфа</t>
  </si>
  <si>
    <t>ГБУЗ РБ Поликлиника №38 г.Уфа</t>
  </si>
  <si>
    <t>ГБУЗ РБ Поликлиника №43 г.Уфа</t>
  </si>
  <si>
    <t>ГБУЗ РБ Поликлиника №50 г.Уфа</t>
  </si>
  <si>
    <t>ГБУЗ РБ ГКБ №5 г.Уфа</t>
  </si>
  <si>
    <t>ГБУЗ РБ ГКБ №10 г.Уфа</t>
  </si>
  <si>
    <t xml:space="preserve">Объемы отдельных диагностических (лабораторных) исследований, оказываемых в амбулаторно-поликлинических условиях, на 2021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</si>
  <si>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</si>
  <si>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</si>
  <si>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</si>
  <si>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</si>
  <si>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</si>
  <si>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</si>
  <si>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</si>
  <si>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</si>
  <si>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</si>
  <si>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</si>
  <si>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</si>
  <si>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</si>
  <si>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</si>
  <si>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</si>
  <si>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</si>
  <si>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Исследования за счет средств субвенции ФФОМС </t>
  </si>
  <si>
    <t>Исследование сердца за счет иных межбюджетных трансфертов бюджета Республики Башкортостан на финансовое обеспечение Программы ОМС в ее базовой части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</si>
  <si>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</si>
  <si>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</si>
  <si>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</si>
  <si>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</t>
  </si>
  <si>
    <t>ВМП  профиль "онкология"</t>
  </si>
  <si>
    <t>ЭКО</t>
  </si>
  <si>
    <t>"онкология"</t>
  </si>
  <si>
    <t>медицинская реабилитация</t>
  </si>
  <si>
    <t>иммуни-зация недоно-шенных</t>
  </si>
  <si>
    <t>в рамках базовой части Программы ОМС</t>
  </si>
  <si>
    <t>в рамках сверхбазовой части Программы ОМС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</si>
  <si>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</si>
  <si>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</si>
  <si>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</si>
  <si>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</si>
  <si>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</si>
  <si>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</si>
  <si>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</si>
  <si>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</si>
  <si>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</si>
  <si>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-операции без имплантации референсных маркеров</t>
  </si>
  <si>
    <t>-операции с имплантацией референсных маркеров</t>
  </si>
  <si>
    <t>Объемы медицинской помощи, оказываемой по КСГ в дневных стационарах по Протоколу № 19-21 от 27.12.2021 г.</t>
  </si>
  <si>
    <t>Объемы сеансов (услуг) заместительной почечной терапии методами гемодиализа и перитонеального диализа на 2021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</si>
  <si>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</si>
  <si>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</si>
  <si>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</si>
  <si>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</si>
  <si>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</si>
  <si>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</si>
  <si>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</si>
  <si>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</si>
  <si>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</si>
  <si>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</si>
  <si>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</si>
  <si>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</si>
  <si>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</si>
  <si>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</si>
  <si>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</si>
  <si>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</si>
  <si>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</si>
  <si>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ООО "МЦ "Агидель""</t>
  </si>
  <si>
    <t>ООО "Сфера Эстейт"</t>
  </si>
  <si>
    <t xml:space="preserve">ООО "ДиаЛайф" </t>
  </si>
  <si>
    <t xml:space="preserve">ГБУЗ РБ ГКБ № 21 г.Уфа </t>
  </si>
  <si>
    <t>ГБУЗ РБ ГКБ № 18 г.Уфы</t>
  </si>
  <si>
    <t xml:space="preserve">ГБУЗ РБ ГБ г. Нефтекамск </t>
  </si>
  <si>
    <t>ИТОГО</t>
  </si>
  <si>
    <t>Прирост регистра пациентов (на 10%)</t>
  </si>
  <si>
    <t>ИТОГО с учетом прироста регистра пациентов на 10%</t>
  </si>
  <si>
    <t>Объем, перечень видов ВМП, финансовое обеспечение которых осуществляется за счет средств ОМС, установленные Комиссией на 2021 год</t>
  </si>
  <si>
    <t>№ группы ВМП</t>
  </si>
  <si>
    <t>ГБУЗ РКБ им. Г.Г.Куватова</t>
  </si>
  <si>
    <t>ГАУЗ РКОД МЗ РБ</t>
  </si>
  <si>
    <t>ГБУЗ РКВД № 1</t>
  </si>
  <si>
    <t>ГБУ  "УфНИИ ГБ АН РБ"</t>
  </si>
  <si>
    <t>ГБУЗ РБ ГКБ                       № 10 г. Уфа</t>
  </si>
  <si>
    <t>ГБУЗ РБ ГКБ                        № 18 г. Уфа</t>
  </si>
  <si>
    <t>ГБУЗ РБ РД № 3 г. Уфа</t>
  </si>
  <si>
    <t>ГБУЗ РБ ГБ                              г. Кумертау</t>
  </si>
  <si>
    <t>ГБУЗ РБ ГБ                           г. Нефтекакмск</t>
  </si>
  <si>
    <t>ГБУЗ РБ ГБ № 1 г. Октябрьский</t>
  </si>
  <si>
    <t>ГБУЗ РБ ГБ г. Салават</t>
  </si>
  <si>
    <t>ГБУЗ РБ ГКБ № 1                  г. Стерлитамак</t>
  </si>
  <si>
    <t>ГБУЗ РБ ЦГБ г. Сибай</t>
  </si>
  <si>
    <t>ООО "МД-Проект 2010"</t>
  </si>
  <si>
    <t>ФГБОУ ВО БГМУ МЗ РФ</t>
  </si>
  <si>
    <t>ИТОГО без резерва</t>
  </si>
  <si>
    <t>Резерв</t>
  </si>
  <si>
    <t>ИТОГО с резервом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</si>
  <si>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</si>
  <si>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</si>
  <si>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</si>
  <si>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</si>
  <si>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</si>
  <si>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</si>
  <si>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</si>
  <si>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</si>
  <si>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</si>
  <si>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</si>
  <si>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</si>
  <si>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</si>
  <si>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</si>
  <si>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</si>
  <si>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 xml:space="preserve">Ревматология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</si>
  <si>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</si>
  <si>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</si>
  <si>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</si>
  <si>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</si>
  <si>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</si>
  <si>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</si>
  <si>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ГБУЗ РБ ГКБ  № 13 г. Уфа</t>
  </si>
  <si>
    <t>ООО "Медсервис"                                                 г. Салават</t>
  </si>
  <si>
    <t>ГБУЗ РБ ГДКБ                                                                                                                     № 17 г. Уфа</t>
  </si>
  <si>
    <t>ГБУЗ РБ ГКБ                                                                                                      № 8 г. Уфа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</si>
  <si>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</si>
  <si>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</si>
  <si>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</si>
  <si>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</si>
  <si>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</t>
  </si>
  <si>
    <t xml:space="preserve">Всего в рамках базовой программы ОМС (КСГ+ВМП) </t>
  </si>
  <si>
    <t>В рамках сверх базовой программы ОМС (долечивание)</t>
  </si>
  <si>
    <t>профиль "медицинская реабилитация"</t>
  </si>
  <si>
    <t>КСГ 
по COVID-19</t>
  </si>
  <si>
    <t>КСГ 
(за исключением КСГ с онкологическими заболеваниями, COVID-19 и профиль "медицинская реабилитация")</t>
  </si>
  <si>
    <t>профиль "онкология"</t>
  </si>
  <si>
    <t>ГБУЗ РБ КВД г. Салават</t>
  </si>
  <si>
    <t>1 А</t>
  </si>
  <si>
    <t>ГБУЗ РБ КВД г. Стерлитамак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</si>
  <si>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</si>
  <si>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</si>
  <si>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</si>
  <si>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</si>
  <si>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 xml:space="preserve">ООО Санаторий "Юматово" </t>
  </si>
  <si>
    <t>2 Б</t>
  </si>
  <si>
    <t xml:space="preserve">ГБУЗ РБ ГКБ Демского района г. Уфа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</si>
  <si>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</si>
  <si>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</si>
  <si>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</si>
  <si>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 А</t>
  </si>
  <si>
    <t xml:space="preserve">ГБУЗ РБ ЦГБг. Сибай </t>
  </si>
  <si>
    <t>Все отделения, кроме указанных ниже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</si>
  <si>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</si>
  <si>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</si>
  <si>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</si>
  <si>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</si>
  <si>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>12215</t>
  </si>
  <si>
    <t>12217</t>
  </si>
  <si>
    <t>12241</t>
  </si>
  <si>
    <t xml:space="preserve">ГБУЗ РБ ГБ г. Салават </t>
  </si>
  <si>
    <t>ГБУЗ РБ ГКБ № 1 г. Стерлитамак</t>
  </si>
  <si>
    <t xml:space="preserve">ГБУЗ РБ ГКБ N 10 г. Уфа </t>
  </si>
  <si>
    <t xml:space="preserve">ГБУЗ РБ ГКБ N 8 г. Уфа </t>
  </si>
  <si>
    <t xml:space="preserve">ГБУЗ РБ РД N 3 г. Уфа </t>
  </si>
  <si>
    <t xml:space="preserve">ООО "Медсервис" (г. Салават) </t>
  </si>
  <si>
    <t xml:space="preserve">ГАУЗ РКОД МЗ РБ </t>
  </si>
  <si>
    <t>3 Б</t>
  </si>
  <si>
    <t>22108</t>
  </si>
  <si>
    <t>22109</t>
  </si>
  <si>
    <t>22392</t>
  </si>
  <si>
    <t xml:space="preserve">ГБУЗ РКЦ </t>
  </si>
  <si>
    <t>3Б</t>
  </si>
  <si>
    <t>22183</t>
  </si>
  <si>
    <t>22184</t>
  </si>
  <si>
    <t>22185</t>
  </si>
  <si>
    <t>22186</t>
  </si>
  <si>
    <t xml:space="preserve">ГБУЗ РКПЦ МЗ РБ </t>
  </si>
  <si>
    <t>316</t>
  </si>
  <si>
    <t>391</t>
  </si>
  <si>
    <t>633</t>
  </si>
  <si>
    <t>634</t>
  </si>
  <si>
    <t>637</t>
  </si>
  <si>
    <t>95</t>
  </si>
  <si>
    <t xml:space="preserve">ГБУЗ РБ БСМП г. Уфа </t>
  </si>
  <si>
    <t>22259</t>
  </si>
  <si>
    <t>22269</t>
  </si>
  <si>
    <t>22262</t>
  </si>
  <si>
    <t>22265</t>
  </si>
  <si>
    <t>22268</t>
  </si>
  <si>
    <t>22579</t>
  </si>
  <si>
    <t xml:space="preserve">ГБУЗ РБ ГДКБ N 17 г. Уфа </t>
  </si>
  <si>
    <t>10</t>
  </si>
  <si>
    <t>167</t>
  </si>
  <si>
    <t>21</t>
  </si>
  <si>
    <t>ГБУЗ РБ ГКБ N 21 г. Уфа</t>
  </si>
  <si>
    <t xml:space="preserve">ГБУ "УфНИИ ГБ АН РБ" </t>
  </si>
  <si>
    <t>3 В</t>
  </si>
  <si>
    <t>220001</t>
  </si>
  <si>
    <t>22128</t>
  </si>
  <si>
    <t>22115</t>
  </si>
  <si>
    <t>22116</t>
  </si>
  <si>
    <t>22117</t>
  </si>
  <si>
    <t>22119</t>
  </si>
  <si>
    <t>22393</t>
  </si>
  <si>
    <t>22133</t>
  </si>
  <si>
    <t>22123</t>
  </si>
  <si>
    <t>22122</t>
  </si>
  <si>
    <t>22124</t>
  </si>
  <si>
    <t>22125</t>
  </si>
  <si>
    <t>22129</t>
  </si>
  <si>
    <t>22126</t>
  </si>
  <si>
    <t>22127</t>
  </si>
  <si>
    <t>22336</t>
  </si>
  <si>
    <t>22588</t>
  </si>
  <si>
    <t>22203</t>
  </si>
  <si>
    <t>3В</t>
  </si>
  <si>
    <t>22231</t>
  </si>
  <si>
    <t>22233</t>
  </si>
  <si>
    <t>22204</t>
  </si>
  <si>
    <t>22206</t>
  </si>
  <si>
    <t>22208</t>
  </si>
  <si>
    <t>22210</t>
  </si>
  <si>
    <t>22211</t>
  </si>
  <si>
    <t>22212</t>
  </si>
  <si>
    <t>22235</t>
  </si>
  <si>
    <t>22202</t>
  </si>
  <si>
    <t>22331</t>
  </si>
  <si>
    <t>22330</t>
  </si>
  <si>
    <t>22352</t>
  </si>
  <si>
    <t>22371</t>
  </si>
  <si>
    <t xml:space="preserve">ООО "МД Проект 2010" </t>
  </si>
  <si>
    <t>Объемы медицинской помощи за пределами РБ</t>
  </si>
  <si>
    <t>Объемы оказания медицинской помощи в условиях круглосуточного стационара, на 2021 год.</t>
  </si>
  <si>
    <t>профиль "Онкология"</t>
  </si>
  <si>
    <t>Объемы скорой медицинской помощи в рамках базовой программы ОМС  на 2021 г.</t>
  </si>
  <si>
    <t>Объемы медицинской помощи 
на 2021 год</t>
  </si>
  <si>
    <t>Фельдшерские</t>
  </si>
  <si>
    <t>из них с применением тромболи-тических препаратов</t>
  </si>
  <si>
    <t>Врачебные</t>
  </si>
  <si>
    <t>вызовы специализ.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</si>
</sst>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00"/>
    <numFmt numFmtId="171" formatCode="#,##0.0"/>
  </numFmts>
  <fonts count="1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sz val="10"/>
      <name val="Times New Roman Cyr"/>
      <charset val="204"/>
    </font>
    <font>
      <b/>
      <sz val="14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9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i/>
      <sz val="9"/>
      <name val="Times New Roman"/>
      <family val="1"/>
      <charset val="204"/>
    </font>
  </fonts>
  <fills count="7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1252">
    <xf numFmtId="0" fontId="0" fillId="0" borderId="0"/>
    <xf numFmtId="0" fontId="33" fillId="0" borderId="0"/>
    <xf numFmtId="0" fontId="32" fillId="0" borderId="0"/>
    <xf numFmtId="0" fontId="32" fillId="0" borderId="0"/>
    <xf numFmtId="0" fontId="34" fillId="0" borderId="0"/>
    <xf numFmtId="164" fontId="34" fillId="0" borderId="0" applyFont="0" applyFill="0" applyBorder="0" applyAlignment="0" applyProtection="0"/>
    <xf numFmtId="0" fontId="34" fillId="0" borderId="0"/>
    <xf numFmtId="0" fontId="35" fillId="0" borderId="0"/>
    <xf numFmtId="0" fontId="35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36" fillId="0" borderId="0"/>
    <xf numFmtId="0" fontId="28" fillId="0" borderId="0"/>
    <xf numFmtId="0" fontId="28" fillId="0" borderId="0"/>
    <xf numFmtId="0" fontId="34" fillId="0" borderId="0"/>
    <xf numFmtId="0" fontId="27" fillId="0" borderId="0"/>
    <xf numFmtId="0" fontId="35" fillId="0" borderId="0"/>
    <xf numFmtId="0" fontId="44" fillId="28" borderId="0" applyNumberFormat="0" applyBorder="0" applyAlignment="0" applyProtection="0"/>
    <xf numFmtId="0" fontId="44" fillId="29" borderId="0"/>
    <xf numFmtId="0" fontId="44" fillId="30" borderId="0" applyNumberFormat="0" applyBorder="0" applyAlignment="0" applyProtection="0"/>
    <xf numFmtId="0" fontId="44" fillId="31" borderId="0"/>
    <xf numFmtId="0" fontId="44" fillId="32" borderId="0" applyNumberFormat="0" applyBorder="0" applyAlignment="0" applyProtection="0"/>
    <xf numFmtId="0" fontId="44" fillId="33" borderId="0"/>
    <xf numFmtId="0" fontId="44" fillId="34" borderId="0" applyNumberFormat="0" applyBorder="0" applyAlignment="0" applyProtection="0"/>
    <xf numFmtId="0" fontId="44" fillId="35" borderId="0"/>
    <xf numFmtId="0" fontId="44" fillId="36" borderId="0" applyNumberFormat="0" applyBorder="0" applyAlignment="0" applyProtection="0"/>
    <xf numFmtId="0" fontId="44" fillId="37" borderId="0"/>
    <xf numFmtId="0" fontId="44" fillId="38" borderId="0" applyNumberFormat="0" applyBorder="0" applyAlignment="0" applyProtection="0"/>
    <xf numFmtId="0" fontId="44" fillId="39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4" fillId="4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4" fillId="29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4" fillId="3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4" fillId="31" borderId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4" fillId="41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4" fillId="33" borderId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4" fillId="4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4" fillId="35" borderId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4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4" fillId="37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4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4" fillId="39" borderId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/>
    <xf numFmtId="0" fontId="44" fillId="44" borderId="0" applyNumberFormat="0" applyBorder="0" applyAlignment="0" applyProtection="0"/>
    <xf numFmtId="0" fontId="44" fillId="45" borderId="0"/>
    <xf numFmtId="0" fontId="44" fillId="46" borderId="0" applyNumberFormat="0" applyBorder="0" applyAlignment="0" applyProtection="0"/>
    <xf numFmtId="0" fontId="44" fillId="47" borderId="0"/>
    <xf numFmtId="0" fontId="44" fillId="34" borderId="0" applyNumberFormat="0" applyBorder="0" applyAlignment="0" applyProtection="0"/>
    <xf numFmtId="0" fontId="44" fillId="35" borderId="0"/>
    <xf numFmtId="0" fontId="44" fillId="42" borderId="0" applyNumberFormat="0" applyBorder="0" applyAlignment="0" applyProtection="0"/>
    <xf numFmtId="0" fontId="44" fillId="43" borderId="0"/>
    <xf numFmtId="0" fontId="44" fillId="48" borderId="0" applyNumberFormat="0" applyBorder="0" applyAlignment="0" applyProtection="0"/>
    <xf numFmtId="0" fontId="44" fillId="49" borderId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4" fillId="50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4" fillId="43" borderId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4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4" fillId="45" borderId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4" fillId="5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4" fillId="47" borderId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4" fillId="5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4" fillId="35" borderId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4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4" fillId="43" borderId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4" fillId="3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4" fillId="49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/>
    <xf numFmtId="0" fontId="45" fillId="44" borderId="0" applyNumberFormat="0" applyBorder="0" applyAlignment="0" applyProtection="0"/>
    <xf numFmtId="0" fontId="45" fillId="45" borderId="0"/>
    <xf numFmtId="0" fontId="45" fillId="46" borderId="0" applyNumberFormat="0" applyBorder="0" applyAlignment="0" applyProtection="0"/>
    <xf numFmtId="0" fontId="45" fillId="47" borderId="0"/>
    <xf numFmtId="0" fontId="45" fillId="54" borderId="0" applyNumberFormat="0" applyBorder="0" applyAlignment="0" applyProtection="0"/>
    <xf numFmtId="0" fontId="45" fillId="55" borderId="0"/>
    <xf numFmtId="0" fontId="45" fillId="56" borderId="0" applyNumberFormat="0" applyBorder="0" applyAlignment="0" applyProtection="0"/>
    <xf numFmtId="0" fontId="45" fillId="57" borderId="0"/>
    <xf numFmtId="0" fontId="45" fillId="58" borderId="0" applyNumberFormat="0" applyBorder="0" applyAlignment="0" applyProtection="0"/>
    <xf numFmtId="0" fontId="45" fillId="59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3" fillId="7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56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53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3" fillId="11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5" fillId="44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5" fillId="45" borderId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1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5" fillId="51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5" fillId="47" borderId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3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5" fillId="50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5" fillId="55" borderId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3" fillId="2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5" fillId="56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5" fillId="57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3" fillId="27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5" fillId="38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5" fillId="59" borderId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5" fillId="60" borderId="0" applyNumberFormat="0" applyBorder="0" applyAlignment="0" applyProtection="0"/>
    <xf numFmtId="0" fontId="45" fillId="61" borderId="0"/>
    <xf numFmtId="0" fontId="45" fillId="62" borderId="0" applyNumberFormat="0" applyBorder="0" applyAlignment="0" applyProtection="0"/>
    <xf numFmtId="0" fontId="45" fillId="63" borderId="0"/>
    <xf numFmtId="0" fontId="45" fillId="64" borderId="0" applyNumberFormat="0" applyBorder="0" applyAlignment="0" applyProtection="0"/>
    <xf numFmtId="0" fontId="45" fillId="65" borderId="0"/>
    <xf numFmtId="0" fontId="45" fillId="54" borderId="0" applyNumberFormat="0" applyBorder="0" applyAlignment="0" applyProtection="0"/>
    <xf numFmtId="0" fontId="45" fillId="55" borderId="0"/>
    <xf numFmtId="0" fontId="45" fillId="56" borderId="0" applyNumberFormat="0" applyBorder="0" applyAlignment="0" applyProtection="0"/>
    <xf numFmtId="0" fontId="45" fillId="57" borderId="0"/>
    <xf numFmtId="0" fontId="45" fillId="66" borderId="0" applyNumberFormat="0" applyBorder="0" applyAlignment="0" applyProtection="0"/>
    <xf numFmtId="0" fontId="45" fillId="67" borderId="0"/>
    <xf numFmtId="0" fontId="46" fillId="30" borderId="0" applyNumberFormat="0" applyBorder="0" applyAlignment="0" applyProtection="0"/>
    <xf numFmtId="0" fontId="46" fillId="31" borderId="0"/>
    <xf numFmtId="0" fontId="47" fillId="50" borderId="13" applyNumberFormat="0" applyAlignment="0" applyProtection="0"/>
    <xf numFmtId="0" fontId="47" fillId="68" borderId="13"/>
    <xf numFmtId="0" fontId="48" fillId="69" borderId="14" applyNumberFormat="0" applyAlignment="0" applyProtection="0"/>
    <xf numFmtId="0" fontId="48" fillId="70" borderId="0"/>
    <xf numFmtId="165" fontId="49" fillId="0" borderId="0"/>
    <xf numFmtId="166" fontId="49" fillId="0" borderId="0" applyBorder="0" applyProtection="0"/>
    <xf numFmtId="165" fontId="49" fillId="0" borderId="0" applyBorder="0" applyProtection="0"/>
    <xf numFmtId="165" fontId="49" fillId="0" borderId="0"/>
    <xf numFmtId="0" fontId="50" fillId="0" borderId="0"/>
    <xf numFmtId="0" fontId="50" fillId="0" borderId="0"/>
    <xf numFmtId="0" fontId="51" fillId="0" borderId="0" applyNumberFormat="0" applyFill="0" applyBorder="0" applyAlignment="0" applyProtection="0"/>
    <xf numFmtId="0" fontId="51" fillId="0" borderId="0"/>
    <xf numFmtId="0" fontId="52" fillId="32" borderId="0" applyNumberFormat="0" applyBorder="0" applyAlignment="0" applyProtection="0"/>
    <xf numFmtId="0" fontId="52" fillId="33" borderId="0"/>
    <xf numFmtId="0" fontId="53" fillId="0" borderId="0" applyNumberFormat="0" applyBorder="0" applyProtection="0">
      <alignment horizontal="center"/>
    </xf>
    <xf numFmtId="0" fontId="54" fillId="0" borderId="15" applyNumberFormat="0" applyFill="0" applyAlignment="0" applyProtection="0"/>
    <xf numFmtId="0" fontId="54" fillId="0" borderId="15"/>
    <xf numFmtId="0" fontId="55" fillId="0" borderId="16" applyNumberFormat="0" applyFill="0" applyAlignment="0" applyProtection="0"/>
    <xf numFmtId="0" fontId="55" fillId="0" borderId="16"/>
    <xf numFmtId="0" fontId="56" fillId="0" borderId="17" applyNumberFormat="0" applyFill="0" applyAlignment="0" applyProtection="0"/>
    <xf numFmtId="0" fontId="56" fillId="0" borderId="17"/>
    <xf numFmtId="0" fontId="56" fillId="0" borderId="0" applyNumberFormat="0" applyFill="0" applyBorder="0" applyAlignment="0" applyProtection="0"/>
    <xf numFmtId="0" fontId="56" fillId="0" borderId="0"/>
    <xf numFmtId="0" fontId="53" fillId="0" borderId="0" applyNumberFormat="0" applyBorder="0" applyProtection="0">
      <alignment horizontal="center" textRotation="90"/>
    </xf>
    <xf numFmtId="0" fontId="57" fillId="38" borderId="13" applyNumberFormat="0" applyAlignment="0" applyProtection="0"/>
    <xf numFmtId="0" fontId="57" fillId="39" borderId="13"/>
    <xf numFmtId="0" fontId="58" fillId="0" borderId="18" applyNumberFormat="0" applyFill="0" applyAlignment="0" applyProtection="0"/>
    <xf numFmtId="0" fontId="58" fillId="0" borderId="0"/>
    <xf numFmtId="0" fontId="59" fillId="51" borderId="0" applyNumberFormat="0" applyBorder="0" applyAlignment="0" applyProtection="0"/>
    <xf numFmtId="0" fontId="59" fillId="71" borderId="0"/>
    <xf numFmtId="0" fontId="60" fillId="0" borderId="0"/>
    <xf numFmtId="0" fontId="34" fillId="41" borderId="19" applyNumberFormat="0" applyFont="0" applyAlignment="0" applyProtection="0"/>
    <xf numFmtId="0" fontId="61" fillId="72" borderId="19"/>
    <xf numFmtId="0" fontId="62" fillId="50" borderId="20" applyNumberFormat="0" applyAlignment="0" applyProtection="0"/>
    <xf numFmtId="0" fontId="62" fillId="68" borderId="20"/>
    <xf numFmtId="0" fontId="63" fillId="0" borderId="0" applyNumberFormat="0" applyBorder="0" applyProtection="0"/>
    <xf numFmtId="167" fontId="63" fillId="0" borderId="0" applyBorder="0" applyProtection="0"/>
    <xf numFmtId="0" fontId="64" fillId="0" borderId="0" applyNumberFormat="0" applyFill="0" applyBorder="0" applyAlignment="0" applyProtection="0"/>
    <xf numFmtId="0" fontId="64" fillId="0" borderId="0"/>
    <xf numFmtId="0" fontId="65" fillId="0" borderId="21" applyNumberFormat="0" applyFill="0" applyAlignment="0" applyProtection="0"/>
    <xf numFmtId="0" fontId="65" fillId="0" borderId="22"/>
    <xf numFmtId="0" fontId="66" fillId="0" borderId="0" applyNumberFormat="0" applyFill="0" applyBorder="0" applyAlignment="0" applyProtection="0"/>
    <xf numFmtId="0" fontId="66" fillId="0" borderId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3" fillId="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56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61" borderId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3" fillId="8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5" fillId="62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5" fillId="63" borderId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3" fillId="12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5" fillId="64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5" fillId="65" borderId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3" fillId="1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5" fillId="73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5" fillId="55" borderId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3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5" fillId="5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5" fillId="57" borderId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3" fillId="24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5" fillId="66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5" fillId="67" borderId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40" fillId="2" borderId="7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57" fillId="38" borderId="13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57" fillId="38" borderId="13" applyNumberFormat="0" applyAlignment="0" applyProtection="0"/>
    <xf numFmtId="0" fontId="57" fillId="38" borderId="13" applyNumberFormat="0" applyAlignment="0" applyProtection="0"/>
    <xf numFmtId="0" fontId="57" fillId="39" borderId="13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0" fillId="2" borderId="7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41" fillId="3" borderId="8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62" fillId="40" borderId="20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62" fillId="50" borderId="20" applyNumberFormat="0" applyAlignment="0" applyProtection="0"/>
    <xf numFmtId="0" fontId="62" fillId="50" borderId="20" applyNumberFormat="0" applyAlignment="0" applyProtection="0"/>
    <xf numFmtId="0" fontId="62" fillId="68" borderId="2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1" fillId="3" borderId="8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2" fillId="3" borderId="7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7" fillId="40" borderId="13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7" fillId="50" borderId="13" applyNumberFormat="0" applyAlignment="0" applyProtection="0"/>
    <xf numFmtId="0" fontId="47" fillId="50" borderId="13" applyNumberFormat="0" applyAlignment="0" applyProtection="0"/>
    <xf numFmtId="0" fontId="47" fillId="68" borderId="13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42" fillId="3" borderId="7" applyNumberFormat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38" fillId="0" borderId="4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69" fillId="0" borderId="23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54" fillId="0" borderId="15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39" fillId="0" borderId="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70" fillId="0" borderId="16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55" fillId="0" borderId="16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39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5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71" fillId="0" borderId="6" applyNumberForma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56" fillId="0" borderId="17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2" fillId="0" borderId="24" applyNumberFormat="0" applyFill="0" applyAlignment="0" applyProtection="0"/>
    <xf numFmtId="0" fontId="56" fillId="0" borderId="17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5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2" fillId="0" borderId="0" applyNumberFormat="0" applyFill="0" applyBorder="0" applyAlignment="0" applyProtection="0"/>
    <xf numFmtId="0" fontId="56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34" fillId="0" borderId="0" applyNumberFormat="0" applyFon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73" fillId="0" borderId="12" applyNumberForma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65" fillId="0" borderId="21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65" fillId="0" borderId="25" applyNumberFormat="0" applyFill="0" applyAlignment="0" applyProtection="0"/>
    <xf numFmtId="0" fontId="65" fillId="0" borderId="22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74" fillId="0" borderId="10" applyNumberForma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48" fillId="69" borderId="14" applyNumberFormat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48" fillId="69" borderId="14" applyNumberFormat="0" applyAlignment="0" applyProtection="0"/>
    <xf numFmtId="0" fontId="48" fillId="70" borderId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4" fillId="0" borderId="10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4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59" fillId="51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9" fillId="51" borderId="0" applyNumberFormat="0" applyBorder="0" applyAlignment="0" applyProtection="0"/>
    <xf numFmtId="0" fontId="59" fillId="71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/>
    <xf numFmtId="0" fontId="8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35" fillId="0" borderId="0"/>
    <xf numFmtId="0" fontId="85" fillId="0" borderId="0"/>
    <xf numFmtId="0" fontId="34" fillId="0" borderId="0"/>
    <xf numFmtId="0" fontId="2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78" fillId="0" borderId="0"/>
    <xf numFmtId="0" fontId="27" fillId="0" borderId="0"/>
    <xf numFmtId="0" fontId="27" fillId="0" borderId="0"/>
    <xf numFmtId="0" fontId="8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5" fillId="0" borderId="0"/>
    <xf numFmtId="0" fontId="3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3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3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8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8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0"/>
    <xf numFmtId="0" fontId="44" fillId="0" borderId="0"/>
    <xf numFmtId="0" fontId="4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35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7" fillId="0" borderId="0"/>
    <xf numFmtId="0" fontId="85" fillId="0" borderId="0"/>
    <xf numFmtId="0" fontId="27" fillId="0" borderId="0"/>
    <xf numFmtId="0" fontId="78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46" fillId="30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6" fillId="30" borderId="0" applyNumberFormat="0" applyBorder="0" applyAlignment="0" applyProtection="0"/>
    <xf numFmtId="0" fontId="46" fillId="31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5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41" borderId="19" applyNumberFormat="0" applyFont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41" borderId="19" applyNumberFormat="0" applyFont="0" applyAlignment="0" applyProtection="0"/>
    <xf numFmtId="0" fontId="35" fillId="41" borderId="19" applyNumberFormat="0" applyFont="0" applyAlignment="0" applyProtection="0"/>
    <xf numFmtId="0" fontId="78" fillId="41" borderId="19" applyNumberFormat="0" applyFont="0" applyAlignment="0" applyProtection="0"/>
    <xf numFmtId="0" fontId="34" fillId="41" borderId="19" applyNumberFormat="0" applyFont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0" fontId="34" fillId="0" borderId="11" applyNumberFormat="0" applyFont="0" applyFill="0" applyAlignment="0" applyProtection="0"/>
    <xf numFmtId="9" fontId="44" fillId="0" borderId="0" applyFont="0" applyFill="0" applyBorder="0" applyAlignment="0" applyProtection="0"/>
    <xf numFmtId="9" fontId="44" fillId="0" borderId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90" fillId="0" borderId="9" applyNumberFormat="0" applyFill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58" fillId="0" borderId="18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58" fillId="0" borderId="18" applyNumberFormat="0" applyFill="0" applyAlignment="0" applyProtection="0"/>
    <xf numFmtId="0" fontId="58" fillId="0" borderId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4" fontId="36" fillId="0" borderId="0" applyFont="0" applyFill="0" applyBorder="0" applyAlignment="0" applyProtection="0"/>
    <xf numFmtId="43" fontId="8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35" fillId="0" borderId="0" applyFont="0" applyFill="0" applyBorder="0" applyAlignment="0" applyProtection="0"/>
    <xf numFmtId="166" fontId="86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35" fillId="0" borderId="0" applyFont="0" applyFill="0" applyBorder="0" applyAlignment="0" applyProtection="0"/>
    <xf numFmtId="166" fontId="86" fillId="0" borderId="0"/>
    <xf numFmtId="168" fontId="93" fillId="0" borderId="0"/>
    <xf numFmtId="164" fontId="44" fillId="0" borderId="0" applyFont="0" applyFill="0" applyBorder="0" applyAlignment="0" applyProtection="0"/>
    <xf numFmtId="166" fontId="86" fillId="0" borderId="0"/>
    <xf numFmtId="166" fontId="86" fillId="0" borderId="0" applyFill="0" applyBorder="0" applyAlignment="0" applyProtection="0"/>
    <xf numFmtId="166" fontId="86" fillId="0" borderId="0"/>
    <xf numFmtId="169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94" fillId="0" borderId="0" applyNumberForma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52" fillId="32" borderId="0" applyNumberFormat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2" fillId="32" borderId="0" applyNumberFormat="0" applyBorder="0" applyAlignment="0" applyProtection="0"/>
    <xf numFmtId="0" fontId="52" fillId="33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26" fillId="0" borderId="0"/>
    <xf numFmtId="0" fontId="26" fillId="0" borderId="0"/>
    <xf numFmtId="0" fontId="35" fillId="0" borderId="0"/>
    <xf numFmtId="0" fontId="44" fillId="28" borderId="0" applyNumberFormat="0" applyBorder="0" applyAlignment="0" applyProtection="0"/>
    <xf numFmtId="0" fontId="44" fillId="30" borderId="0" applyNumberFormat="0" applyBorder="0" applyAlignment="0" applyProtection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44" fillId="36" borderId="0" applyNumberFormat="0" applyBorder="0" applyAlignment="0" applyProtection="0"/>
    <xf numFmtId="0" fontId="44" fillId="38" borderId="0" applyNumberFormat="0" applyBorder="0" applyAlignment="0" applyProtection="0"/>
    <xf numFmtId="0" fontId="44" fillId="28" borderId="0" applyNumberFormat="0" applyBorder="0" applyAlignment="0" applyProtection="0"/>
    <xf numFmtId="0" fontId="44" fillId="30" borderId="0" applyNumberFormat="0" applyBorder="0" applyAlignment="0" applyProtection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44" fillId="36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34" borderId="0" applyNumberFormat="0" applyBorder="0" applyAlignment="0" applyProtection="0"/>
    <xf numFmtId="0" fontId="44" fillId="42" borderId="0" applyNumberFormat="0" applyBorder="0" applyAlignment="0" applyProtection="0"/>
    <xf numFmtId="0" fontId="44" fillId="48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34" borderId="0" applyNumberFormat="0" applyBorder="0" applyAlignment="0" applyProtection="0"/>
    <xf numFmtId="0" fontId="44" fillId="42" borderId="0" applyNumberFormat="0" applyBorder="0" applyAlignment="0" applyProtection="0"/>
    <xf numFmtId="0" fontId="44" fillId="48" borderId="0" applyNumberFormat="0" applyBorder="0" applyAlignment="0" applyProtection="0"/>
    <xf numFmtId="0" fontId="6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44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35" fillId="0" borderId="0"/>
    <xf numFmtId="0" fontId="86" fillId="0" borderId="0"/>
    <xf numFmtId="0" fontId="78" fillId="0" borderId="0"/>
    <xf numFmtId="0" fontId="86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166" fontId="86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832">
    <xf numFmtId="0" fontId="0" fillId="0" borderId="0" xfId="0"/>
    <xf numFmtId="4" fontId="95" fillId="74" borderId="37" xfId="61233" applyNumberFormat="1" applyFont="1" applyFill="1" applyBorder="1" applyAlignment="1">
      <alignment vertical="center" wrapText="1"/>
    </xf>
    <xf numFmtId="4" fontId="95" fillId="74" borderId="37" xfId="61233" applyNumberFormat="1" applyFont="1" applyFill="1" applyBorder="1" applyAlignment="1">
      <alignment horizontal="left" vertical="center" wrapText="1"/>
    </xf>
    <xf numFmtId="4" fontId="95" fillId="74" borderId="37" xfId="16" applyNumberFormat="1" applyFont="1" applyFill="1" applyBorder="1" applyAlignment="1">
      <alignment horizontal="left" vertical="center" wrapText="1"/>
    </xf>
    <xf numFmtId="3" fontId="99" fillId="74" borderId="0" xfId="61238" applyNumberFormat="1" applyFont="1" applyFill="1" applyAlignment="1">
      <alignment horizontal="center" vertical="center" wrapText="1"/>
    </xf>
    <xf numFmtId="3" fontId="100" fillId="74" borderId="0" xfId="61238" applyNumberFormat="1" applyFont="1" applyFill="1" applyAlignment="1">
      <alignment horizontal="left" vertical="center" wrapText="1"/>
    </xf>
    <xf numFmtId="3" fontId="101" fillId="74" borderId="0" xfId="61238" applyNumberFormat="1" applyFont="1" applyFill="1" applyAlignment="1">
      <alignment horizontal="center" vertical="center" wrapText="1"/>
    </xf>
    <xf numFmtId="3" fontId="99" fillId="74" borderId="0" xfId="61238" applyNumberFormat="1" applyFont="1" applyFill="1" applyAlignment="1">
      <alignment horizontal="center" vertical="center"/>
    </xf>
    <xf numFmtId="3" fontId="103" fillId="74" borderId="0" xfId="61238" applyNumberFormat="1" applyFont="1" applyFill="1" applyAlignment="1">
      <alignment horizontal="center" vertical="center"/>
    </xf>
    <xf numFmtId="3" fontId="103" fillId="74" borderId="0" xfId="61238" applyNumberFormat="1" applyFont="1" applyFill="1" applyAlignment="1">
      <alignment horizontal="center" vertical="center" wrapText="1"/>
    </xf>
    <xf numFmtId="3" fontId="104" fillId="74" borderId="0" xfId="61238" applyNumberFormat="1" applyFont="1" applyFill="1" applyAlignment="1">
      <alignment horizontal="right" vertical="center" wrapText="1"/>
    </xf>
    <xf numFmtId="4" fontId="99" fillId="74" borderId="0" xfId="61238" applyNumberFormat="1" applyFont="1" applyFill="1" applyAlignment="1">
      <alignment horizontal="center" vertical="center" wrapText="1"/>
    </xf>
    <xf numFmtId="3" fontId="105" fillId="74" borderId="1" xfId="61238" applyNumberFormat="1" applyFont="1" applyFill="1" applyBorder="1" applyAlignment="1">
      <alignment horizontal="center" vertical="center" wrapText="1"/>
    </xf>
    <xf numFmtId="49" fontId="105" fillId="74" borderId="1" xfId="61238" applyNumberFormat="1" applyFont="1" applyFill="1" applyBorder="1" applyAlignment="1">
      <alignment horizontal="center" vertical="center" wrapText="1"/>
    </xf>
    <xf numFmtId="3" fontId="106" fillId="74" borderId="1" xfId="61238" applyNumberFormat="1" applyFont="1" applyFill="1" applyBorder="1" applyAlignment="1">
      <alignment horizontal="center" vertical="center" wrapText="1"/>
    </xf>
    <xf numFmtId="49" fontId="106" fillId="74" borderId="1" xfId="61238" applyNumberFormat="1" applyFont="1" applyFill="1" applyBorder="1" applyAlignment="1">
      <alignment horizontal="center" vertical="center" wrapText="1"/>
    </xf>
    <xf numFmtId="3" fontId="105" fillId="74" borderId="1" xfId="61238" applyNumberFormat="1" applyFont="1" applyFill="1" applyBorder="1" applyAlignment="1">
      <alignment horizontal="left" vertical="center" wrapText="1"/>
    </xf>
    <xf numFmtId="170" fontId="105" fillId="74" borderId="1" xfId="61238" applyNumberFormat="1" applyFont="1" applyFill="1" applyBorder="1" applyAlignment="1">
      <alignment horizontal="center" vertical="center" wrapText="1"/>
    </xf>
    <xf numFmtId="3" fontId="105" fillId="74" borderId="29" xfId="61238" applyNumberFormat="1" applyFont="1" applyFill="1" applyBorder="1" applyAlignment="1">
      <alignment horizontal="center" vertical="center" wrapText="1"/>
    </xf>
    <xf numFmtId="3" fontId="105" fillId="74" borderId="29" xfId="61238" applyNumberFormat="1" applyFont="1" applyFill="1" applyBorder="1" applyAlignment="1">
      <alignment horizontal="left" vertical="center" wrapText="1"/>
    </xf>
    <xf numFmtId="3" fontId="105" fillId="74" borderId="31" xfId="61238" applyNumberFormat="1" applyFont="1" applyFill="1" applyBorder="1" applyAlignment="1">
      <alignment horizontal="center" vertical="center" wrapText="1"/>
    </xf>
    <xf numFmtId="3" fontId="105" fillId="74" borderId="31" xfId="61238" applyNumberFormat="1" applyFont="1" applyFill="1" applyBorder="1" applyAlignment="1">
      <alignment horizontal="left" vertical="center" wrapText="1"/>
    </xf>
    <xf numFmtId="3" fontId="100" fillId="74" borderId="0" xfId="61238" applyNumberFormat="1" applyFont="1" applyFill="1" applyAlignment="1">
      <alignment horizontal="left" vertical="center"/>
    </xf>
    <xf numFmtId="4" fontId="103" fillId="74" borderId="0" xfId="61238" applyNumberFormat="1" applyFont="1" applyFill="1" applyAlignment="1">
      <alignment horizontal="center" vertical="center"/>
    </xf>
    <xf numFmtId="0" fontId="95" fillId="74" borderId="0" xfId="61239" applyFont="1" applyFill="1"/>
    <xf numFmtId="0" fontId="97" fillId="74" borderId="26" xfId="61239" applyFont="1" applyFill="1" applyBorder="1" applyAlignment="1">
      <alignment horizontal="center" vertical="center" wrapText="1"/>
    </xf>
    <xf numFmtId="0" fontId="97" fillId="74" borderId="0" xfId="61239" applyFont="1" applyFill="1" applyBorder="1" applyAlignment="1">
      <alignment horizontal="center" vertical="center" wrapText="1"/>
    </xf>
    <xf numFmtId="0" fontId="95" fillId="74" borderId="0" xfId="61239" applyFont="1" applyFill="1" applyBorder="1" applyAlignment="1">
      <alignment wrapText="1"/>
    </xf>
    <xf numFmtId="0" fontId="107" fillId="74" borderId="0" xfId="61239" applyFont="1" applyFill="1"/>
    <xf numFmtId="0" fontId="107" fillId="74" borderId="0" xfId="61239" applyFont="1" applyFill="1" applyAlignment="1">
      <alignment horizontal="center" vertical="top"/>
    </xf>
    <xf numFmtId="0" fontId="37" fillId="74" borderId="30" xfId="61239" applyFont="1" applyFill="1" applyBorder="1" applyAlignment="1">
      <alignment horizontal="center" vertical="top" wrapText="1"/>
    </xf>
    <xf numFmtId="0" fontId="37" fillId="74" borderId="1" xfId="61239" applyFont="1" applyFill="1" applyBorder="1" applyAlignment="1">
      <alignment horizontal="center" vertical="top" wrapText="1"/>
    </xf>
    <xf numFmtId="3" fontId="108" fillId="74" borderId="3" xfId="61240" applyNumberFormat="1" applyFont="1" applyFill="1" applyBorder="1" applyAlignment="1">
      <alignment horizontal="center" vertical="center" wrapText="1"/>
    </xf>
    <xf numFmtId="3" fontId="109" fillId="74" borderId="3" xfId="61240" applyNumberFormat="1" applyFont="1" applyFill="1" applyBorder="1" applyAlignment="1">
      <alignment horizontal="center" vertical="center" wrapText="1"/>
    </xf>
    <xf numFmtId="0" fontId="109" fillId="74" borderId="3" xfId="61240" applyFont="1" applyFill="1" applyBorder="1" applyAlignment="1">
      <alignment horizontal="center" vertical="center" wrapText="1"/>
    </xf>
    <xf numFmtId="3" fontId="37" fillId="74" borderId="3" xfId="61240" applyNumberFormat="1" applyFont="1" applyFill="1" applyBorder="1" applyAlignment="1">
      <alignment horizontal="center" vertical="center" wrapText="1"/>
    </xf>
    <xf numFmtId="0" fontId="95" fillId="74" borderId="1" xfId="61239" applyFont="1" applyFill="1" applyBorder="1" applyAlignment="1">
      <alignment horizontal="center" vertical="center"/>
    </xf>
    <xf numFmtId="0" fontId="95" fillId="74" borderId="37" xfId="61239" applyFont="1" applyFill="1" applyBorder="1" applyAlignment="1">
      <alignment horizontal="center" vertical="center"/>
    </xf>
    <xf numFmtId="4" fontId="95" fillId="74" borderId="37" xfId="61239" applyNumberFormat="1" applyFont="1" applyFill="1" applyBorder="1" applyAlignment="1">
      <alignment vertical="center" wrapText="1"/>
    </xf>
    <xf numFmtId="3" fontId="95" fillId="74" borderId="1" xfId="61239" applyNumberFormat="1" applyFont="1" applyFill="1" applyBorder="1" applyAlignment="1">
      <alignment horizontal="center" vertical="center" wrapText="1"/>
    </xf>
    <xf numFmtId="3" fontId="95" fillId="74" borderId="3" xfId="61239" applyNumberFormat="1" applyFont="1" applyFill="1" applyBorder="1" applyAlignment="1">
      <alignment horizontal="center" vertical="center" wrapText="1"/>
    </xf>
    <xf numFmtId="4" fontId="95" fillId="74" borderId="37" xfId="61239" applyNumberFormat="1" applyFont="1" applyFill="1" applyBorder="1" applyAlignment="1">
      <alignment horizontal="left" vertical="center" wrapText="1"/>
    </xf>
    <xf numFmtId="3" fontId="95" fillId="74" borderId="37" xfId="61239" applyNumberFormat="1" applyFont="1" applyFill="1" applyBorder="1" applyAlignment="1">
      <alignment vertical="center" wrapText="1"/>
    </xf>
    <xf numFmtId="0" fontId="110" fillId="74" borderId="0" xfId="61239" applyFont="1" applyFill="1"/>
    <xf numFmtId="49" fontId="95" fillId="74" borderId="37" xfId="61239" applyNumberFormat="1" applyFont="1" applyFill="1" applyBorder="1" applyAlignment="1">
      <alignment horizontal="center" vertical="center"/>
    </xf>
    <xf numFmtId="0" fontId="98" fillId="74" borderId="0" xfId="61239" applyFont="1" applyFill="1"/>
    <xf numFmtId="0" fontId="110" fillId="74" borderId="0" xfId="61239" applyFont="1" applyFill="1" applyAlignment="1">
      <alignment vertical="center"/>
    </xf>
    <xf numFmtId="3" fontId="95" fillId="75" borderId="1" xfId="61239" applyNumberFormat="1" applyFont="1" applyFill="1" applyBorder="1" applyAlignment="1">
      <alignment horizontal="center" vertical="center" wrapText="1"/>
    </xf>
    <xf numFmtId="0" fontId="95" fillId="74" borderId="33" xfId="61239" applyFont="1" applyFill="1" applyBorder="1" applyAlignment="1">
      <alignment horizontal="center" vertical="center"/>
    </xf>
    <xf numFmtId="4" fontId="95" fillId="74" borderId="1" xfId="61239" applyNumberFormat="1" applyFont="1" applyFill="1" applyBorder="1" applyAlignment="1">
      <alignment vertical="center" wrapText="1"/>
    </xf>
    <xf numFmtId="0" fontId="37" fillId="74" borderId="1" xfId="16" applyFont="1" applyFill="1" applyBorder="1" applyAlignment="1">
      <alignment horizontal="center" vertical="center"/>
    </xf>
    <xf numFmtId="49" fontId="37" fillId="74" borderId="1" xfId="18" applyNumberFormat="1" applyFont="1" applyFill="1" applyBorder="1" applyAlignment="1">
      <alignment horizontal="center" vertical="center" wrapText="1"/>
    </xf>
    <xf numFmtId="0" fontId="37" fillId="74" borderId="1" xfId="18" applyFont="1" applyFill="1" applyBorder="1" applyAlignment="1">
      <alignment horizontal="left" vertical="center" wrapText="1"/>
    </xf>
    <xf numFmtId="4" fontId="95" fillId="74" borderId="33" xfId="61239" applyNumberFormat="1" applyFont="1" applyFill="1" applyBorder="1" applyAlignment="1">
      <alignment vertical="center" wrapText="1"/>
    </xf>
    <xf numFmtId="3" fontId="95" fillId="74" borderId="29" xfId="61239" applyNumberFormat="1" applyFont="1" applyFill="1" applyBorder="1" applyAlignment="1">
      <alignment horizontal="center" vertical="center" wrapText="1"/>
    </xf>
    <xf numFmtId="3" fontId="95" fillId="74" borderId="2" xfId="61239" applyNumberFormat="1" applyFont="1" applyFill="1" applyBorder="1" applyAlignment="1">
      <alignment horizontal="center" vertical="center" wrapText="1"/>
    </xf>
    <xf numFmtId="0" fontId="95" fillId="74" borderId="31" xfId="61239" applyFont="1" applyFill="1" applyBorder="1" applyAlignment="1">
      <alignment horizontal="center" vertical="center"/>
    </xf>
    <xf numFmtId="0" fontId="95" fillId="74" borderId="34" xfId="61239" applyFont="1" applyFill="1" applyBorder="1" applyAlignment="1">
      <alignment horizontal="center" vertical="center"/>
    </xf>
    <xf numFmtId="4" fontId="95" fillId="74" borderId="34" xfId="61239" applyNumberFormat="1" applyFont="1" applyFill="1" applyBorder="1" applyAlignment="1">
      <alignment vertical="center" wrapText="1"/>
    </xf>
    <xf numFmtId="4" fontId="95" fillId="74" borderId="31" xfId="61239" applyNumberFormat="1" applyFont="1" applyFill="1" applyBorder="1" applyAlignment="1">
      <alignment vertical="center" wrapText="1"/>
    </xf>
    <xf numFmtId="3" fontId="95" fillId="74" borderId="31" xfId="61239" applyNumberFormat="1" applyFont="1" applyFill="1" applyBorder="1" applyAlignment="1">
      <alignment horizontal="center" vertical="center" wrapText="1"/>
    </xf>
    <xf numFmtId="0" fontId="95" fillId="74" borderId="0" xfId="61239" applyFont="1" applyFill="1" applyBorder="1"/>
    <xf numFmtId="3" fontId="95" fillId="74" borderId="0" xfId="61239" applyNumberFormat="1" applyFont="1" applyFill="1" applyAlignment="1">
      <alignment horizontal="center"/>
    </xf>
    <xf numFmtId="3" fontId="112" fillId="0" borderId="0" xfId="61241" applyNumberFormat="1" applyFont="1" applyFill="1"/>
    <xf numFmtId="3" fontId="112" fillId="0" borderId="29" xfId="61241" applyNumberFormat="1" applyFont="1" applyFill="1" applyBorder="1" applyAlignment="1">
      <alignment horizontal="center" vertical="center" wrapText="1"/>
    </xf>
    <xf numFmtId="3" fontId="109" fillId="0" borderId="29" xfId="61241" applyNumberFormat="1" applyFont="1" applyFill="1" applyBorder="1" applyAlignment="1">
      <alignment horizontal="center" vertical="center" wrapText="1"/>
    </xf>
    <xf numFmtId="3" fontId="109" fillId="0" borderId="1" xfId="61242" applyNumberFormat="1" applyFont="1" applyFill="1" applyBorder="1" applyAlignment="1">
      <alignment horizontal="center" vertical="center" wrapText="1"/>
    </xf>
    <xf numFmtId="3" fontId="113" fillId="0" borderId="1" xfId="61241" applyNumberFormat="1" applyFont="1" applyFill="1" applyBorder="1" applyAlignment="1">
      <alignment horizontal="center" vertical="center" wrapText="1"/>
    </xf>
    <xf numFmtId="3" fontId="113" fillId="0" borderId="1" xfId="61241" applyNumberFormat="1" applyFont="1" applyFill="1" applyBorder="1" applyAlignment="1">
      <alignment horizontal="center" vertical="center"/>
    </xf>
    <xf numFmtId="3" fontId="114" fillId="0" borderId="1" xfId="61241" applyNumberFormat="1" applyFont="1" applyFill="1" applyBorder="1" applyAlignment="1">
      <alignment horizontal="center"/>
    </xf>
    <xf numFmtId="3" fontId="114" fillId="0" borderId="0" xfId="61241" applyNumberFormat="1" applyFont="1" applyFill="1"/>
    <xf numFmtId="3" fontId="115" fillId="0" borderId="1" xfId="61241" applyNumberFormat="1" applyFont="1" applyFill="1" applyBorder="1" applyAlignment="1">
      <alignment horizontal="center" vertical="center"/>
    </xf>
    <xf numFmtId="3" fontId="115" fillId="0" borderId="1" xfId="61241" applyNumberFormat="1" applyFont="1" applyFill="1" applyBorder="1" applyAlignment="1">
      <alignment horizontal="center" vertical="center" wrapText="1"/>
    </xf>
    <xf numFmtId="3" fontId="116" fillId="0" borderId="1" xfId="61241" applyNumberFormat="1" applyFont="1" applyFill="1" applyBorder="1" applyAlignment="1">
      <alignment horizontal="center"/>
    </xf>
    <xf numFmtId="4" fontId="114" fillId="0" borderId="0" xfId="61241" applyNumberFormat="1" applyFont="1" applyFill="1"/>
    <xf numFmtId="3" fontId="112" fillId="0" borderId="1" xfId="61241" applyNumberFormat="1" applyFont="1" applyFill="1" applyBorder="1" applyAlignment="1">
      <alignment horizontal="center" vertical="center"/>
    </xf>
    <xf numFmtId="3" fontId="98" fillId="0" borderId="1" xfId="7" applyNumberFormat="1" applyFont="1" applyFill="1" applyBorder="1" applyAlignment="1">
      <alignment horizontal="left" vertical="center" wrapText="1"/>
    </xf>
    <xf numFmtId="3" fontId="117" fillId="0" borderId="1" xfId="7" applyNumberFormat="1" applyFont="1" applyFill="1" applyBorder="1" applyAlignment="1">
      <alignment horizontal="left" vertical="center" wrapText="1"/>
    </xf>
    <xf numFmtId="3" fontId="109" fillId="0" borderId="1" xfId="61241" applyNumberFormat="1" applyFont="1" applyFill="1" applyBorder="1" applyAlignment="1">
      <alignment horizontal="center" vertical="center"/>
    </xf>
    <xf numFmtId="3" fontId="112" fillId="0" borderId="1" xfId="61241" applyNumberFormat="1" applyFont="1" applyFill="1" applyBorder="1" applyAlignment="1">
      <alignment horizontal="center"/>
    </xf>
    <xf numFmtId="171" fontId="112" fillId="0" borderId="0" xfId="61241" applyNumberFormat="1" applyFont="1" applyFill="1"/>
    <xf numFmtId="4" fontId="112" fillId="0" borderId="0" xfId="61241" applyNumberFormat="1" applyFont="1" applyFill="1"/>
    <xf numFmtId="0" fontId="118" fillId="0" borderId="30" xfId="18" applyFont="1" applyFill="1" applyBorder="1" applyAlignment="1">
      <alignment horizontal="left" vertical="center" wrapText="1"/>
    </xf>
    <xf numFmtId="3" fontId="98" fillId="0" borderId="1" xfId="7" applyNumberFormat="1" applyFont="1" applyFill="1" applyBorder="1" applyAlignment="1">
      <alignment horizontal="left" vertical="center"/>
    </xf>
    <xf numFmtId="3" fontId="95" fillId="0" borderId="1" xfId="7" applyNumberFormat="1" applyFont="1" applyFill="1" applyBorder="1" applyAlignment="1">
      <alignment horizontal="left" vertical="center" wrapText="1"/>
    </xf>
    <xf numFmtId="49" fontId="112" fillId="0" borderId="1" xfId="18" applyNumberFormat="1" applyFont="1" applyFill="1" applyBorder="1" applyAlignment="1">
      <alignment horizontal="left" vertical="center" wrapText="1"/>
    </xf>
    <xf numFmtId="0" fontId="112" fillId="0" borderId="30" xfId="18" applyFont="1" applyFill="1" applyBorder="1" applyAlignment="1">
      <alignment horizontal="left" vertical="center" wrapText="1"/>
    </xf>
    <xf numFmtId="49" fontId="112" fillId="0" borderId="1" xfId="18" applyNumberFormat="1" applyFont="1" applyFill="1" applyBorder="1" applyAlignment="1">
      <alignment vertical="center"/>
    </xf>
    <xf numFmtId="49" fontId="112" fillId="0" borderId="1" xfId="18" applyNumberFormat="1" applyFont="1" applyFill="1" applyBorder="1" applyAlignment="1">
      <alignment vertical="center" wrapText="1"/>
    </xf>
    <xf numFmtId="0" fontId="118" fillId="0" borderId="30" xfId="18" applyFont="1" applyFill="1" applyBorder="1" applyAlignment="1">
      <alignment vertical="center" wrapText="1"/>
    </xf>
    <xf numFmtId="3" fontId="98" fillId="0" borderId="1" xfId="61241" applyNumberFormat="1" applyFont="1" applyFill="1" applyBorder="1" applyAlignment="1">
      <alignment horizontal="left" vertical="center" wrapText="1"/>
    </xf>
    <xf numFmtId="3" fontId="117" fillId="0" borderId="1" xfId="61241" applyNumberFormat="1" applyFont="1" applyFill="1" applyBorder="1" applyAlignment="1">
      <alignment horizontal="left" vertical="center" wrapText="1"/>
    </xf>
    <xf numFmtId="3" fontId="98" fillId="0" borderId="29" xfId="7" applyNumberFormat="1" applyFont="1" applyFill="1" applyBorder="1" applyAlignment="1">
      <alignment horizontal="left" vertical="center"/>
    </xf>
    <xf numFmtId="3" fontId="98" fillId="0" borderId="29" xfId="7" applyNumberFormat="1" applyFont="1" applyFill="1" applyBorder="1" applyAlignment="1">
      <alignment horizontal="left" vertical="center" wrapText="1"/>
    </xf>
    <xf numFmtId="0" fontId="112" fillId="0" borderId="1" xfId="18" applyFont="1" applyFill="1" applyBorder="1" applyAlignment="1">
      <alignment horizontal="left" vertical="center" wrapText="1"/>
    </xf>
    <xf numFmtId="3" fontId="112" fillId="0" borderId="1" xfId="61241" applyNumberFormat="1" applyFont="1" applyFill="1" applyBorder="1" applyAlignment="1">
      <alignment horizontal="center" vertical="center" wrapText="1"/>
    </xf>
    <xf numFmtId="3" fontId="117" fillId="0" borderId="29" xfId="7" applyNumberFormat="1" applyFont="1" applyFill="1" applyBorder="1" applyAlignment="1">
      <alignment horizontal="left" vertical="center" wrapText="1"/>
    </xf>
    <xf numFmtId="49" fontId="112" fillId="0" borderId="1" xfId="18" applyNumberFormat="1" applyFont="1" applyFill="1" applyBorder="1" applyAlignment="1">
      <alignment horizontal="left" vertical="center"/>
    </xf>
    <xf numFmtId="3" fontId="98" fillId="0" borderId="30" xfId="7" applyNumberFormat="1" applyFont="1" applyFill="1" applyBorder="1" applyAlignment="1">
      <alignment horizontal="left" vertical="center" wrapText="1"/>
    </xf>
    <xf numFmtId="49" fontId="112" fillId="0" borderId="1" xfId="0" applyNumberFormat="1" applyFont="1" applyFill="1" applyBorder="1" applyAlignment="1">
      <alignment horizontal="left" vertical="center"/>
    </xf>
    <xf numFmtId="0" fontId="112" fillId="0" borderId="30" xfId="0" applyFont="1" applyFill="1" applyBorder="1" applyAlignment="1">
      <alignment horizontal="left" vertical="center" wrapText="1"/>
    </xf>
    <xf numFmtId="3" fontId="98" fillId="0" borderId="1" xfId="18" applyNumberFormat="1" applyFont="1" applyFill="1" applyBorder="1" applyAlignment="1">
      <alignment horizontal="left" vertical="center" wrapText="1"/>
    </xf>
    <xf numFmtId="49" fontId="112" fillId="0" borderId="30" xfId="18" applyNumberFormat="1" applyFont="1" applyFill="1" applyBorder="1" applyAlignment="1">
      <alignment horizontal="left" vertical="center" wrapText="1"/>
    </xf>
    <xf numFmtId="49" fontId="37" fillId="0" borderId="1" xfId="18" applyNumberFormat="1" applyFont="1" applyFill="1" applyBorder="1" applyAlignment="1">
      <alignment horizontal="left" vertical="center" wrapText="1"/>
    </xf>
    <xf numFmtId="0" fontId="37" fillId="0" borderId="30" xfId="18" applyFont="1" applyFill="1" applyBorder="1" applyAlignment="1">
      <alignment horizontal="left" vertical="center" wrapText="1"/>
    </xf>
    <xf numFmtId="3" fontId="117" fillId="0" borderId="30" xfId="7" applyNumberFormat="1" applyFont="1" applyFill="1" applyBorder="1" applyAlignment="1">
      <alignment horizontal="left" vertical="center" wrapText="1"/>
    </xf>
    <xf numFmtId="3" fontId="95" fillId="0" borderId="30" xfId="7" applyNumberFormat="1" applyFont="1" applyFill="1" applyBorder="1" applyAlignment="1">
      <alignment horizontal="left" vertical="center" wrapText="1"/>
    </xf>
    <xf numFmtId="49" fontId="98" fillId="0" borderId="1" xfId="18" applyNumberFormat="1" applyFont="1" applyFill="1" applyBorder="1" applyAlignment="1">
      <alignment horizontal="left" vertical="center"/>
    </xf>
    <xf numFmtId="0" fontId="98" fillId="0" borderId="30" xfId="18" applyFont="1" applyFill="1" applyBorder="1" applyAlignment="1">
      <alignment horizontal="left" vertical="center" wrapText="1"/>
    </xf>
    <xf numFmtId="3" fontId="112" fillId="0" borderId="0" xfId="61241" applyNumberFormat="1" applyFont="1" applyFill="1" applyAlignment="1">
      <alignment horizontal="center"/>
    </xf>
    <xf numFmtId="0" fontId="112" fillId="0" borderId="0" xfId="61241" applyFont="1" applyFill="1"/>
    <xf numFmtId="0" fontId="109" fillId="0" borderId="2" xfId="61241" applyFont="1" applyFill="1" applyBorder="1" applyAlignment="1">
      <alignment horizontal="center" vertical="center" wrapText="1"/>
    </xf>
    <xf numFmtId="0" fontId="112" fillId="0" borderId="2" xfId="61241" applyFont="1" applyFill="1" applyBorder="1" applyAlignment="1">
      <alignment horizontal="center" vertical="center" wrapText="1"/>
    </xf>
    <xf numFmtId="0" fontId="109" fillId="0" borderId="1" xfId="61241" applyFont="1" applyFill="1" applyBorder="1" applyAlignment="1">
      <alignment horizontal="center" vertical="center" wrapText="1"/>
    </xf>
    <xf numFmtId="0" fontId="113" fillId="0" borderId="1" xfId="61241" applyFont="1" applyFill="1" applyBorder="1" applyAlignment="1">
      <alignment horizontal="center" vertical="center" wrapText="1"/>
    </xf>
    <xf numFmtId="0" fontId="113" fillId="0" borderId="1" xfId="61241" applyFont="1" applyFill="1" applyBorder="1" applyAlignment="1">
      <alignment horizontal="center" vertical="center"/>
    </xf>
    <xf numFmtId="0" fontId="114" fillId="0" borderId="0" xfId="61241" applyFont="1" applyFill="1"/>
    <xf numFmtId="0" fontId="112" fillId="0" borderId="1" xfId="61241" applyFont="1" applyFill="1" applyBorder="1" applyAlignment="1">
      <alignment horizontal="center" vertical="center"/>
    </xf>
    <xf numFmtId="49" fontId="98" fillId="0" borderId="1" xfId="7" applyNumberFormat="1" applyFont="1" applyFill="1" applyBorder="1" applyAlignment="1">
      <alignment horizontal="left" vertical="center" wrapText="1"/>
    </xf>
    <xf numFmtId="0" fontId="117" fillId="0" borderId="30" xfId="7" applyFont="1" applyFill="1" applyBorder="1" applyAlignment="1">
      <alignment horizontal="left" vertical="center" wrapText="1"/>
    </xf>
    <xf numFmtId="0" fontId="98" fillId="0" borderId="1" xfId="7" applyFont="1" applyFill="1" applyBorder="1" applyAlignment="1">
      <alignment horizontal="left" vertical="center" wrapText="1"/>
    </xf>
    <xf numFmtId="49" fontId="98" fillId="0" borderId="1" xfId="7" applyNumberFormat="1" applyFont="1" applyFill="1" applyBorder="1" applyAlignment="1">
      <alignment horizontal="left" vertical="center"/>
    </xf>
    <xf numFmtId="0" fontId="98" fillId="0" borderId="30" xfId="7" applyFont="1" applyFill="1" applyBorder="1" applyAlignment="1">
      <alignment horizontal="left" vertical="center" wrapText="1"/>
    </xf>
    <xf numFmtId="49" fontId="95" fillId="0" borderId="1" xfId="7" applyNumberFormat="1" applyFont="1" applyFill="1" applyBorder="1" applyAlignment="1">
      <alignment horizontal="left" vertical="center" wrapText="1"/>
    </xf>
    <xf numFmtId="0" fontId="95" fillId="0" borderId="30" xfId="7" applyFont="1" applyFill="1" applyBorder="1" applyAlignment="1">
      <alignment horizontal="left" vertical="center" wrapText="1"/>
    </xf>
    <xf numFmtId="49" fontId="98" fillId="0" borderId="1" xfId="61241" applyNumberFormat="1" applyFont="1" applyFill="1" applyBorder="1" applyAlignment="1">
      <alignment horizontal="left" vertical="center" wrapText="1"/>
    </xf>
    <xf numFmtId="0" fontId="117" fillId="0" borderId="30" xfId="61241" applyFont="1" applyFill="1" applyBorder="1" applyAlignment="1">
      <alignment horizontal="left" vertical="center" wrapText="1"/>
    </xf>
    <xf numFmtId="49" fontId="98" fillId="0" borderId="29" xfId="7" applyNumberFormat="1" applyFont="1" applyFill="1" applyBorder="1" applyAlignment="1">
      <alignment horizontal="left" vertical="center"/>
    </xf>
    <xf numFmtId="0" fontId="98" fillId="0" borderId="32" xfId="7" applyFont="1" applyFill="1" applyBorder="1" applyAlignment="1">
      <alignment horizontal="left" vertical="center" wrapText="1"/>
    </xf>
    <xf numFmtId="0" fontId="98" fillId="0" borderId="29" xfId="7" applyFont="1" applyFill="1" applyBorder="1" applyAlignment="1">
      <alignment horizontal="left" vertical="center" wrapText="1"/>
    </xf>
    <xf numFmtId="0" fontId="117" fillId="0" borderId="32" xfId="7" applyFont="1" applyFill="1" applyBorder="1" applyAlignment="1">
      <alignment horizontal="left" vertical="center" wrapText="1"/>
    </xf>
    <xf numFmtId="49" fontId="98" fillId="0" borderId="1" xfId="18" applyNumberFormat="1" applyFont="1" applyFill="1" applyBorder="1" applyAlignment="1">
      <alignment horizontal="left" vertical="center" wrapText="1"/>
    </xf>
    <xf numFmtId="0" fontId="117" fillId="0" borderId="31" xfId="18" applyFont="1" applyFill="1" applyBorder="1" applyAlignment="1">
      <alignment horizontal="left" vertical="center" wrapText="1"/>
    </xf>
    <xf numFmtId="0" fontId="112" fillId="0" borderId="0" xfId="61241" applyFont="1" applyFill="1" applyAlignment="1">
      <alignment horizontal="center"/>
    </xf>
    <xf numFmtId="3" fontId="109" fillId="0" borderId="1" xfId="61241" applyNumberFormat="1" applyFont="1" applyFill="1" applyBorder="1" applyAlignment="1">
      <alignment horizontal="center" vertical="center" wrapText="1"/>
    </xf>
    <xf numFmtId="3" fontId="109" fillId="0" borderId="2" xfId="61241" applyNumberFormat="1" applyFont="1" applyFill="1" applyBorder="1" applyAlignment="1">
      <alignment horizontal="center" vertical="center" wrapText="1"/>
    </xf>
    <xf numFmtId="3" fontId="112" fillId="0" borderId="2" xfId="61241" applyNumberFormat="1" applyFont="1" applyFill="1" applyBorder="1" applyAlignment="1">
      <alignment horizontal="center" vertical="center" wrapText="1"/>
    </xf>
    <xf numFmtId="3" fontId="119" fillId="0" borderId="1" xfId="61241" applyNumberFormat="1" applyFont="1" applyFill="1" applyBorder="1" applyAlignment="1">
      <alignment horizontal="center" vertical="center"/>
    </xf>
    <xf numFmtId="3" fontId="117" fillId="0" borderId="30" xfId="61241" applyNumberFormat="1" applyFont="1" applyFill="1" applyBorder="1" applyAlignment="1">
      <alignment horizontal="left" vertical="center" wrapText="1"/>
    </xf>
    <xf numFmtId="3" fontId="98" fillId="0" borderId="32" xfId="7" applyNumberFormat="1" applyFont="1" applyFill="1" applyBorder="1" applyAlignment="1">
      <alignment horizontal="left" vertical="center" wrapText="1"/>
    </xf>
    <xf numFmtId="3" fontId="117" fillId="0" borderId="32" xfId="7" applyNumberFormat="1" applyFont="1" applyFill="1" applyBorder="1" applyAlignment="1">
      <alignment horizontal="left" vertical="center" wrapText="1"/>
    </xf>
    <xf numFmtId="3" fontId="117" fillId="0" borderId="31" xfId="18" applyNumberFormat="1" applyFont="1" applyFill="1" applyBorder="1" applyAlignment="1">
      <alignment horizontal="left" vertical="center" wrapText="1"/>
    </xf>
    <xf numFmtId="49" fontId="112" fillId="0" borderId="1" xfId="18" applyNumberFormat="1" applyFont="1" applyFill="1" applyBorder="1" applyAlignment="1">
      <alignment horizontal="center" vertical="center" wrapText="1"/>
    </xf>
    <xf numFmtId="49" fontId="98" fillId="0" borderId="1" xfId="18" applyNumberFormat="1" applyFont="1" applyFill="1" applyBorder="1" applyAlignment="1">
      <alignment horizontal="center" vertical="center"/>
    </xf>
    <xf numFmtId="0" fontId="111" fillId="0" borderId="0" xfId="61241" applyFont="1" applyFill="1" applyBorder="1" applyAlignment="1">
      <alignment horizontal="center" vertical="center" wrapText="1"/>
    </xf>
    <xf numFmtId="0" fontId="109" fillId="0" borderId="1" xfId="61242" applyFont="1" applyFill="1" applyBorder="1" applyAlignment="1">
      <alignment horizontal="center" vertical="center" wrapText="1"/>
    </xf>
    <xf numFmtId="0" fontId="109" fillId="0" borderId="3" xfId="61242" applyFont="1" applyFill="1" applyBorder="1" applyAlignment="1">
      <alignment horizontal="center" vertical="center" wrapText="1"/>
    </xf>
    <xf numFmtId="0" fontId="112" fillId="0" borderId="1" xfId="61241" applyFont="1" applyFill="1" applyBorder="1" applyAlignment="1">
      <alignment horizontal="center" vertical="center" wrapText="1"/>
    </xf>
    <xf numFmtId="0" fontId="112" fillId="0" borderId="1" xfId="18" applyFont="1" applyFill="1" applyBorder="1" applyAlignment="1">
      <alignment horizontal="center" vertical="center" wrapText="1"/>
    </xf>
    <xf numFmtId="0" fontId="112" fillId="0" borderId="0" xfId="61242" applyFont="1" applyFill="1"/>
    <xf numFmtId="0" fontId="109" fillId="0" borderId="2" xfId="61242" applyFont="1" applyFill="1" applyBorder="1" applyAlignment="1">
      <alignment horizontal="center" vertical="center" wrapText="1"/>
    </xf>
    <xf numFmtId="0" fontId="112" fillId="0" borderId="2" xfId="61242" applyFont="1" applyFill="1" applyBorder="1" applyAlignment="1">
      <alignment horizontal="center" vertical="center" wrapText="1"/>
    </xf>
    <xf numFmtId="0" fontId="112" fillId="0" borderId="0" xfId="61242" applyFont="1" applyFill="1" applyAlignment="1">
      <alignment horizontal="center"/>
    </xf>
    <xf numFmtId="0" fontId="113" fillId="0" borderId="1" xfId="61242" applyFont="1" applyFill="1" applyBorder="1" applyAlignment="1">
      <alignment horizontal="center" vertical="center" wrapText="1"/>
    </xf>
    <xf numFmtId="0" fontId="113" fillId="0" borderId="1" xfId="61242" applyFont="1" applyFill="1" applyBorder="1" applyAlignment="1">
      <alignment horizontal="center" vertical="center"/>
    </xf>
    <xf numFmtId="3" fontId="113" fillId="0" borderId="1" xfId="61242" applyNumberFormat="1" applyFont="1" applyFill="1" applyBorder="1" applyAlignment="1">
      <alignment horizontal="center" vertical="center"/>
    </xf>
    <xf numFmtId="0" fontId="114" fillId="0" borderId="0" xfId="61242" applyFont="1" applyFill="1"/>
    <xf numFmtId="3" fontId="115" fillId="0" borderId="1" xfId="61242" applyNumberFormat="1" applyFont="1" applyFill="1" applyBorder="1" applyAlignment="1">
      <alignment horizontal="center" vertical="center"/>
    </xf>
    <xf numFmtId="3" fontId="114" fillId="0" borderId="0" xfId="61242" applyNumberFormat="1" applyFont="1" applyFill="1"/>
    <xf numFmtId="0" fontId="112" fillId="0" borderId="1" xfId="61242" applyFont="1" applyFill="1" applyBorder="1" applyAlignment="1">
      <alignment horizontal="center" vertical="center"/>
    </xf>
    <xf numFmtId="0" fontId="117" fillId="0" borderId="30" xfId="18" applyFont="1" applyFill="1" applyBorder="1" applyAlignment="1">
      <alignment horizontal="left" vertical="center" wrapText="1"/>
    </xf>
    <xf numFmtId="3" fontId="109" fillId="0" borderId="1" xfId="61242" applyNumberFormat="1" applyFont="1" applyFill="1" applyBorder="1" applyAlignment="1">
      <alignment horizontal="center" vertical="center"/>
    </xf>
    <xf numFmtId="3" fontId="112" fillId="0" borderId="0" xfId="61242" applyNumberFormat="1" applyFont="1" applyFill="1"/>
    <xf numFmtId="0" fontId="98" fillId="0" borderId="1" xfId="18" applyFont="1" applyFill="1" applyBorder="1" applyAlignment="1">
      <alignment horizontal="left" vertical="center" wrapText="1"/>
    </xf>
    <xf numFmtId="49" fontId="95" fillId="0" borderId="1" xfId="18" applyNumberFormat="1" applyFont="1" applyFill="1" applyBorder="1" applyAlignment="1">
      <alignment horizontal="left" vertical="center" wrapText="1"/>
    </xf>
    <xf numFmtId="0" fontId="95" fillId="0" borderId="30" xfId="18" applyFont="1" applyFill="1" applyBorder="1" applyAlignment="1">
      <alignment horizontal="left" vertical="center" wrapText="1"/>
    </xf>
    <xf numFmtId="49" fontId="98" fillId="0" borderId="1" xfId="61242" applyNumberFormat="1" applyFont="1" applyFill="1" applyBorder="1" applyAlignment="1">
      <alignment horizontal="left" vertical="center" wrapText="1"/>
    </xf>
    <xf numFmtId="0" fontId="117" fillId="0" borderId="30" xfId="61242" applyFont="1" applyFill="1" applyBorder="1" applyAlignment="1">
      <alignment horizontal="left" vertical="center" wrapText="1"/>
    </xf>
    <xf numFmtId="49" fontId="98" fillId="0" borderId="29" xfId="18" applyNumberFormat="1" applyFont="1" applyFill="1" applyBorder="1" applyAlignment="1">
      <alignment horizontal="left" vertical="center"/>
    </xf>
    <xf numFmtId="0" fontId="98" fillId="0" borderId="32" xfId="18" applyFont="1" applyFill="1" applyBorder="1" applyAlignment="1">
      <alignment horizontal="left" vertical="center" wrapText="1"/>
    </xf>
    <xf numFmtId="0" fontId="98" fillId="0" borderId="29" xfId="18" applyFont="1" applyFill="1" applyBorder="1" applyAlignment="1">
      <alignment horizontal="left" vertical="center" wrapText="1"/>
    </xf>
    <xf numFmtId="0" fontId="117" fillId="0" borderId="32" xfId="18" applyFont="1" applyFill="1" applyBorder="1" applyAlignment="1">
      <alignment horizontal="left" vertical="center" wrapText="1"/>
    </xf>
    <xf numFmtId="3" fontId="112" fillId="0" borderId="1" xfId="61242" applyNumberFormat="1" applyFont="1" applyFill="1" applyBorder="1" applyAlignment="1">
      <alignment horizontal="center" vertical="center"/>
    </xf>
    <xf numFmtId="0" fontId="112" fillId="0" borderId="0" xfId="61243" applyFont="1" applyFill="1"/>
    <xf numFmtId="0" fontId="109" fillId="0" borderId="1" xfId="61243" applyFont="1" applyFill="1" applyBorder="1" applyAlignment="1">
      <alignment horizontal="center" vertical="center" wrapText="1"/>
    </xf>
    <xf numFmtId="0" fontId="112" fillId="0" borderId="1" xfId="61243" applyFont="1" applyFill="1" applyBorder="1" applyAlignment="1">
      <alignment horizontal="center" vertical="center" wrapText="1"/>
    </xf>
    <xf numFmtId="0" fontId="113" fillId="0" borderId="1" xfId="61243" applyFont="1" applyFill="1" applyBorder="1" applyAlignment="1">
      <alignment horizontal="center" vertical="center" wrapText="1"/>
    </xf>
    <xf numFmtId="0" fontId="114" fillId="0" borderId="0" xfId="61243" applyFont="1" applyFill="1"/>
    <xf numFmtId="3" fontId="96" fillId="0" borderId="1" xfId="13" applyNumberFormat="1" applyFont="1" applyFill="1" applyBorder="1" applyAlignment="1">
      <alignment horizontal="center" vertical="center"/>
    </xf>
    <xf numFmtId="3" fontId="115" fillId="0" borderId="1" xfId="61243" applyNumberFormat="1" applyFont="1" applyFill="1" applyBorder="1" applyAlignment="1">
      <alignment horizontal="center" vertical="center"/>
    </xf>
    <xf numFmtId="3" fontId="114" fillId="0" borderId="0" xfId="61243" applyNumberFormat="1" applyFont="1" applyFill="1"/>
    <xf numFmtId="0" fontId="114" fillId="0" borderId="1" xfId="61243" applyFont="1" applyFill="1" applyBorder="1"/>
    <xf numFmtId="0" fontId="112" fillId="0" borderId="1" xfId="61243" applyFont="1" applyFill="1" applyBorder="1" applyAlignment="1">
      <alignment horizontal="center" vertical="center"/>
    </xf>
    <xf numFmtId="49" fontId="98" fillId="0" borderId="1" xfId="60885" applyNumberFormat="1" applyFont="1" applyFill="1" applyBorder="1" applyAlignment="1">
      <alignment horizontal="left" vertical="center" wrapText="1"/>
    </xf>
    <xf numFmtId="0" fontId="117" fillId="0" borderId="30" xfId="60885" applyFont="1" applyFill="1" applyBorder="1" applyAlignment="1">
      <alignment horizontal="left" vertical="center" wrapText="1"/>
    </xf>
    <xf numFmtId="3" fontId="109" fillId="0" borderId="1" xfId="61243" applyNumberFormat="1" applyFont="1" applyFill="1" applyBorder="1" applyAlignment="1">
      <alignment horizontal="center" vertical="center"/>
    </xf>
    <xf numFmtId="3" fontId="112" fillId="0" borderId="0" xfId="61243" applyNumberFormat="1" applyFont="1" applyFill="1"/>
    <xf numFmtId="4" fontId="112" fillId="0" borderId="0" xfId="61243" applyNumberFormat="1" applyFont="1" applyFill="1"/>
    <xf numFmtId="0" fontId="98" fillId="0" borderId="1" xfId="60885" applyFont="1" applyFill="1" applyBorder="1" applyAlignment="1">
      <alignment horizontal="left" vertical="center" wrapText="1"/>
    </xf>
    <xf numFmtId="49" fontId="98" fillId="0" borderId="1" xfId="60885" applyNumberFormat="1" applyFont="1" applyFill="1" applyBorder="1" applyAlignment="1">
      <alignment horizontal="left" vertical="center"/>
    </xf>
    <xf numFmtId="0" fontId="98" fillId="0" borderId="30" xfId="60885" applyFont="1" applyFill="1" applyBorder="1" applyAlignment="1">
      <alignment horizontal="left" vertical="center" wrapText="1"/>
    </xf>
    <xf numFmtId="49" fontId="95" fillId="0" borderId="1" xfId="60885" applyNumberFormat="1" applyFont="1" applyFill="1" applyBorder="1" applyAlignment="1">
      <alignment horizontal="left" vertical="center" wrapText="1"/>
    </xf>
    <xf numFmtId="0" fontId="95" fillId="0" borderId="30" xfId="60885" applyFont="1" applyFill="1" applyBorder="1" applyAlignment="1">
      <alignment horizontal="left" vertical="center" wrapText="1"/>
    </xf>
    <xf numFmtId="49" fontId="98" fillId="0" borderId="1" xfId="61243" applyNumberFormat="1" applyFont="1" applyFill="1" applyBorder="1" applyAlignment="1">
      <alignment horizontal="left" vertical="center" wrapText="1"/>
    </xf>
    <xf numFmtId="0" fontId="117" fillId="0" borderId="30" xfId="61243" applyFont="1" applyFill="1" applyBorder="1" applyAlignment="1">
      <alignment horizontal="left" vertical="center" wrapText="1"/>
    </xf>
    <xf numFmtId="49" fontId="98" fillId="0" borderId="29" xfId="60885" applyNumberFormat="1" applyFont="1" applyFill="1" applyBorder="1" applyAlignment="1">
      <alignment horizontal="left" vertical="center"/>
    </xf>
    <xf numFmtId="0" fontId="98" fillId="0" borderId="32" xfId="60885" applyFont="1" applyFill="1" applyBorder="1" applyAlignment="1">
      <alignment horizontal="left" vertical="center" wrapText="1"/>
    </xf>
    <xf numFmtId="3" fontId="109" fillId="0" borderId="1" xfId="61243" applyNumberFormat="1" applyFont="1" applyFill="1" applyBorder="1" applyAlignment="1">
      <alignment horizontal="center"/>
    </xf>
    <xf numFmtId="0" fontId="98" fillId="0" borderId="29" xfId="60885" applyFont="1" applyFill="1" applyBorder="1" applyAlignment="1">
      <alignment horizontal="left" vertical="center" wrapText="1"/>
    </xf>
    <xf numFmtId="0" fontId="117" fillId="0" borderId="32" xfId="60885" applyFont="1" applyFill="1" applyBorder="1" applyAlignment="1">
      <alignment horizontal="left" vertical="center" wrapText="1"/>
    </xf>
    <xf numFmtId="49" fontId="112" fillId="0" borderId="1" xfId="13" applyNumberFormat="1" applyFont="1" applyFill="1" applyBorder="1" applyAlignment="1">
      <alignment horizontal="left" vertical="center"/>
    </xf>
    <xf numFmtId="0" fontId="112" fillId="0" borderId="30" xfId="13" applyFont="1" applyFill="1" applyBorder="1" applyAlignment="1">
      <alignment horizontal="left" vertical="center" wrapText="1"/>
    </xf>
    <xf numFmtId="0" fontId="112" fillId="0" borderId="0" xfId="61243" applyFont="1" applyFill="1" applyAlignment="1">
      <alignment horizontal="center"/>
    </xf>
    <xf numFmtId="3" fontId="109" fillId="0" borderId="37" xfId="61243" applyNumberFormat="1" applyFont="1" applyFill="1" applyBorder="1" applyAlignment="1">
      <alignment horizontal="center" vertical="center" wrapText="1"/>
    </xf>
    <xf numFmtId="3" fontId="112" fillId="0" borderId="1" xfId="61243" applyNumberFormat="1" applyFont="1" applyFill="1" applyBorder="1" applyAlignment="1">
      <alignment horizontal="center" vertical="center" wrapText="1"/>
    </xf>
    <xf numFmtId="3" fontId="109" fillId="0" borderId="1" xfId="61243" applyNumberFormat="1" applyFont="1" applyFill="1" applyBorder="1" applyAlignment="1">
      <alignment horizontal="center" vertical="center" wrapText="1"/>
    </xf>
    <xf numFmtId="3" fontId="113" fillId="0" borderId="1" xfId="61243" applyNumberFormat="1" applyFont="1" applyFill="1" applyBorder="1" applyAlignment="1">
      <alignment horizontal="center" vertical="center" wrapText="1"/>
    </xf>
    <xf numFmtId="3" fontId="112" fillId="0" borderId="1" xfId="61243" applyNumberFormat="1" applyFont="1" applyFill="1" applyBorder="1" applyAlignment="1">
      <alignment horizontal="center" vertical="center"/>
    </xf>
    <xf numFmtId="3" fontId="98" fillId="0" borderId="1" xfId="60885" applyNumberFormat="1" applyFont="1" applyFill="1" applyBorder="1" applyAlignment="1">
      <alignment horizontal="left" vertical="center" wrapText="1"/>
    </xf>
    <xf numFmtId="3" fontId="117" fillId="0" borderId="30" xfId="60885" applyNumberFormat="1" applyFont="1" applyFill="1" applyBorder="1" applyAlignment="1">
      <alignment horizontal="left" vertical="center" wrapText="1"/>
    </xf>
    <xf numFmtId="3" fontId="98" fillId="0" borderId="1" xfId="60885" applyNumberFormat="1" applyFont="1" applyFill="1" applyBorder="1" applyAlignment="1">
      <alignment horizontal="left" vertical="center"/>
    </xf>
    <xf numFmtId="3" fontId="98" fillId="0" borderId="30" xfId="60885" applyNumberFormat="1" applyFont="1" applyFill="1" applyBorder="1" applyAlignment="1">
      <alignment horizontal="left" vertical="center" wrapText="1"/>
    </xf>
    <xf numFmtId="3" fontId="95" fillId="0" borderId="1" xfId="60885" applyNumberFormat="1" applyFont="1" applyFill="1" applyBorder="1" applyAlignment="1">
      <alignment horizontal="left" vertical="center" wrapText="1"/>
    </xf>
    <xf numFmtId="3" fontId="95" fillId="0" borderId="30" xfId="60885" applyNumberFormat="1" applyFont="1" applyFill="1" applyBorder="1" applyAlignment="1">
      <alignment horizontal="left" vertical="center" wrapText="1"/>
    </xf>
    <xf numFmtId="3" fontId="98" fillId="0" borderId="1" xfId="61243" applyNumberFormat="1" applyFont="1" applyFill="1" applyBorder="1" applyAlignment="1">
      <alignment horizontal="left" vertical="center" wrapText="1"/>
    </xf>
    <xf numFmtId="3" fontId="117" fillId="0" borderId="30" xfId="61243" applyNumberFormat="1" applyFont="1" applyFill="1" applyBorder="1" applyAlignment="1">
      <alignment horizontal="left" vertical="center" wrapText="1"/>
    </xf>
    <xf numFmtId="3" fontId="98" fillId="0" borderId="29" xfId="60885" applyNumberFormat="1" applyFont="1" applyFill="1" applyBorder="1" applyAlignment="1">
      <alignment horizontal="left" vertical="center"/>
    </xf>
    <xf numFmtId="3" fontId="98" fillId="0" borderId="32" xfId="60885" applyNumberFormat="1" applyFont="1" applyFill="1" applyBorder="1" applyAlignment="1">
      <alignment horizontal="left" vertical="center" wrapText="1"/>
    </xf>
    <xf numFmtId="3" fontId="98" fillId="0" borderId="29" xfId="60885" applyNumberFormat="1" applyFont="1" applyFill="1" applyBorder="1" applyAlignment="1">
      <alignment horizontal="left" vertical="center" wrapText="1"/>
    </xf>
    <xf numFmtId="3" fontId="117" fillId="0" borderId="32" xfId="60885" applyNumberFormat="1" applyFont="1" applyFill="1" applyBorder="1" applyAlignment="1">
      <alignment horizontal="left" vertical="center" wrapText="1"/>
    </xf>
    <xf numFmtId="3" fontId="112" fillId="0" borderId="1" xfId="61243" applyNumberFormat="1" applyFont="1" applyFill="1" applyBorder="1" applyAlignment="1">
      <alignment horizontal="center"/>
    </xf>
    <xf numFmtId="3" fontId="123" fillId="0" borderId="1" xfId="61243" applyNumberFormat="1" applyFont="1" applyFill="1" applyBorder="1"/>
    <xf numFmtId="3" fontId="112" fillId="0" borderId="1" xfId="61243" applyNumberFormat="1" applyFont="1" applyFill="1" applyBorder="1"/>
    <xf numFmtId="3" fontId="123" fillId="0" borderId="30" xfId="61243" applyNumberFormat="1" applyFont="1" applyFill="1" applyBorder="1" applyAlignment="1"/>
    <xf numFmtId="3" fontId="112" fillId="0" borderId="31" xfId="61243" applyNumberFormat="1" applyFont="1" applyFill="1" applyBorder="1" applyAlignment="1"/>
    <xf numFmtId="0" fontId="95" fillId="74" borderId="0" xfId="61245" applyFont="1" applyFill="1" applyAlignment="1">
      <alignment vertical="center"/>
    </xf>
    <xf numFmtId="0" fontId="95" fillId="74" borderId="1" xfId="61245" applyFont="1" applyFill="1" applyBorder="1" applyAlignment="1">
      <alignment horizontal="center" vertical="center" wrapText="1"/>
    </xf>
    <xf numFmtId="3" fontId="95" fillId="74" borderId="1" xfId="61245" applyNumberFormat="1" applyFont="1" applyFill="1" applyBorder="1" applyAlignment="1">
      <alignment horizontal="center" vertical="center"/>
    </xf>
    <xf numFmtId="3" fontId="95" fillId="74" borderId="1" xfId="61245" applyNumberFormat="1" applyFont="1" applyFill="1" applyBorder="1" applyAlignment="1">
      <alignment horizontal="center" vertical="center" wrapText="1"/>
    </xf>
    <xf numFmtId="49" fontId="95" fillId="74" borderId="3" xfId="61245" applyNumberFormat="1" applyFont="1" applyFill="1" applyBorder="1" applyAlignment="1">
      <alignment horizontal="center" vertical="center" wrapText="1"/>
    </xf>
    <xf numFmtId="0" fontId="97" fillId="74" borderId="1" xfId="61245" applyFont="1" applyFill="1" applyBorder="1" applyAlignment="1">
      <alignment vertical="center"/>
    </xf>
    <xf numFmtId="3" fontId="97" fillId="74" borderId="1" xfId="61245" applyNumberFormat="1" applyFont="1" applyFill="1" applyBorder="1" applyAlignment="1">
      <alignment horizontal="center" vertical="center" wrapText="1"/>
    </xf>
    <xf numFmtId="3" fontId="97" fillId="74" borderId="1" xfId="61245" applyNumberFormat="1" applyFont="1" applyFill="1" applyBorder="1" applyAlignment="1">
      <alignment horizontal="center" vertical="center"/>
    </xf>
    <xf numFmtId="4" fontId="96" fillId="74" borderId="39" xfId="61245" applyNumberFormat="1" applyFont="1" applyFill="1" applyBorder="1" applyAlignment="1">
      <alignment vertical="center" wrapText="1"/>
    </xf>
    <xf numFmtId="3" fontId="95" fillId="74" borderId="1" xfId="61246" applyNumberFormat="1" applyFont="1" applyFill="1" applyBorder="1" applyAlignment="1">
      <alignment horizontal="center" vertical="center" wrapText="1"/>
    </xf>
    <xf numFmtId="0" fontId="95" fillId="74" borderId="1" xfId="61245" applyFont="1" applyFill="1" applyBorder="1" applyAlignment="1">
      <alignment horizontal="center" vertical="center"/>
    </xf>
    <xf numFmtId="49" fontId="37" fillId="74" borderId="1" xfId="58756" applyNumberFormat="1" applyFont="1" applyFill="1" applyBorder="1" applyAlignment="1">
      <alignment horizontal="center" vertical="center"/>
    </xf>
    <xf numFmtId="0" fontId="37" fillId="74" borderId="1" xfId="58756" applyFont="1" applyFill="1" applyBorder="1" applyAlignment="1">
      <alignment horizontal="left" vertical="center" wrapText="1"/>
    </xf>
    <xf numFmtId="49" fontId="37" fillId="74" borderId="1" xfId="58756" applyNumberFormat="1" applyFont="1" applyFill="1" applyBorder="1" applyAlignment="1">
      <alignment horizontal="center" vertical="center" wrapText="1"/>
    </xf>
    <xf numFmtId="0" fontId="37" fillId="74" borderId="1" xfId="58756" applyFont="1" applyFill="1" applyBorder="1" applyAlignment="1">
      <alignment horizontal="center" vertical="center" wrapText="1"/>
    </xf>
    <xf numFmtId="49" fontId="37" fillId="74" borderId="1" xfId="58524" applyNumberFormat="1" applyFont="1" applyFill="1" applyBorder="1" applyAlignment="1">
      <alignment horizontal="center" vertical="center"/>
    </xf>
    <xf numFmtId="0" fontId="37" fillId="74" borderId="1" xfId="58524" applyFont="1" applyFill="1" applyBorder="1" applyAlignment="1">
      <alignment horizontal="left" vertical="center" wrapText="1"/>
    </xf>
    <xf numFmtId="49" fontId="37" fillId="74" borderId="1" xfId="18" applyNumberFormat="1" applyFont="1" applyFill="1" applyBorder="1" applyAlignment="1">
      <alignment horizontal="center" vertical="center"/>
    </xf>
    <xf numFmtId="0" fontId="95" fillId="74" borderId="0" xfId="61245" applyFont="1" applyFill="1" applyAlignment="1">
      <alignment horizontal="center" vertical="center"/>
    </xf>
    <xf numFmtId="49" fontId="95" fillId="74" borderId="0" xfId="61245" applyNumberFormat="1" applyFont="1" applyFill="1" applyAlignment="1">
      <alignment horizontal="center" vertical="center"/>
    </xf>
    <xf numFmtId="3" fontId="95" fillId="74" borderId="0" xfId="61245" applyNumberFormat="1" applyFont="1" applyFill="1" applyAlignment="1">
      <alignment horizontal="center" vertical="center"/>
    </xf>
    <xf numFmtId="3" fontId="95" fillId="74" borderId="0" xfId="61245" applyNumberFormat="1" applyFont="1" applyFill="1" applyAlignment="1">
      <alignment vertical="center"/>
    </xf>
    <xf numFmtId="0" fontId="127" fillId="74" borderId="0" xfId="58718" applyFont="1" applyFill="1" applyAlignment="1">
      <alignment horizontal="center" vertical="center"/>
    </xf>
    <xf numFmtId="0" fontId="127" fillId="74" borderId="0" xfId="58718" applyFont="1" applyFill="1" applyBorder="1" applyAlignment="1">
      <alignment horizontal="left" vertical="center"/>
    </xf>
    <xf numFmtId="0" fontId="128" fillId="74" borderId="0" xfId="58718" applyFont="1" applyFill="1" applyBorder="1" applyAlignment="1">
      <alignment horizontal="center" vertical="center"/>
    </xf>
    <xf numFmtId="0" fontId="85" fillId="74" borderId="0" xfId="58718" applyFont="1" applyFill="1" applyAlignment="1">
      <alignment horizontal="center" vertical="center"/>
    </xf>
    <xf numFmtId="0" fontId="127" fillId="74" borderId="40" xfId="58718" applyFont="1" applyFill="1" applyBorder="1" applyAlignment="1">
      <alignment vertical="center"/>
    </xf>
    <xf numFmtId="0" fontId="129" fillId="74" borderId="0" xfId="58718" applyFont="1" applyFill="1" applyAlignment="1">
      <alignment horizontal="center" vertical="center"/>
    </xf>
    <xf numFmtId="0" fontId="132" fillId="74" borderId="1" xfId="58718" applyFont="1" applyFill="1" applyBorder="1" applyAlignment="1">
      <alignment horizontal="center" vertical="center" wrapText="1"/>
    </xf>
    <xf numFmtId="0" fontId="135" fillId="74" borderId="1" xfId="58718" applyFont="1" applyFill="1" applyBorder="1" applyAlignment="1">
      <alignment horizontal="center" vertical="center" wrapText="1"/>
    </xf>
    <xf numFmtId="0" fontId="129" fillId="74" borderId="1" xfId="58718" applyFont="1" applyFill="1" applyBorder="1" applyAlignment="1">
      <alignment horizontal="center" vertical="center" wrapText="1"/>
    </xf>
    <xf numFmtId="3" fontId="129" fillId="74" borderId="51" xfId="58718" applyNumberFormat="1" applyFont="1" applyFill="1" applyBorder="1" applyAlignment="1">
      <alignment horizontal="center" vertical="center" wrapText="1"/>
    </xf>
    <xf numFmtId="3" fontId="129" fillId="74" borderId="27" xfId="58718" applyNumberFormat="1" applyFont="1" applyFill="1" applyBorder="1" applyAlignment="1">
      <alignment horizontal="center" vertical="center" wrapText="1"/>
    </xf>
    <xf numFmtId="3" fontId="130" fillId="74" borderId="1" xfId="58718" applyNumberFormat="1" applyFont="1" applyFill="1" applyBorder="1" applyAlignment="1">
      <alignment vertical="center"/>
    </xf>
    <xf numFmtId="3" fontId="98" fillId="74" borderId="51" xfId="58718" applyNumberFormat="1" applyFont="1" applyFill="1" applyBorder="1" applyAlignment="1">
      <alignment horizontal="center" vertical="center" wrapText="1"/>
    </xf>
    <xf numFmtId="3" fontId="129" fillId="74" borderId="3" xfId="58718" applyNumberFormat="1" applyFont="1" applyFill="1" applyBorder="1" applyAlignment="1">
      <alignment horizontal="center" vertical="center" wrapText="1"/>
    </xf>
    <xf numFmtId="3" fontId="135" fillId="74" borderId="1" xfId="58718" applyNumberFormat="1" applyFont="1" applyFill="1" applyBorder="1" applyAlignment="1">
      <alignment horizontal="center" vertical="center" wrapText="1"/>
    </xf>
    <xf numFmtId="3" fontId="129" fillId="74" borderId="1" xfId="58718" applyNumberFormat="1" applyFont="1" applyFill="1" applyBorder="1" applyAlignment="1">
      <alignment horizontal="center" vertical="center" wrapText="1"/>
    </xf>
    <xf numFmtId="3" fontId="131" fillId="74" borderId="52" xfId="58718" applyNumberFormat="1" applyFont="1" applyFill="1" applyBorder="1" applyAlignment="1">
      <alignment horizontal="center" vertical="center"/>
    </xf>
    <xf numFmtId="3" fontId="112" fillId="74" borderId="51" xfId="58718" applyNumberFormat="1" applyFont="1" applyFill="1" applyBorder="1" applyAlignment="1">
      <alignment horizontal="center" vertical="center" wrapText="1"/>
    </xf>
    <xf numFmtId="3" fontId="112" fillId="74" borderId="3" xfId="58718" applyNumberFormat="1" applyFont="1" applyFill="1" applyBorder="1" applyAlignment="1">
      <alignment horizontal="center" vertical="center" wrapText="1"/>
    </xf>
    <xf numFmtId="3" fontId="131" fillId="74" borderId="52" xfId="58718" applyNumberFormat="1" applyFont="1" applyFill="1" applyBorder="1" applyAlignment="1">
      <alignment horizontal="center" vertical="center" wrapText="1"/>
    </xf>
    <xf numFmtId="3" fontId="133" fillId="74" borderId="51" xfId="58718" applyNumberFormat="1" applyFont="1" applyFill="1" applyBorder="1" applyAlignment="1">
      <alignment horizontal="center" vertical="center" wrapText="1"/>
    </xf>
    <xf numFmtId="3" fontId="133" fillId="74" borderId="3" xfId="58718" applyNumberFormat="1" applyFont="1" applyFill="1" applyBorder="1" applyAlignment="1">
      <alignment horizontal="center" vertical="center" wrapText="1"/>
    </xf>
    <xf numFmtId="3" fontId="129" fillId="74" borderId="0" xfId="58718" applyNumberFormat="1" applyFont="1" applyFill="1" applyAlignment="1">
      <alignment horizontal="center" vertical="center"/>
    </xf>
    <xf numFmtId="3" fontId="123" fillId="74" borderId="39" xfId="58718" applyNumberFormat="1" applyFont="1" applyFill="1" applyBorder="1" applyAlignment="1">
      <alignment vertical="center" wrapText="1"/>
    </xf>
    <xf numFmtId="3" fontId="133" fillId="74" borderId="53" xfId="58718" applyNumberFormat="1" applyFont="1" applyFill="1" applyBorder="1" applyAlignment="1">
      <alignment horizontal="center" vertical="center" wrapText="1"/>
    </xf>
    <xf numFmtId="0" fontId="129" fillId="74" borderId="51" xfId="58718" applyFont="1" applyFill="1" applyBorder="1" applyAlignment="1">
      <alignment horizontal="center" vertical="center"/>
    </xf>
    <xf numFmtId="0" fontId="129" fillId="74" borderId="27" xfId="58718" applyFont="1" applyFill="1" applyBorder="1" applyAlignment="1">
      <alignment horizontal="left" vertical="center" wrapText="1"/>
    </xf>
    <xf numFmtId="0" fontId="129" fillId="74" borderId="1" xfId="58718" applyFont="1" applyFill="1" applyBorder="1" applyAlignment="1">
      <alignment horizontal="left" vertical="center" wrapText="1"/>
    </xf>
    <xf numFmtId="3" fontId="136" fillId="74" borderId="1" xfId="58718" applyNumberFormat="1" applyFont="1" applyFill="1" applyBorder="1" applyAlignment="1">
      <alignment horizontal="center" vertical="center"/>
    </xf>
    <xf numFmtId="3" fontId="129" fillId="74" borderId="52" xfId="58718" applyNumberFormat="1" applyFont="1" applyFill="1" applyBorder="1" applyAlignment="1">
      <alignment horizontal="center" vertical="center"/>
    </xf>
    <xf numFmtId="3" fontId="98" fillId="74" borderId="3" xfId="58718" applyNumberFormat="1" applyFont="1" applyFill="1" applyBorder="1" applyAlignment="1">
      <alignment horizontal="center" vertical="center" wrapText="1"/>
    </xf>
    <xf numFmtId="3" fontId="129" fillId="74" borderId="52" xfId="58718" applyNumberFormat="1" applyFont="1" applyFill="1" applyBorder="1" applyAlignment="1">
      <alignment horizontal="center" vertical="center" wrapText="1"/>
    </xf>
    <xf numFmtId="3" fontId="129" fillId="74" borderId="28" xfId="58718" applyNumberFormat="1" applyFont="1" applyFill="1" applyBorder="1" applyAlignment="1">
      <alignment horizontal="center" vertical="center" wrapText="1"/>
    </xf>
    <xf numFmtId="49" fontId="129" fillId="74" borderId="27" xfId="58718" applyNumberFormat="1" applyFont="1" applyFill="1" applyBorder="1" applyAlignment="1">
      <alignment horizontal="left" vertical="center" wrapText="1"/>
    </xf>
    <xf numFmtId="0" fontId="127" fillId="74" borderId="0" xfId="58718" applyFont="1" applyFill="1" applyBorder="1" applyAlignment="1">
      <alignment horizontal="center" vertical="center"/>
    </xf>
    <xf numFmtId="0" fontId="85" fillId="74" borderId="0" xfId="58718" applyFont="1" applyFill="1" applyBorder="1" applyAlignment="1">
      <alignment horizontal="center" vertical="center"/>
    </xf>
    <xf numFmtId="0" fontId="127" fillId="74" borderId="1" xfId="58718" applyFont="1" applyFill="1" applyBorder="1" applyAlignment="1">
      <alignment horizontal="center" vertical="center"/>
    </xf>
    <xf numFmtId="0" fontId="127" fillId="74" borderId="1" xfId="58718" applyFont="1" applyFill="1" applyBorder="1" applyAlignment="1">
      <alignment horizontal="left" vertical="center"/>
    </xf>
    <xf numFmtId="0" fontId="107" fillId="74" borderId="0" xfId="61246" applyFont="1" applyFill="1" applyAlignment="1">
      <alignment vertical="center"/>
    </xf>
    <xf numFmtId="0" fontId="107" fillId="74" borderId="0" xfId="61246" applyFont="1" applyFill="1" applyAlignment="1">
      <alignment horizontal="center" vertical="center"/>
    </xf>
    <xf numFmtId="3" fontId="107" fillId="74" borderId="0" xfId="61246" applyNumberFormat="1" applyFont="1" applyFill="1" applyAlignment="1">
      <alignment horizontal="center" vertical="center"/>
    </xf>
    <xf numFmtId="3" fontId="107" fillId="74" borderId="48" xfId="61246" applyNumberFormat="1" applyFont="1" applyFill="1" applyBorder="1" applyAlignment="1">
      <alignment horizontal="center" vertical="center" wrapText="1" shrinkToFit="1"/>
    </xf>
    <xf numFmtId="3" fontId="107" fillId="74" borderId="38" xfId="61246" applyNumberFormat="1" applyFont="1" applyFill="1" applyBorder="1" applyAlignment="1">
      <alignment horizontal="center" vertical="center" wrapText="1" shrinkToFit="1"/>
    </xf>
    <xf numFmtId="3" fontId="107" fillId="74" borderId="65" xfId="61246" applyNumberFormat="1" applyFont="1" applyFill="1" applyBorder="1" applyAlignment="1">
      <alignment horizontal="center" vertical="center" wrapText="1"/>
    </xf>
    <xf numFmtId="3" fontId="139" fillId="74" borderId="53" xfId="61245" applyNumberFormat="1" applyFont="1" applyFill="1" applyBorder="1" applyAlignment="1">
      <alignment horizontal="center" vertical="center" wrapText="1"/>
    </xf>
    <xf numFmtId="0" fontId="107" fillId="74" borderId="1" xfId="61246" applyFont="1" applyFill="1" applyBorder="1" applyAlignment="1">
      <alignment horizontal="center" vertical="center" wrapText="1"/>
    </xf>
    <xf numFmtId="3" fontId="119" fillId="74" borderId="53" xfId="61246" applyNumberFormat="1" applyFont="1" applyFill="1" applyBorder="1" applyAlignment="1">
      <alignment vertical="center"/>
    </xf>
    <xf numFmtId="3" fontId="119" fillId="74" borderId="58" xfId="61246" applyNumberFormat="1" applyFont="1" applyFill="1" applyBorder="1" applyAlignment="1">
      <alignment horizontal="center" vertical="center" wrapText="1" shrinkToFit="1"/>
    </xf>
    <xf numFmtId="3" fontId="119" fillId="74" borderId="1" xfId="61246" applyNumberFormat="1" applyFont="1" applyFill="1" applyBorder="1" applyAlignment="1">
      <alignment horizontal="center" vertical="center" wrapText="1" shrinkToFit="1"/>
    </xf>
    <xf numFmtId="0" fontId="119" fillId="74" borderId="1" xfId="61246" applyFont="1" applyFill="1" applyBorder="1" applyAlignment="1">
      <alignment horizontal="center" vertical="center" wrapText="1"/>
    </xf>
    <xf numFmtId="3" fontId="119" fillId="74" borderId="57" xfId="61246" applyNumberFormat="1" applyFont="1" applyFill="1" applyBorder="1" applyAlignment="1">
      <alignment horizontal="center" vertical="center" wrapText="1"/>
    </xf>
    <xf numFmtId="3" fontId="119" fillId="74" borderId="62" xfId="61246" applyNumberFormat="1" applyFont="1" applyFill="1" applyBorder="1" applyAlignment="1">
      <alignment horizontal="center" vertical="center"/>
    </xf>
    <xf numFmtId="3" fontId="119" fillId="74" borderId="65" xfId="61246" applyNumberFormat="1" applyFont="1" applyFill="1" applyBorder="1" applyAlignment="1">
      <alignment horizontal="center" vertical="center"/>
    </xf>
    <xf numFmtId="3" fontId="119" fillId="74" borderId="53" xfId="61246" applyNumberFormat="1" applyFont="1" applyFill="1" applyBorder="1" applyAlignment="1">
      <alignment horizontal="center" vertical="center"/>
    </xf>
    <xf numFmtId="3" fontId="119" fillId="74" borderId="58" xfId="61246" applyNumberFormat="1" applyFont="1" applyFill="1" applyBorder="1" applyAlignment="1">
      <alignment horizontal="center" vertical="center" wrapText="1"/>
    </xf>
    <xf numFmtId="3" fontId="119" fillId="74" borderId="1" xfId="61246" applyNumberFormat="1" applyFont="1" applyFill="1" applyBorder="1" applyAlignment="1">
      <alignment horizontal="center" vertical="center" wrapText="1"/>
    </xf>
    <xf numFmtId="3" fontId="119" fillId="74" borderId="53" xfId="61246" applyNumberFormat="1" applyFont="1" applyFill="1" applyBorder="1" applyAlignment="1">
      <alignment horizontal="center" vertical="center" wrapText="1"/>
    </xf>
    <xf numFmtId="3" fontId="119" fillId="74" borderId="70" xfId="61246" applyNumberFormat="1" applyFont="1" applyFill="1" applyBorder="1" applyAlignment="1">
      <alignment horizontal="center" vertical="center" wrapText="1"/>
    </xf>
    <xf numFmtId="3" fontId="140" fillId="74" borderId="53" xfId="61246" applyNumberFormat="1" applyFont="1" applyFill="1" applyBorder="1" applyAlignment="1">
      <alignment vertical="center" wrapText="1"/>
    </xf>
    <xf numFmtId="3" fontId="119" fillId="74" borderId="53" xfId="61246" applyNumberFormat="1" applyFont="1" applyFill="1" applyBorder="1" applyAlignment="1">
      <alignment vertical="center" wrapText="1"/>
    </xf>
    <xf numFmtId="0" fontId="107" fillId="74" borderId="3" xfId="61246" applyFont="1" applyFill="1" applyBorder="1" applyAlignment="1">
      <alignment horizontal="center" vertical="center" wrapText="1"/>
    </xf>
    <xf numFmtId="0" fontId="107" fillId="74" borderId="3" xfId="61246" applyFont="1" applyFill="1" applyBorder="1" applyAlignment="1">
      <alignment horizontal="left" vertical="center" wrapText="1"/>
    </xf>
    <xf numFmtId="0" fontId="107" fillId="74" borderId="52" xfId="61246" applyFont="1" applyFill="1" applyBorder="1" applyAlignment="1">
      <alignment horizontal="left" vertical="center" wrapText="1"/>
    </xf>
    <xf numFmtId="3" fontId="107" fillId="74" borderId="27" xfId="61246" applyNumberFormat="1" applyFont="1" applyFill="1" applyBorder="1" applyAlignment="1">
      <alignment horizontal="center" vertical="center" wrapText="1" shrinkToFit="1"/>
    </xf>
    <xf numFmtId="3" fontId="107" fillId="74" borderId="3" xfId="61246" applyNumberFormat="1" applyFont="1" applyFill="1" applyBorder="1" applyAlignment="1">
      <alignment horizontal="center" vertical="center" wrapText="1" shrinkToFit="1"/>
    </xf>
    <xf numFmtId="3" fontId="107" fillId="74" borderId="28" xfId="61246" applyNumberFormat="1" applyFont="1" applyFill="1" applyBorder="1" applyAlignment="1">
      <alignment horizontal="center" vertical="center" wrapText="1"/>
    </xf>
    <xf numFmtId="3" fontId="107" fillId="74" borderId="71" xfId="61246" applyNumberFormat="1" applyFont="1" applyFill="1" applyBorder="1" applyAlignment="1">
      <alignment horizontal="center" vertical="center"/>
    </xf>
    <xf numFmtId="3" fontId="107" fillId="74" borderId="65" xfId="61246" applyNumberFormat="1" applyFont="1" applyFill="1" applyBorder="1" applyAlignment="1">
      <alignment horizontal="center" vertical="center"/>
    </xf>
    <xf numFmtId="3" fontId="107" fillId="74" borderId="53" xfId="61246" applyNumberFormat="1" applyFont="1" applyFill="1" applyBorder="1" applyAlignment="1">
      <alignment horizontal="center" vertical="center"/>
    </xf>
    <xf numFmtId="3" fontId="107" fillId="74" borderId="72" xfId="61246" applyNumberFormat="1" applyFont="1" applyFill="1" applyBorder="1" applyAlignment="1">
      <alignment horizontal="center" vertical="center" wrapText="1"/>
    </xf>
    <xf numFmtId="0" fontId="107" fillId="74" borderId="1" xfId="61246" applyFont="1" applyFill="1" applyBorder="1" applyAlignment="1">
      <alignment horizontal="left" vertical="center" wrapText="1"/>
    </xf>
    <xf numFmtId="0" fontId="107" fillId="74" borderId="53" xfId="61246" applyFont="1" applyFill="1" applyBorder="1" applyAlignment="1">
      <alignment horizontal="left" vertical="center" wrapText="1"/>
    </xf>
    <xf numFmtId="3" fontId="107" fillId="74" borderId="58" xfId="61246" applyNumberFormat="1" applyFont="1" applyFill="1" applyBorder="1" applyAlignment="1">
      <alignment horizontal="center" vertical="center" wrapText="1" shrinkToFit="1"/>
    </xf>
    <xf numFmtId="3" fontId="107" fillId="74" borderId="1" xfId="61246" applyNumberFormat="1" applyFont="1" applyFill="1" applyBorder="1" applyAlignment="1">
      <alignment horizontal="center" vertical="center" wrapText="1" shrinkToFit="1"/>
    </xf>
    <xf numFmtId="3" fontId="107" fillId="74" borderId="57" xfId="61246" applyNumberFormat="1" applyFont="1" applyFill="1" applyBorder="1" applyAlignment="1">
      <alignment horizontal="center" vertical="center" wrapText="1"/>
    </xf>
    <xf numFmtId="3" fontId="107" fillId="74" borderId="62" xfId="61246" applyNumberFormat="1" applyFont="1" applyFill="1" applyBorder="1" applyAlignment="1">
      <alignment horizontal="center" vertical="center"/>
    </xf>
    <xf numFmtId="3" fontId="107" fillId="74" borderId="1" xfId="61246" applyNumberFormat="1" applyFont="1" applyFill="1" applyBorder="1" applyAlignment="1">
      <alignment horizontal="center" vertical="center" wrapText="1"/>
    </xf>
    <xf numFmtId="3" fontId="107" fillId="74" borderId="58" xfId="61246" applyNumberFormat="1" applyFont="1" applyFill="1" applyBorder="1" applyAlignment="1">
      <alignment horizontal="center" vertical="center" wrapText="1"/>
    </xf>
    <xf numFmtId="0" fontId="107" fillId="74" borderId="55" xfId="61246" applyFont="1" applyFill="1" applyBorder="1" applyAlignment="1">
      <alignment horizontal="center" vertical="center" wrapText="1"/>
    </xf>
    <xf numFmtId="0" fontId="107" fillId="74" borderId="55" xfId="61246" applyFont="1" applyFill="1" applyBorder="1" applyAlignment="1">
      <alignment horizontal="left" vertical="center" wrapText="1"/>
    </xf>
    <xf numFmtId="0" fontId="107" fillId="74" borderId="56" xfId="61246" applyFont="1" applyFill="1" applyBorder="1" applyAlignment="1">
      <alignment horizontal="left" vertical="center" wrapText="1"/>
    </xf>
    <xf numFmtId="3" fontId="107" fillId="74" borderId="73" xfId="61246" applyNumberFormat="1" applyFont="1" applyFill="1" applyBorder="1" applyAlignment="1">
      <alignment horizontal="center" vertical="center"/>
    </xf>
    <xf numFmtId="3" fontId="107" fillId="74" borderId="54" xfId="61246" applyNumberFormat="1" applyFont="1" applyFill="1" applyBorder="1" applyAlignment="1">
      <alignment horizontal="center" vertical="center"/>
    </xf>
    <xf numFmtId="3" fontId="107" fillId="74" borderId="56" xfId="61246" applyNumberFormat="1" applyFont="1" applyFill="1" applyBorder="1" applyAlignment="1">
      <alignment horizontal="center" vertical="center"/>
    </xf>
    <xf numFmtId="3" fontId="107" fillId="74" borderId="74" xfId="61246" applyNumberFormat="1" applyFont="1" applyFill="1" applyBorder="1" applyAlignment="1">
      <alignment horizontal="center" vertical="center" wrapText="1"/>
    </xf>
    <xf numFmtId="3" fontId="107" fillId="74" borderId="27" xfId="61246" applyNumberFormat="1" applyFont="1" applyFill="1" applyBorder="1" applyAlignment="1">
      <alignment horizontal="center" vertical="center" wrapText="1"/>
    </xf>
    <xf numFmtId="3" fontId="107" fillId="74" borderId="3" xfId="61246" applyNumberFormat="1" applyFont="1" applyFill="1" applyBorder="1" applyAlignment="1">
      <alignment horizontal="center" vertical="center" wrapText="1"/>
    </xf>
    <xf numFmtId="0" fontId="142" fillId="74" borderId="0" xfId="61247" applyFont="1" applyFill="1"/>
    <xf numFmtId="3" fontId="112" fillId="74" borderId="0" xfId="61247" applyNumberFormat="1" applyFont="1" applyFill="1" applyAlignment="1" applyProtection="1">
      <alignment horizontal="center" vertical="center"/>
      <protection locked="0"/>
    </xf>
    <xf numFmtId="3" fontId="112" fillId="74" borderId="0" xfId="61247" applyNumberFormat="1" applyFont="1" applyFill="1" applyAlignment="1" applyProtection="1">
      <alignment horizontal="left" vertical="center"/>
      <protection locked="0"/>
    </xf>
    <xf numFmtId="0" fontId="3" fillId="74" borderId="0" xfId="61247" applyFill="1"/>
    <xf numFmtId="0" fontId="143" fillId="74" borderId="0" xfId="61247" applyFont="1" applyFill="1"/>
    <xf numFmtId="3" fontId="107" fillId="74" borderId="1" xfId="61247" applyNumberFormat="1" applyFont="1" applyFill="1" applyBorder="1" applyAlignment="1" applyProtection="1">
      <alignment horizontal="center" vertical="center" wrapText="1"/>
      <protection locked="0"/>
    </xf>
    <xf numFmtId="3" fontId="107" fillId="74" borderId="1" xfId="61248" applyNumberFormat="1" applyFont="1" applyFill="1" applyBorder="1" applyAlignment="1" applyProtection="1">
      <alignment horizontal="center" vertical="center" wrapText="1"/>
      <protection locked="0"/>
    </xf>
    <xf numFmtId="3" fontId="112" fillId="74" borderId="1" xfId="61247" applyNumberFormat="1" applyFont="1" applyFill="1" applyBorder="1" applyAlignment="1" applyProtection="1">
      <alignment horizontal="center" vertical="center"/>
      <protection locked="0"/>
    </xf>
    <xf numFmtId="3" fontId="112" fillId="74" borderId="58" xfId="61247" applyNumberFormat="1" applyFont="1" applyFill="1" applyBorder="1" applyAlignment="1" applyProtection="1">
      <alignment horizontal="left" vertical="center" wrapText="1"/>
      <protection locked="0"/>
    </xf>
    <xf numFmtId="49" fontId="112" fillId="74" borderId="1" xfId="6" applyNumberFormat="1" applyFont="1" applyFill="1" applyBorder="1" applyAlignment="1">
      <alignment horizontal="center" vertical="center" wrapText="1"/>
    </xf>
    <xf numFmtId="0" fontId="118" fillId="74" borderId="1" xfId="6" applyFont="1" applyFill="1" applyBorder="1" applyAlignment="1">
      <alignment horizontal="left" vertical="center" wrapText="1"/>
    </xf>
    <xf numFmtId="3" fontId="112" fillId="74" borderId="1" xfId="6" applyNumberFormat="1" applyFont="1" applyFill="1" applyBorder="1" applyAlignment="1" applyProtection="1">
      <alignment horizontal="center" vertical="center"/>
      <protection locked="0"/>
    </xf>
    <xf numFmtId="49" fontId="112" fillId="74" borderId="1" xfId="6" applyNumberFormat="1" applyFont="1" applyFill="1" applyBorder="1" applyAlignment="1">
      <alignment horizontal="center" vertical="center"/>
    </xf>
    <xf numFmtId="0" fontId="112" fillId="74" borderId="1" xfId="6" applyFont="1" applyFill="1" applyBorder="1" applyAlignment="1">
      <alignment horizontal="left" vertical="center" wrapText="1"/>
    </xf>
    <xf numFmtId="0" fontId="112" fillId="74" borderId="1" xfId="6" applyFont="1" applyFill="1" applyBorder="1" applyAlignment="1">
      <alignment horizontal="center" vertical="center" wrapText="1"/>
    </xf>
    <xf numFmtId="0" fontId="37" fillId="74" borderId="1" xfId="6" applyFont="1" applyFill="1" applyBorder="1" applyAlignment="1">
      <alignment horizontal="left" vertical="center" wrapText="1"/>
    </xf>
    <xf numFmtId="0" fontId="112" fillId="74" borderId="0" xfId="61247" applyFont="1" applyFill="1"/>
    <xf numFmtId="0" fontId="112" fillId="74" borderId="38" xfId="6" applyFont="1" applyFill="1" applyBorder="1" applyAlignment="1">
      <alignment horizontal="center" vertical="center" wrapText="1"/>
    </xf>
    <xf numFmtId="0" fontId="112" fillId="74" borderId="38" xfId="6" applyFont="1" applyFill="1" applyBorder="1" applyAlignment="1">
      <alignment horizontal="left" vertical="center" wrapText="1"/>
    </xf>
    <xf numFmtId="3" fontId="112" fillId="74" borderId="1" xfId="6" applyNumberFormat="1" applyFont="1" applyFill="1" applyBorder="1" applyAlignment="1" applyProtection="1">
      <alignment horizontal="center" vertical="center" wrapText="1"/>
      <protection locked="0"/>
    </xf>
    <xf numFmtId="3" fontId="37" fillId="74" borderId="1" xfId="6" applyNumberFormat="1" applyFont="1" applyFill="1" applyBorder="1" applyAlignment="1" applyProtection="1">
      <alignment horizontal="left" vertical="center" wrapText="1"/>
      <protection locked="0"/>
    </xf>
    <xf numFmtId="0" fontId="112" fillId="74" borderId="57" xfId="6" applyFont="1" applyFill="1" applyBorder="1" applyAlignment="1">
      <alignment horizontal="left" vertical="center" wrapText="1"/>
    </xf>
    <xf numFmtId="49" fontId="112" fillId="74" borderId="1" xfId="59296" applyNumberFormat="1" applyFont="1" applyFill="1" applyBorder="1" applyAlignment="1">
      <alignment horizontal="center" vertical="center"/>
    </xf>
    <xf numFmtId="0" fontId="112" fillId="74" borderId="1" xfId="59296" applyFont="1" applyFill="1" applyBorder="1" applyAlignment="1">
      <alignment horizontal="left" vertical="center" wrapText="1"/>
    </xf>
    <xf numFmtId="49" fontId="37" fillId="74" borderId="1" xfId="6" applyNumberFormat="1" applyFont="1" applyFill="1" applyBorder="1" applyAlignment="1">
      <alignment horizontal="center" vertical="center" wrapText="1"/>
    </xf>
    <xf numFmtId="3" fontId="112" fillId="74" borderId="1" xfId="61247" applyNumberFormat="1" applyFont="1" applyFill="1" applyBorder="1" applyAlignment="1" applyProtection="1">
      <alignment horizontal="left" vertical="center" wrapText="1"/>
      <protection locked="0"/>
    </xf>
    <xf numFmtId="3" fontId="112" fillId="74" borderId="2" xfId="61247" applyNumberFormat="1" applyFont="1" applyFill="1" applyBorder="1" applyAlignment="1" applyProtection="1">
      <alignment horizontal="center" vertical="center"/>
      <protection locked="0"/>
    </xf>
    <xf numFmtId="3" fontId="123" fillId="74" borderId="1" xfId="61247" applyNumberFormat="1" applyFont="1" applyFill="1" applyBorder="1" applyAlignment="1" applyProtection="1">
      <alignment horizontal="left" vertical="center"/>
      <protection locked="0"/>
    </xf>
    <xf numFmtId="3" fontId="144" fillId="74" borderId="75" xfId="61247" applyNumberFormat="1" applyFont="1" applyFill="1" applyBorder="1" applyAlignment="1" applyProtection="1">
      <alignment horizontal="center" vertical="center"/>
      <protection locked="0"/>
    </xf>
    <xf numFmtId="0" fontId="112" fillId="74" borderId="0" xfId="61247" applyFont="1" applyFill="1" applyAlignment="1">
      <alignment horizontal="left"/>
    </xf>
    <xf numFmtId="3" fontId="112" fillId="74" borderId="1" xfId="6" applyNumberFormat="1" applyFont="1" applyFill="1" applyBorder="1" applyAlignment="1" applyProtection="1">
      <alignment horizontal="left" vertical="center" wrapText="1"/>
      <protection locked="0"/>
    </xf>
    <xf numFmtId="3" fontId="96" fillId="74" borderId="58" xfId="59296" applyNumberFormat="1" applyFont="1" applyFill="1" applyBorder="1" applyAlignment="1" applyProtection="1">
      <alignment horizontal="left" vertical="center" wrapText="1"/>
      <protection locked="0"/>
    </xf>
    <xf numFmtId="0" fontId="145" fillId="74" borderId="0" xfId="61249" applyFont="1" applyFill="1"/>
    <xf numFmtId="3" fontId="146" fillId="74" borderId="0" xfId="61249" applyNumberFormat="1" applyFont="1" applyFill="1" applyAlignment="1">
      <alignment horizontal="center" vertical="center"/>
    </xf>
    <xf numFmtId="0" fontId="114" fillId="74" borderId="0" xfId="61249" applyFont="1" applyFill="1"/>
    <xf numFmtId="3" fontId="114" fillId="74" borderId="1" xfId="61249" applyNumberFormat="1" applyFont="1" applyFill="1" applyBorder="1" applyAlignment="1">
      <alignment horizontal="center" vertical="center" wrapText="1"/>
    </xf>
    <xf numFmtId="3" fontId="147" fillId="74" borderId="1" xfId="61249" applyNumberFormat="1" applyFont="1" applyFill="1" applyBorder="1" applyAlignment="1" applyProtection="1">
      <alignment horizontal="center" vertical="center" wrapText="1"/>
      <protection locked="0"/>
    </xf>
    <xf numFmtId="0" fontId="114" fillId="74" borderId="1" xfId="61249" applyFont="1" applyFill="1" applyBorder="1" applyAlignment="1" applyProtection="1">
      <alignment horizontal="center" vertical="center"/>
      <protection locked="0"/>
    </xf>
    <xf numFmtId="49" fontId="114" fillId="74" borderId="1" xfId="18" applyNumberFormat="1" applyFont="1" applyFill="1" applyBorder="1" applyAlignment="1">
      <alignment horizontal="center" vertical="center"/>
    </xf>
    <xf numFmtId="0" fontId="114" fillId="74" borderId="1" xfId="61249" applyFont="1" applyFill="1" applyBorder="1" applyAlignment="1" applyProtection="1">
      <alignment vertical="center" wrapText="1"/>
      <protection locked="0"/>
    </xf>
    <xf numFmtId="3" fontId="116" fillId="74" borderId="1" xfId="61249" applyNumberFormat="1" applyFont="1" applyFill="1" applyBorder="1" applyAlignment="1" applyProtection="1">
      <alignment horizontal="center" vertical="center" wrapText="1"/>
      <protection locked="0"/>
    </xf>
    <xf numFmtId="3" fontId="107" fillId="74" borderId="1" xfId="61249" applyNumberFormat="1" applyFont="1" applyFill="1" applyBorder="1" applyAlignment="1" applyProtection="1">
      <alignment horizontal="center" vertical="center" wrapText="1"/>
      <protection locked="0"/>
    </xf>
    <xf numFmtId="49" fontId="114" fillId="74" borderId="1" xfId="18" applyNumberFormat="1" applyFont="1" applyFill="1" applyBorder="1" applyAlignment="1">
      <alignment horizontal="center" vertical="center" wrapText="1"/>
    </xf>
    <xf numFmtId="0" fontId="114" fillId="74" borderId="1" xfId="61249" applyFont="1" applyFill="1" applyBorder="1" applyAlignment="1" applyProtection="1">
      <alignment vertical="center"/>
      <protection locked="0"/>
    </xf>
    <xf numFmtId="3" fontId="114" fillId="74" borderId="1" xfId="61249" applyNumberFormat="1" applyFont="1" applyFill="1" applyBorder="1" applyAlignment="1" applyProtection="1">
      <alignment horizontal="center" vertical="center" wrapText="1"/>
      <protection locked="0"/>
    </xf>
    <xf numFmtId="49" fontId="107" fillId="74" borderId="1" xfId="18" applyNumberFormat="1" applyFont="1" applyFill="1" applyBorder="1" applyAlignment="1">
      <alignment horizontal="center" vertical="center" wrapText="1"/>
    </xf>
    <xf numFmtId="0" fontId="114" fillId="74" borderId="1" xfId="18" applyFont="1" applyFill="1" applyBorder="1" applyAlignment="1">
      <alignment horizontal="center" vertical="center" wrapText="1"/>
    </xf>
    <xf numFmtId="0" fontId="112" fillId="74" borderId="1" xfId="61249" applyFont="1" applyFill="1" applyBorder="1" applyAlignment="1" applyProtection="1">
      <alignment vertical="center"/>
      <protection locked="0"/>
    </xf>
    <xf numFmtId="49" fontId="112" fillId="74" borderId="1" xfId="18" applyNumberFormat="1" applyFont="1" applyFill="1" applyBorder="1" applyAlignment="1">
      <alignment horizontal="center" vertical="center"/>
    </xf>
    <xf numFmtId="0" fontId="116" fillId="74" borderId="1" xfId="61249" applyFont="1" applyFill="1" applyBorder="1" applyAlignment="1" applyProtection="1">
      <alignment horizontal="center" vertical="center"/>
      <protection locked="0"/>
    </xf>
    <xf numFmtId="0" fontId="116" fillId="74" borderId="1" xfId="61249" applyFont="1" applyFill="1" applyBorder="1" applyAlignment="1" applyProtection="1">
      <alignment vertical="center"/>
      <protection locked="0"/>
    </xf>
    <xf numFmtId="0" fontId="116" fillId="74" borderId="1" xfId="61249" applyFont="1" applyFill="1" applyBorder="1" applyAlignment="1" applyProtection="1">
      <alignment vertical="center" wrapText="1"/>
      <protection locked="0"/>
    </xf>
    <xf numFmtId="0" fontId="116" fillId="74" borderId="0" xfId="61249" applyFont="1" applyFill="1"/>
    <xf numFmtId="3" fontId="112" fillId="74" borderId="58" xfId="61249" applyNumberFormat="1" applyFont="1" applyFill="1" applyBorder="1" applyAlignment="1" applyProtection="1">
      <alignment horizontal="left" vertical="center" wrapText="1"/>
      <protection locked="0"/>
    </xf>
    <xf numFmtId="0" fontId="37" fillId="0" borderId="0" xfId="58792" applyFont="1" applyFill="1" applyProtection="1">
      <protection locked="0"/>
    </xf>
    <xf numFmtId="3" fontId="37" fillId="0" borderId="38" xfId="58792" applyNumberFormat="1" applyFont="1" applyFill="1" applyBorder="1" applyAlignment="1" applyProtection="1">
      <alignment horizontal="center" vertical="center"/>
      <protection locked="0"/>
    </xf>
    <xf numFmtId="3" fontId="37" fillId="0" borderId="1" xfId="58792" applyNumberFormat="1" applyFont="1" applyFill="1" applyBorder="1" applyAlignment="1" applyProtection="1">
      <alignment horizontal="center" vertical="center"/>
      <protection locked="0"/>
    </xf>
    <xf numFmtId="3" fontId="37" fillId="0" borderId="2" xfId="58792" applyNumberFormat="1" applyFont="1" applyFill="1" applyBorder="1" applyAlignment="1" applyProtection="1">
      <alignment horizontal="center" vertical="center"/>
      <protection locked="0"/>
    </xf>
    <xf numFmtId="0" fontId="37" fillId="0" borderId="1" xfId="58792" applyFont="1" applyFill="1" applyBorder="1" applyAlignment="1" applyProtection="1">
      <alignment vertical="center" wrapText="1"/>
      <protection locked="0"/>
    </xf>
    <xf numFmtId="3" fontId="37" fillId="0" borderId="3" xfId="58792" applyNumberFormat="1" applyFont="1" applyFill="1" applyBorder="1" applyAlignment="1" applyProtection="1">
      <alignment horizontal="center" vertical="center"/>
      <protection locked="0"/>
    </xf>
    <xf numFmtId="0" fontId="37" fillId="0" borderId="1" xfId="58792" applyFont="1" applyFill="1" applyBorder="1" applyAlignment="1" applyProtection="1">
      <alignment horizontal="center"/>
      <protection locked="0"/>
    </xf>
    <xf numFmtId="0" fontId="96" fillId="0" borderId="1" xfId="58792" applyFont="1" applyFill="1" applyBorder="1" applyAlignment="1" applyProtection="1">
      <alignment horizontal="center" vertical="center" wrapText="1"/>
      <protection locked="0"/>
    </xf>
    <xf numFmtId="0" fontId="96" fillId="0" borderId="57" xfId="58792" applyFont="1" applyFill="1" applyBorder="1" applyAlignment="1" applyProtection="1">
      <alignment horizontal="center" vertical="center" wrapText="1"/>
      <protection locked="0"/>
    </xf>
    <xf numFmtId="0" fontId="37" fillId="0" borderId="1" xfId="58792" applyFont="1" applyFill="1" applyBorder="1" applyAlignment="1" applyProtection="1">
      <alignment horizontal="center" vertical="center" wrapText="1"/>
      <protection locked="0"/>
    </xf>
    <xf numFmtId="0" fontId="95" fillId="0" borderId="0" xfId="58792" applyFont="1" applyFill="1" applyAlignment="1">
      <alignment horizontal="center"/>
    </xf>
    <xf numFmtId="3" fontId="95" fillId="0" borderId="0" xfId="58792" applyNumberFormat="1" applyFont="1" applyFill="1" applyAlignment="1">
      <alignment horizontal="center"/>
    </xf>
    <xf numFmtId="0" fontId="95" fillId="0" borderId="0" xfId="58792" applyFont="1" applyFill="1"/>
    <xf numFmtId="3" fontId="96" fillId="0" borderId="1" xfId="58792" applyNumberFormat="1" applyFont="1" applyFill="1" applyBorder="1" applyAlignment="1" applyProtection="1">
      <alignment horizontal="center" vertical="center"/>
      <protection locked="0"/>
    </xf>
    <xf numFmtId="0" fontId="96" fillId="0" borderId="0" xfId="58792" applyFont="1" applyFill="1" applyProtection="1">
      <protection locked="0"/>
    </xf>
    <xf numFmtId="0" fontId="37" fillId="0" borderId="38" xfId="58792" applyFont="1" applyFill="1" applyBorder="1" applyAlignment="1" applyProtection="1">
      <alignment vertical="center" wrapText="1"/>
      <protection locked="0"/>
    </xf>
    <xf numFmtId="3" fontId="37" fillId="0" borderId="1" xfId="58792" applyNumberFormat="1" applyFont="1" applyFill="1" applyBorder="1" applyAlignment="1" applyProtection="1">
      <alignment horizontal="center"/>
      <protection locked="0"/>
    </xf>
    <xf numFmtId="3" fontId="37" fillId="0" borderId="1" xfId="58792" applyNumberFormat="1" applyFont="1" applyFill="1" applyBorder="1" applyAlignment="1" applyProtection="1">
      <alignment vertical="center"/>
      <protection locked="0"/>
    </xf>
    <xf numFmtId="3" fontId="37" fillId="0" borderId="2" xfId="58792" applyNumberFormat="1" applyFont="1" applyFill="1" applyBorder="1" applyAlignment="1" applyProtection="1">
      <alignment vertical="center"/>
      <protection locked="0"/>
    </xf>
    <xf numFmtId="3" fontId="37" fillId="0" borderId="38" xfId="58792" applyNumberFormat="1" applyFont="1" applyFill="1" applyBorder="1" applyAlignment="1" applyProtection="1">
      <alignment vertical="center"/>
      <protection locked="0"/>
    </xf>
    <xf numFmtId="3" fontId="37" fillId="0" borderId="3" xfId="58792" applyNumberFormat="1" applyFont="1" applyFill="1" applyBorder="1" applyAlignment="1" applyProtection="1">
      <alignment vertical="center"/>
      <protection locked="0"/>
    </xf>
    <xf numFmtId="0" fontId="97" fillId="0" borderId="0" xfId="58792" applyFont="1" applyFill="1"/>
    <xf numFmtId="3" fontId="95" fillId="0" borderId="0" xfId="58792" applyNumberFormat="1" applyFont="1" applyFill="1"/>
    <xf numFmtId="0" fontId="37" fillId="0" borderId="1" xfId="58792" applyFont="1" applyFill="1" applyBorder="1" applyAlignment="1" applyProtection="1">
      <alignment horizontal="center" vertical="center" textRotation="90" wrapText="1"/>
      <protection locked="0"/>
    </xf>
    <xf numFmtId="0" fontId="37" fillId="0" borderId="1" xfId="58792" applyFont="1" applyFill="1" applyBorder="1" applyAlignment="1" applyProtection="1">
      <alignment horizontal="center" vertical="center" textRotation="90"/>
      <protection locked="0"/>
    </xf>
    <xf numFmtId="0" fontId="37" fillId="0" borderId="57" xfId="58792" applyFont="1" applyFill="1" applyBorder="1" applyAlignment="1" applyProtection="1">
      <alignment horizontal="center" vertical="center" textRotation="90" wrapText="1"/>
      <protection locked="0"/>
    </xf>
    <xf numFmtId="0" fontId="98" fillId="0" borderId="0" xfId="0" applyFont="1"/>
    <xf numFmtId="0" fontId="98" fillId="0" borderId="1" xfId="0" applyFont="1" applyBorder="1" applyAlignment="1">
      <alignment horizontal="center" vertical="center"/>
    </xf>
    <xf numFmtId="0" fontId="98" fillId="0" borderId="1" xfId="0" applyFont="1" applyFill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0" fontId="150" fillId="0" borderId="1" xfId="0" applyFont="1" applyBorder="1" applyAlignment="1">
      <alignment horizontal="center" vertical="center" wrapText="1"/>
    </xf>
    <xf numFmtId="0" fontId="150" fillId="0" borderId="1" xfId="0" applyFont="1" applyFill="1" applyBorder="1" applyAlignment="1">
      <alignment horizontal="left" vertical="center" wrapText="1"/>
    </xf>
    <xf numFmtId="0" fontId="98" fillId="0" borderId="1" xfId="0" applyFont="1" applyFill="1" applyBorder="1" applyAlignment="1">
      <alignment horizontal="center" vertical="center"/>
    </xf>
    <xf numFmtId="3" fontId="98" fillId="0" borderId="1" xfId="0" applyNumberFormat="1" applyFont="1" applyFill="1" applyBorder="1" applyAlignment="1">
      <alignment horizontal="center" vertical="center"/>
    </xf>
    <xf numFmtId="0" fontId="98" fillId="0" borderId="1" xfId="0" applyFont="1" applyFill="1" applyBorder="1"/>
    <xf numFmtId="3" fontId="98" fillId="0" borderId="0" xfId="0" applyNumberFormat="1" applyFont="1"/>
    <xf numFmtId="0" fontId="150" fillId="0" borderId="1" xfId="0" applyFont="1" applyFill="1" applyBorder="1" applyAlignment="1">
      <alignment horizontal="center" vertical="center" wrapText="1"/>
    </xf>
    <xf numFmtId="3" fontId="98" fillId="0" borderId="1" xfId="0" applyNumberFormat="1" applyFont="1" applyBorder="1" applyAlignment="1">
      <alignment horizontal="center" vertical="center"/>
    </xf>
    <xf numFmtId="0" fontId="150" fillId="0" borderId="1" xfId="0" applyFont="1" applyFill="1" applyBorder="1" applyAlignment="1">
      <alignment horizontal="justify" vertical="center" wrapText="1"/>
    </xf>
    <xf numFmtId="3" fontId="130" fillId="0" borderId="1" xfId="0" applyNumberFormat="1" applyFont="1" applyFill="1" applyBorder="1" applyAlignment="1">
      <alignment horizontal="center" vertical="center"/>
    </xf>
    <xf numFmtId="0" fontId="130" fillId="0" borderId="1" xfId="0" applyFont="1" applyFill="1" applyBorder="1" applyAlignment="1">
      <alignment horizontal="center" vertical="center"/>
    </xf>
    <xf numFmtId="0" fontId="95" fillId="0" borderId="1" xfId="0" applyFont="1" applyFill="1" applyBorder="1" applyAlignment="1">
      <alignment horizontal="center" vertical="center" wrapText="1"/>
    </xf>
    <xf numFmtId="3" fontId="130" fillId="0" borderId="1" xfId="0" applyNumberFormat="1" applyFont="1" applyBorder="1" applyAlignment="1">
      <alignment horizontal="center" vertical="center"/>
    </xf>
    <xf numFmtId="1" fontId="130" fillId="0" borderId="1" xfId="0" applyNumberFormat="1" applyFont="1" applyFill="1" applyBorder="1" applyAlignment="1">
      <alignment horizontal="center" vertical="center"/>
    </xf>
    <xf numFmtId="1" fontId="98" fillId="0" borderId="1" xfId="0" applyNumberFormat="1" applyFont="1" applyFill="1" applyBorder="1" applyAlignment="1">
      <alignment horizontal="center" vertical="center"/>
    </xf>
    <xf numFmtId="3" fontId="98" fillId="74" borderId="1" xfId="0" applyNumberFormat="1" applyFont="1" applyFill="1" applyBorder="1" applyAlignment="1">
      <alignment horizontal="center" vertical="center"/>
    </xf>
    <xf numFmtId="1" fontId="130" fillId="0" borderId="1" xfId="0" applyNumberFormat="1" applyFont="1" applyBorder="1" applyAlignment="1">
      <alignment horizontal="center" vertical="center"/>
    </xf>
    <xf numFmtId="1" fontId="98" fillId="0" borderId="1" xfId="0" applyNumberFormat="1" applyFont="1" applyBorder="1" applyAlignment="1">
      <alignment horizontal="center" vertical="center"/>
    </xf>
    <xf numFmtId="3" fontId="98" fillId="0" borderId="38" xfId="0" applyNumberFormat="1" applyFont="1" applyFill="1" applyBorder="1" applyAlignment="1">
      <alignment horizontal="center" vertical="center"/>
    </xf>
    <xf numFmtId="0" fontId="98" fillId="0" borderId="38" xfId="0" applyFont="1" applyFill="1" applyBorder="1"/>
    <xf numFmtId="3" fontId="98" fillId="0" borderId="38" xfId="0" applyNumberFormat="1" applyFont="1" applyBorder="1" applyAlignment="1">
      <alignment horizontal="center" vertical="center"/>
    </xf>
    <xf numFmtId="0" fontId="98" fillId="0" borderId="1" xfId="0" applyFont="1" applyBorder="1"/>
    <xf numFmtId="0" fontId="98" fillId="0" borderId="0" xfId="0" applyFont="1" applyAlignment="1">
      <alignment horizontal="center"/>
    </xf>
    <xf numFmtId="3" fontId="98" fillId="0" borderId="0" xfId="0" applyNumberFormat="1" applyFont="1" applyAlignment="1">
      <alignment horizontal="center"/>
    </xf>
    <xf numFmtId="0" fontId="98" fillId="0" borderId="0" xfId="0" applyFont="1" applyFill="1" applyAlignment="1">
      <alignment horizontal="center"/>
    </xf>
    <xf numFmtId="0" fontId="98" fillId="0" borderId="0" xfId="0" applyFont="1" applyFill="1"/>
    <xf numFmtId="3" fontId="98" fillId="0" borderId="0" xfId="0" applyNumberFormat="1" applyFont="1" applyFill="1"/>
    <xf numFmtId="0" fontId="151" fillId="0" borderId="1" xfId="0" applyFont="1" applyFill="1" applyBorder="1" applyAlignment="1">
      <alignment horizontal="left" vertical="center" wrapText="1"/>
    </xf>
    <xf numFmtId="0" fontId="97" fillId="0" borderId="1" xfId="0" applyFont="1" applyFill="1" applyBorder="1" applyAlignment="1">
      <alignment horizontal="left" vertical="center" wrapText="1"/>
    </xf>
    <xf numFmtId="0" fontId="130" fillId="0" borderId="0" xfId="0" applyFont="1"/>
    <xf numFmtId="3" fontId="130" fillId="0" borderId="0" xfId="0" applyNumberFormat="1" applyFont="1" applyFill="1"/>
    <xf numFmtId="49" fontId="37" fillId="0" borderId="1" xfId="18" applyNumberFormat="1" applyFont="1" applyFill="1" applyBorder="1" applyAlignment="1">
      <alignment horizontal="center" vertical="center" wrapText="1"/>
    </xf>
    <xf numFmtId="49" fontId="37" fillId="0" borderId="1" xfId="18" applyNumberFormat="1" applyFont="1" applyFill="1" applyBorder="1" applyAlignment="1">
      <alignment horizontal="center" vertical="center"/>
    </xf>
    <xf numFmtId="0" fontId="37" fillId="0" borderId="1" xfId="18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49" fontId="95" fillId="0" borderId="1" xfId="18" applyNumberFormat="1" applyFont="1" applyFill="1" applyBorder="1" applyAlignment="1">
      <alignment horizontal="center" vertical="center" wrapText="1"/>
    </xf>
    <xf numFmtId="49" fontId="95" fillId="0" borderId="1" xfId="18" applyNumberFormat="1" applyFont="1" applyFill="1" applyBorder="1" applyAlignment="1">
      <alignment horizontal="center" vertical="center"/>
    </xf>
    <xf numFmtId="49" fontId="96" fillId="0" borderId="1" xfId="18" applyNumberFormat="1" applyFont="1" applyFill="1" applyBorder="1" applyAlignment="1">
      <alignment horizontal="center" vertical="center" wrapText="1"/>
    </xf>
    <xf numFmtId="0" fontId="95" fillId="0" borderId="1" xfId="0" applyFont="1" applyFill="1" applyBorder="1"/>
    <xf numFmtId="0" fontId="96" fillId="0" borderId="1" xfId="18" applyFont="1" applyFill="1" applyBorder="1" applyAlignment="1">
      <alignment horizontal="center" vertical="center" wrapText="1"/>
    </xf>
    <xf numFmtId="49" fontId="96" fillId="0" borderId="1" xfId="18" applyNumberFormat="1" applyFont="1" applyFill="1" applyBorder="1" applyAlignment="1">
      <alignment horizontal="center" vertical="center"/>
    </xf>
    <xf numFmtId="0" fontId="95" fillId="0" borderId="1" xfId="0" applyFont="1" applyFill="1" applyBorder="1" applyAlignment="1" applyProtection="1">
      <alignment horizontal="center" vertical="center" wrapText="1"/>
      <protection locked="0"/>
    </xf>
    <xf numFmtId="0" fontId="98" fillId="0" borderId="1" xfId="0" applyFont="1" applyBorder="1" applyAlignment="1">
      <alignment horizontal="center"/>
    </xf>
    <xf numFmtId="3" fontId="95" fillId="0" borderId="1" xfId="0" applyNumberFormat="1" applyFont="1" applyFill="1" applyBorder="1" applyAlignment="1">
      <alignment horizontal="center" vertical="center" wrapText="1"/>
    </xf>
    <xf numFmtId="0" fontId="37" fillId="0" borderId="0" xfId="58524" applyFont="1" applyFill="1" applyAlignment="1">
      <alignment horizontal="center" vertical="center"/>
    </xf>
    <xf numFmtId="0" fontId="1" fillId="0" borderId="0" xfId="61250"/>
    <xf numFmtId="0" fontId="37" fillId="76" borderId="0" xfId="58524" applyNumberFormat="1" applyFont="1" applyFill="1" applyBorder="1" applyAlignment="1">
      <alignment horizontal="center" vertical="center" wrapText="1"/>
    </xf>
    <xf numFmtId="3" fontId="155" fillId="74" borderId="0" xfId="58524" applyNumberFormat="1" applyFont="1" applyFill="1" applyBorder="1" applyAlignment="1">
      <alignment horizontal="right" vertical="center"/>
    </xf>
    <xf numFmtId="4" fontId="155" fillId="76" borderId="0" xfId="58524" applyNumberFormat="1" applyFont="1" applyFill="1" applyBorder="1" applyAlignment="1">
      <alignment horizontal="right" vertical="center"/>
    </xf>
    <xf numFmtId="3" fontId="155" fillId="76" borderId="0" xfId="58524" applyNumberFormat="1" applyFont="1" applyFill="1" applyBorder="1" applyAlignment="1">
      <alignment horizontal="right" vertical="center"/>
    </xf>
    <xf numFmtId="0" fontId="37" fillId="76" borderId="1" xfId="58524" applyFont="1" applyFill="1" applyBorder="1" applyAlignment="1">
      <alignment horizontal="center" vertical="center" wrapText="1"/>
    </xf>
    <xf numFmtId="0" fontId="37" fillId="76" borderId="3" xfId="58524" applyFont="1" applyFill="1" applyBorder="1" applyAlignment="1">
      <alignment horizontal="center" vertical="center" wrapText="1"/>
    </xf>
    <xf numFmtId="0" fontId="37" fillId="74" borderId="1" xfId="58524" applyFont="1" applyFill="1" applyBorder="1" applyAlignment="1">
      <alignment horizontal="center" vertical="center" wrapText="1"/>
    </xf>
    <xf numFmtId="2" fontId="1" fillId="0" borderId="27" xfId="61250" applyNumberFormat="1" applyBorder="1" applyAlignment="1">
      <alignment horizontal="center" vertical="center" wrapText="1"/>
    </xf>
    <xf numFmtId="3" fontId="37" fillId="74" borderId="36" xfId="58524" applyNumberFormat="1" applyFont="1" applyFill="1" applyBorder="1" applyAlignment="1">
      <alignment horizontal="center" vertical="center" wrapText="1"/>
    </xf>
    <xf numFmtId="3" fontId="37" fillId="74" borderId="27" xfId="58524" applyNumberFormat="1" applyFont="1" applyFill="1" applyBorder="1" applyAlignment="1">
      <alignment horizontal="center" vertical="center" wrapText="1"/>
    </xf>
    <xf numFmtId="3" fontId="115" fillId="0" borderId="1" xfId="61251" applyNumberFormat="1" applyFont="1" applyFill="1" applyBorder="1" applyAlignment="1">
      <alignment horizontal="center" vertical="center"/>
    </xf>
    <xf numFmtId="3" fontId="1" fillId="0" borderId="0" xfId="61250" applyNumberFormat="1"/>
    <xf numFmtId="3" fontId="37" fillId="74" borderId="58" xfId="58524" applyNumberFormat="1" applyFont="1" applyFill="1" applyBorder="1" applyAlignment="1">
      <alignment horizontal="center" vertical="center" wrapText="1"/>
    </xf>
    <xf numFmtId="3" fontId="113" fillId="0" borderId="1" xfId="61251" applyNumberFormat="1" applyFont="1" applyFill="1" applyBorder="1" applyAlignment="1">
      <alignment horizontal="center" vertical="center"/>
    </xf>
    <xf numFmtId="0" fontId="37" fillId="0" borderId="1" xfId="58524" applyFont="1" applyBorder="1" applyAlignment="1">
      <alignment horizontal="center" vertical="center"/>
    </xf>
    <xf numFmtId="49" fontId="112" fillId="74" borderId="1" xfId="18" applyNumberFormat="1" applyFont="1" applyFill="1" applyBorder="1" applyAlignment="1">
      <alignment horizontal="center" vertical="center" wrapText="1"/>
    </xf>
    <xf numFmtId="0" fontId="118" fillId="74" borderId="1" xfId="18" applyFont="1" applyFill="1" applyBorder="1" applyAlignment="1">
      <alignment horizontal="left" vertical="center" wrapText="1"/>
    </xf>
    <xf numFmtId="3" fontId="118" fillId="74" borderId="58" xfId="18" applyNumberFormat="1" applyFont="1" applyFill="1" applyBorder="1" applyAlignment="1">
      <alignment horizontal="center" vertical="center" wrapText="1"/>
    </xf>
    <xf numFmtId="0" fontId="112" fillId="74" borderId="1" xfId="18" applyFont="1" applyFill="1" applyBorder="1" applyAlignment="1">
      <alignment horizontal="center" vertical="center" wrapText="1"/>
    </xf>
    <xf numFmtId="0" fontId="112" fillId="74" borderId="1" xfId="18" applyFont="1" applyFill="1" applyBorder="1" applyAlignment="1">
      <alignment horizontal="left" vertical="center" wrapText="1"/>
    </xf>
    <xf numFmtId="49" fontId="112" fillId="74" borderId="1" xfId="58524" applyNumberFormat="1" applyFont="1" applyFill="1" applyBorder="1" applyAlignment="1">
      <alignment horizontal="center" vertical="center" wrapText="1"/>
    </xf>
    <xf numFmtId="0" fontId="118" fillId="74" borderId="1" xfId="58524" applyFont="1" applyFill="1" applyBorder="1" applyAlignment="1">
      <alignment horizontal="left" vertical="center" wrapText="1"/>
    </xf>
    <xf numFmtId="49" fontId="112" fillId="74" borderId="38" xfId="18" applyNumberFormat="1" applyFont="1" applyFill="1" applyBorder="1" applyAlignment="1">
      <alignment horizontal="center" vertical="center"/>
    </xf>
    <xf numFmtId="0" fontId="112" fillId="74" borderId="38" xfId="18" applyFont="1" applyFill="1" applyBorder="1" applyAlignment="1">
      <alignment horizontal="left" vertical="center" wrapText="1"/>
    </xf>
    <xf numFmtId="0" fontId="118" fillId="74" borderId="38" xfId="18" applyFont="1" applyFill="1" applyBorder="1" applyAlignment="1">
      <alignment horizontal="left" vertical="center" wrapText="1"/>
    </xf>
    <xf numFmtId="1" fontId="98" fillId="0" borderId="1" xfId="0" applyNumberFormat="1" applyFont="1" applyFill="1" applyBorder="1" applyAlignment="1">
      <alignment horizontal="center" vertical="center"/>
    </xf>
    <xf numFmtId="0" fontId="98" fillId="0" borderId="1" xfId="0" applyFont="1" applyFill="1" applyBorder="1" applyAlignment="1">
      <alignment horizontal="center" vertical="center"/>
    </xf>
    <xf numFmtId="0" fontId="151" fillId="0" borderId="57" xfId="0" applyFont="1" applyFill="1" applyBorder="1" applyAlignment="1">
      <alignment horizontal="center" vertical="center" wrapText="1"/>
    </xf>
    <xf numFmtId="0" fontId="151" fillId="0" borderId="76" xfId="0" applyFont="1" applyFill="1" applyBorder="1" applyAlignment="1">
      <alignment horizontal="center" vertical="center" wrapText="1"/>
    </xf>
    <xf numFmtId="0" fontId="151" fillId="0" borderId="58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 wrapText="1"/>
    </xf>
    <xf numFmtId="0" fontId="125" fillId="0" borderId="0" xfId="0" applyFont="1" applyFill="1" applyAlignment="1">
      <alignment horizontal="center" vertical="center" wrapText="1"/>
    </xf>
    <xf numFmtId="0" fontId="95" fillId="0" borderId="3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98" fillId="0" borderId="38" xfId="0" applyNumberFormat="1" applyFont="1" applyFill="1" applyBorder="1" applyAlignment="1">
      <alignment horizontal="center" vertical="center"/>
    </xf>
    <xf numFmtId="3" fontId="98" fillId="0" borderId="2" xfId="0" applyNumberFormat="1" applyFont="1" applyFill="1" applyBorder="1" applyAlignment="1">
      <alignment horizontal="center" vertical="center"/>
    </xf>
    <xf numFmtId="3" fontId="98" fillId="0" borderId="3" xfId="0" applyNumberFormat="1" applyFont="1" applyFill="1" applyBorder="1" applyAlignment="1">
      <alignment horizontal="center" vertical="center"/>
    </xf>
    <xf numFmtId="3" fontId="98" fillId="0" borderId="38" xfId="0" applyNumberFormat="1" applyFont="1" applyBorder="1" applyAlignment="1">
      <alignment horizontal="center" vertical="center"/>
    </xf>
    <xf numFmtId="3" fontId="98" fillId="0" borderId="2" xfId="0" applyNumberFormat="1" applyFont="1" applyBorder="1" applyAlignment="1">
      <alignment horizontal="center" vertical="center"/>
    </xf>
    <xf numFmtId="3" fontId="98" fillId="0" borderId="3" xfId="0" applyNumberFormat="1" applyFont="1" applyBorder="1" applyAlignment="1">
      <alignment horizontal="center" vertical="center"/>
    </xf>
    <xf numFmtId="0" fontId="150" fillId="0" borderId="1" xfId="0" applyFont="1" applyFill="1" applyBorder="1" applyAlignment="1">
      <alignment horizontal="center" vertical="center" wrapText="1"/>
    </xf>
    <xf numFmtId="0" fontId="150" fillId="0" borderId="1" xfId="0" applyFont="1" applyFill="1" applyBorder="1" applyAlignment="1" applyProtection="1">
      <alignment horizontal="center" vertical="center" wrapText="1"/>
      <protection locked="0"/>
    </xf>
    <xf numFmtId="1" fontId="98" fillId="0" borderId="38" xfId="0" applyNumberFormat="1" applyFont="1" applyFill="1" applyBorder="1" applyAlignment="1">
      <alignment horizontal="center" vertical="center"/>
    </xf>
    <xf numFmtId="1" fontId="98" fillId="0" borderId="3" xfId="0" applyNumberFormat="1" applyFont="1" applyFill="1" applyBorder="1" applyAlignment="1">
      <alignment horizontal="center" vertical="center"/>
    </xf>
    <xf numFmtId="1" fontId="98" fillId="0" borderId="2" xfId="0" applyNumberFormat="1" applyFont="1" applyFill="1" applyBorder="1" applyAlignment="1">
      <alignment horizontal="center" vertical="center"/>
    </xf>
    <xf numFmtId="3" fontId="98" fillId="0" borderId="1" xfId="0" applyNumberFormat="1" applyFont="1" applyFill="1" applyBorder="1" applyAlignment="1">
      <alignment horizontal="center" vertical="center"/>
    </xf>
    <xf numFmtId="3" fontId="98" fillId="0" borderId="1" xfId="0" applyNumberFormat="1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1" fontId="98" fillId="0" borderId="38" xfId="0" applyNumberFormat="1" applyFont="1" applyBorder="1" applyAlignment="1">
      <alignment horizontal="center" vertical="center"/>
    </xf>
    <xf numFmtId="1" fontId="98" fillId="0" borderId="3" xfId="0" applyNumberFormat="1" applyFont="1" applyBorder="1" applyAlignment="1">
      <alignment horizontal="center" vertical="center"/>
    </xf>
    <xf numFmtId="0" fontId="98" fillId="0" borderId="38" xfId="0" applyFont="1" applyFill="1" applyBorder="1" applyAlignment="1">
      <alignment horizontal="center" vertical="center"/>
    </xf>
    <xf numFmtId="0" fontId="98" fillId="0" borderId="3" xfId="0" applyFont="1" applyFill="1" applyBorder="1" applyAlignment="1">
      <alignment horizontal="center" vertical="center"/>
    </xf>
    <xf numFmtId="0" fontId="98" fillId="0" borderId="38" xfId="0" applyFont="1" applyFill="1" applyBorder="1" applyAlignment="1">
      <alignment horizontal="center"/>
    </xf>
    <xf numFmtId="0" fontId="98" fillId="0" borderId="3" xfId="0" applyFont="1" applyFill="1" applyBorder="1" applyAlignment="1">
      <alignment horizontal="center"/>
    </xf>
    <xf numFmtId="1" fontId="98" fillId="0" borderId="2" xfId="0" applyNumberFormat="1" applyFont="1" applyBorder="1" applyAlignment="1">
      <alignment horizontal="center" vertical="center"/>
    </xf>
    <xf numFmtId="0" fontId="98" fillId="0" borderId="2" xfId="0" applyFont="1" applyFill="1" applyBorder="1" applyAlignment="1">
      <alignment horizontal="center" vertical="center"/>
    </xf>
    <xf numFmtId="0" fontId="98" fillId="0" borderId="2" xfId="0" applyFont="1" applyFill="1" applyBorder="1" applyAlignment="1">
      <alignment horizontal="center"/>
    </xf>
    <xf numFmtId="0" fontId="98" fillId="0" borderId="1" xfId="0" applyFont="1" applyFill="1" applyBorder="1" applyAlignment="1">
      <alignment horizontal="center"/>
    </xf>
    <xf numFmtId="0" fontId="98" fillId="0" borderId="38" xfId="0" applyFont="1" applyBorder="1" applyAlignment="1">
      <alignment horizontal="center" vertical="center"/>
    </xf>
    <xf numFmtId="0" fontId="98" fillId="0" borderId="2" xfId="0" applyFont="1" applyBorder="1" applyAlignment="1">
      <alignment horizontal="center" vertical="center"/>
    </xf>
    <xf numFmtId="0" fontId="98" fillId="0" borderId="3" xfId="0" applyFont="1" applyBorder="1" applyAlignment="1">
      <alignment horizontal="center" vertical="center"/>
    </xf>
    <xf numFmtId="0" fontId="98" fillId="0" borderId="38" xfId="0" applyFont="1" applyBorder="1" applyAlignment="1">
      <alignment horizontal="center" vertical="center" wrapText="1"/>
    </xf>
    <xf numFmtId="0" fontId="98" fillId="0" borderId="3" xfId="0" applyFont="1" applyBorder="1" applyAlignment="1">
      <alignment horizontal="center" vertical="center" wrapText="1"/>
    </xf>
    <xf numFmtId="0" fontId="150" fillId="0" borderId="38" xfId="0" applyFont="1" applyFill="1" applyBorder="1" applyAlignment="1">
      <alignment horizontal="center" vertical="center" wrapText="1"/>
    </xf>
    <xf numFmtId="0" fontId="150" fillId="0" borderId="2" xfId="0" applyFont="1" applyFill="1" applyBorder="1" applyAlignment="1">
      <alignment horizontal="center" vertical="center" wrapText="1"/>
    </xf>
    <xf numFmtId="0" fontId="150" fillId="0" borderId="3" xfId="0" applyFont="1" applyFill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center" vertical="center" wrapText="1"/>
    </xf>
    <xf numFmtId="0" fontId="124" fillId="0" borderId="26" xfId="58792" applyFont="1" applyFill="1" applyBorder="1" applyAlignment="1">
      <alignment horizontal="center" vertical="center" wrapText="1"/>
    </xf>
    <xf numFmtId="0" fontId="149" fillId="0" borderId="26" xfId="0" applyFont="1" applyBorder="1" applyAlignment="1">
      <alignment wrapText="1"/>
    </xf>
    <xf numFmtId="3" fontId="141" fillId="74" borderId="0" xfId="61247" applyNumberFormat="1" applyFont="1" applyFill="1" applyAlignment="1" applyProtection="1">
      <alignment horizontal="center" vertical="center"/>
      <protection locked="0"/>
    </xf>
    <xf numFmtId="3" fontId="114" fillId="74" borderId="38" xfId="61247" applyNumberFormat="1" applyFont="1" applyFill="1" applyBorder="1" applyAlignment="1" applyProtection="1">
      <alignment horizontal="center" vertical="center" wrapText="1"/>
      <protection locked="0"/>
    </xf>
    <xf numFmtId="3" fontId="114" fillId="74" borderId="3" xfId="61247" applyNumberFormat="1" applyFont="1" applyFill="1" applyBorder="1" applyAlignment="1" applyProtection="1">
      <alignment horizontal="center" vertical="center" wrapText="1"/>
      <protection locked="0"/>
    </xf>
    <xf numFmtId="3" fontId="107" fillId="74" borderId="38" xfId="61248" applyNumberFormat="1" applyFont="1" applyFill="1" applyBorder="1" applyAlignment="1" applyProtection="1">
      <alignment horizontal="center" vertical="center" wrapText="1"/>
      <protection locked="0"/>
    </xf>
    <xf numFmtId="3" fontId="107" fillId="74" borderId="3" xfId="61248" applyNumberFormat="1" applyFont="1" applyFill="1" applyBorder="1" applyAlignment="1" applyProtection="1">
      <alignment horizontal="center" vertical="center" wrapText="1"/>
      <protection locked="0"/>
    </xf>
    <xf numFmtId="3" fontId="107" fillId="74" borderId="38" xfId="61247" applyNumberFormat="1" applyFont="1" applyFill="1" applyBorder="1" applyAlignment="1" applyProtection="1">
      <alignment horizontal="center" vertical="center" wrapText="1"/>
      <protection locked="0"/>
    </xf>
    <xf numFmtId="3" fontId="107" fillId="74" borderId="3" xfId="61247" applyNumberFormat="1" applyFont="1" applyFill="1" applyBorder="1" applyAlignment="1" applyProtection="1">
      <alignment horizontal="center" vertical="center" wrapText="1"/>
      <protection locked="0"/>
    </xf>
    <xf numFmtId="3" fontId="107" fillId="74" borderId="63" xfId="61247" applyNumberFormat="1" applyFont="1" applyFill="1" applyBorder="1" applyAlignment="1" applyProtection="1">
      <alignment horizontal="center" vertical="center" wrapText="1"/>
      <protection locked="0"/>
    </xf>
    <xf numFmtId="3" fontId="107" fillId="74" borderId="34" xfId="61247" applyNumberFormat="1" applyFont="1" applyFill="1" applyBorder="1" applyAlignment="1" applyProtection="1">
      <alignment horizontal="center" vertical="center" wrapText="1"/>
      <protection locked="0"/>
    </xf>
    <xf numFmtId="3" fontId="107" fillId="74" borderId="1" xfId="61248" applyNumberFormat="1" applyFont="1" applyFill="1" applyBorder="1" applyAlignment="1" applyProtection="1">
      <alignment horizontal="center" vertical="center" wrapText="1"/>
      <protection locked="0"/>
    </xf>
    <xf numFmtId="0" fontId="107" fillId="74" borderId="53" xfId="61246" applyFont="1" applyFill="1" applyBorder="1" applyAlignment="1">
      <alignment horizontal="center" vertical="center" wrapText="1"/>
    </xf>
    <xf numFmtId="0" fontId="138" fillId="74" borderId="49" xfId="61246" applyFont="1" applyFill="1" applyBorder="1" applyAlignment="1">
      <alignment horizontal="center" vertical="center" wrapText="1"/>
    </xf>
    <xf numFmtId="0" fontId="137" fillId="74" borderId="0" xfId="61246" applyFont="1" applyFill="1" applyAlignment="1">
      <alignment horizontal="center" vertical="center" wrapText="1"/>
    </xf>
    <xf numFmtId="0" fontId="107" fillId="74" borderId="44" xfId="61246" applyFont="1" applyFill="1" applyBorder="1" applyAlignment="1">
      <alignment horizontal="center" vertical="center" wrapText="1"/>
    </xf>
    <xf numFmtId="0" fontId="107" fillId="74" borderId="47" xfId="61246" applyFont="1" applyFill="1" applyBorder="1" applyAlignment="1">
      <alignment horizontal="center" vertical="center" wrapText="1"/>
    </xf>
    <xf numFmtId="0" fontId="107" fillId="74" borderId="48" xfId="61246" applyFont="1" applyFill="1" applyBorder="1" applyAlignment="1">
      <alignment horizontal="center" vertical="center" wrapText="1"/>
    </xf>
    <xf numFmtId="0" fontId="107" fillId="74" borderId="42" xfId="61246" applyFont="1" applyFill="1" applyBorder="1" applyAlignment="1">
      <alignment horizontal="center" vertical="center" wrapText="1"/>
    </xf>
    <xf numFmtId="0" fontId="107" fillId="74" borderId="2" xfId="61246" applyFont="1" applyFill="1" applyBorder="1" applyAlignment="1">
      <alignment horizontal="center" vertical="center" wrapText="1"/>
    </xf>
    <xf numFmtId="0" fontId="107" fillId="74" borderId="46" xfId="61246" applyFont="1" applyFill="1" applyBorder="1" applyAlignment="1">
      <alignment horizontal="center" vertical="center" wrapText="1"/>
    </xf>
    <xf numFmtId="0" fontId="107" fillId="74" borderId="35" xfId="61246" applyFont="1" applyFill="1" applyBorder="1" applyAlignment="1">
      <alignment horizontal="center" vertical="center" wrapText="1"/>
    </xf>
    <xf numFmtId="0" fontId="107" fillId="74" borderId="63" xfId="61246" applyFont="1" applyFill="1" applyBorder="1" applyAlignment="1">
      <alignment horizontal="center" vertical="center" wrapText="1"/>
    </xf>
    <xf numFmtId="3" fontId="107" fillId="74" borderId="44" xfId="61246" applyNumberFormat="1" applyFont="1" applyFill="1" applyBorder="1" applyAlignment="1">
      <alignment horizontal="center" vertical="center" wrapText="1"/>
    </xf>
    <xf numFmtId="3" fontId="107" fillId="74" borderId="59" xfId="61246" applyNumberFormat="1" applyFont="1" applyFill="1" applyBorder="1" applyAlignment="1">
      <alignment horizontal="center" vertical="center" wrapText="1"/>
    </xf>
    <xf numFmtId="3" fontId="107" fillId="74" borderId="43" xfId="61246" applyNumberFormat="1" applyFont="1" applyFill="1" applyBorder="1" applyAlignment="1">
      <alignment horizontal="center" vertical="center" wrapText="1"/>
    </xf>
    <xf numFmtId="3" fontId="107" fillId="74" borderId="46" xfId="61246" applyNumberFormat="1" applyFont="1" applyFill="1" applyBorder="1" applyAlignment="1">
      <alignment horizontal="center" vertical="center" wrapText="1"/>
    </xf>
    <xf numFmtId="3" fontId="107" fillId="74" borderId="60" xfId="61246" applyNumberFormat="1" applyFont="1" applyFill="1" applyBorder="1" applyAlignment="1">
      <alignment horizontal="center" vertical="center" wrapText="1"/>
    </xf>
    <xf numFmtId="3" fontId="107" fillId="74" borderId="64" xfId="61246" applyNumberFormat="1" applyFont="1" applyFill="1" applyBorder="1" applyAlignment="1">
      <alignment horizontal="center" vertical="center" wrapText="1"/>
    </xf>
    <xf numFmtId="3" fontId="107" fillId="74" borderId="67" xfId="61246" applyNumberFormat="1" applyFont="1" applyFill="1" applyBorder="1" applyAlignment="1">
      <alignment horizontal="center" vertical="center"/>
    </xf>
    <xf numFmtId="3" fontId="107" fillId="74" borderId="45" xfId="61246" applyNumberFormat="1" applyFont="1" applyFill="1" applyBorder="1" applyAlignment="1">
      <alignment horizontal="center" vertical="center" wrapText="1"/>
    </xf>
    <xf numFmtId="3" fontId="107" fillId="74" borderId="65" xfId="61246" applyNumberFormat="1" applyFont="1" applyFill="1" applyBorder="1" applyAlignment="1">
      <alignment horizontal="center" vertical="center" wrapText="1"/>
    </xf>
    <xf numFmtId="3" fontId="107" fillId="74" borderId="53" xfId="61246" applyNumberFormat="1" applyFont="1" applyFill="1" applyBorder="1" applyAlignment="1">
      <alignment horizontal="center" vertical="center" wrapText="1"/>
    </xf>
    <xf numFmtId="0" fontId="138" fillId="74" borderId="43" xfId="61246" applyFont="1" applyFill="1" applyBorder="1" applyAlignment="1">
      <alignment horizontal="center" vertical="center" wrapText="1"/>
    </xf>
    <xf numFmtId="0" fontId="138" fillId="74" borderId="45" xfId="61246" applyFont="1" applyFill="1" applyBorder="1" applyAlignment="1">
      <alignment horizontal="center" vertical="center" wrapText="1"/>
    </xf>
    <xf numFmtId="3" fontId="107" fillId="74" borderId="61" xfId="61246" applyNumberFormat="1" applyFont="1" applyFill="1" applyBorder="1" applyAlignment="1">
      <alignment horizontal="center" vertical="center" wrapText="1"/>
    </xf>
    <xf numFmtId="3" fontId="107" fillId="74" borderId="66" xfId="61246" applyNumberFormat="1" applyFont="1" applyFill="1" applyBorder="1" applyAlignment="1">
      <alignment horizontal="center" vertical="center" wrapText="1"/>
    </xf>
    <xf numFmtId="3" fontId="107" fillId="74" borderId="69" xfId="61246" applyNumberFormat="1" applyFont="1" applyFill="1" applyBorder="1" applyAlignment="1">
      <alignment horizontal="center" vertical="center" wrapText="1"/>
    </xf>
    <xf numFmtId="3" fontId="107" fillId="74" borderId="62" xfId="61246" applyNumberFormat="1" applyFont="1" applyFill="1" applyBorder="1" applyAlignment="1">
      <alignment horizontal="center" vertical="center" wrapText="1"/>
    </xf>
    <xf numFmtId="0" fontId="138" fillId="74" borderId="39" xfId="61246" applyFont="1" applyFill="1" applyBorder="1" applyAlignment="1">
      <alignment horizontal="center" vertical="center" wrapText="1"/>
    </xf>
    <xf numFmtId="0" fontId="138" fillId="74" borderId="58" xfId="61246" applyFont="1" applyFill="1" applyBorder="1" applyAlignment="1">
      <alignment horizontal="center" vertical="center" wrapText="1"/>
    </xf>
    <xf numFmtId="3" fontId="107" fillId="74" borderId="38" xfId="61246" applyNumberFormat="1" applyFont="1" applyFill="1" applyBorder="1" applyAlignment="1">
      <alignment horizontal="center" vertical="center" wrapText="1"/>
    </xf>
    <xf numFmtId="0" fontId="138" fillId="74" borderId="2" xfId="61246" applyFont="1" applyFill="1" applyBorder="1" applyAlignment="1">
      <alignment horizontal="center" vertical="center" wrapText="1"/>
    </xf>
    <xf numFmtId="3" fontId="107" fillId="74" borderId="63" xfId="61246" applyNumberFormat="1" applyFont="1" applyFill="1" applyBorder="1" applyAlignment="1">
      <alignment horizontal="center" vertical="center" wrapText="1"/>
    </xf>
    <xf numFmtId="3" fontId="138" fillId="74" borderId="35" xfId="61246" applyNumberFormat="1" applyFont="1" applyFill="1" applyBorder="1" applyAlignment="1">
      <alignment horizontal="center" vertical="center" wrapText="1"/>
    </xf>
    <xf numFmtId="3" fontId="107" fillId="74" borderId="58" xfId="61246" applyNumberFormat="1" applyFont="1" applyFill="1" applyBorder="1" applyAlignment="1">
      <alignment horizontal="center" vertical="center" wrapText="1"/>
    </xf>
    <xf numFmtId="0" fontId="138" fillId="74" borderId="68" xfId="61246" applyFont="1" applyFill="1" applyBorder="1" applyAlignment="1">
      <alignment horizontal="center" vertical="center" wrapText="1"/>
    </xf>
    <xf numFmtId="3" fontId="107" fillId="74" borderId="1" xfId="61246" applyNumberFormat="1" applyFont="1" applyFill="1" applyBorder="1" applyAlignment="1">
      <alignment horizontal="center" vertical="center" wrapText="1"/>
    </xf>
    <xf numFmtId="0" fontId="138" fillId="74" borderId="38" xfId="61246" applyFont="1" applyFill="1" applyBorder="1" applyAlignment="1">
      <alignment horizontal="center" vertical="center" wrapText="1"/>
    </xf>
    <xf numFmtId="0" fontId="131" fillId="74" borderId="50" xfId="58718" applyFont="1" applyFill="1" applyBorder="1" applyAlignment="1">
      <alignment horizontal="center" vertical="center" wrapText="1"/>
    </xf>
    <xf numFmtId="0" fontId="131" fillId="74" borderId="52" xfId="58718" applyFont="1" applyFill="1" applyBorder="1" applyAlignment="1">
      <alignment horizontal="center" vertical="center" wrapText="1"/>
    </xf>
    <xf numFmtId="0" fontId="133" fillId="74" borderId="2" xfId="58718" applyFont="1" applyFill="1" applyBorder="1" applyAlignment="1">
      <alignment horizontal="center" vertical="center" wrapText="1"/>
    </xf>
    <xf numFmtId="0" fontId="133" fillId="74" borderId="3" xfId="58718" applyFont="1" applyFill="1" applyBorder="1" applyAlignment="1">
      <alignment horizontal="center" vertical="center" wrapText="1"/>
    </xf>
    <xf numFmtId="0" fontId="134" fillId="74" borderId="2" xfId="58718" applyFont="1" applyFill="1" applyBorder="1" applyAlignment="1">
      <alignment horizontal="center" vertical="center" wrapText="1"/>
    </xf>
    <xf numFmtId="0" fontId="134" fillId="74" borderId="3" xfId="58718" applyFont="1" applyFill="1" applyBorder="1" applyAlignment="1">
      <alignment horizontal="center" vertical="center" wrapText="1"/>
    </xf>
    <xf numFmtId="4" fontId="133" fillId="74" borderId="2" xfId="58718" applyNumberFormat="1" applyFont="1" applyFill="1" applyBorder="1" applyAlignment="1">
      <alignment horizontal="center" vertical="center" wrapText="1"/>
    </xf>
    <xf numFmtId="4" fontId="133" fillId="74" borderId="3" xfId="58718" applyNumberFormat="1" applyFont="1" applyFill="1" applyBorder="1" applyAlignment="1">
      <alignment horizontal="center" vertical="center" wrapText="1"/>
    </xf>
    <xf numFmtId="0" fontId="112" fillId="74" borderId="2" xfId="58718" applyFont="1" applyFill="1" applyBorder="1" applyAlignment="1">
      <alignment horizontal="center" vertical="center" wrapText="1"/>
    </xf>
    <xf numFmtId="0" fontId="112" fillId="74" borderId="3" xfId="58718" applyFont="1" applyFill="1" applyBorder="1" applyAlignment="1">
      <alignment horizontal="center" vertical="center" wrapText="1"/>
    </xf>
    <xf numFmtId="0" fontId="131" fillId="74" borderId="49" xfId="58718" applyFont="1" applyFill="1" applyBorder="1" applyAlignment="1">
      <alignment horizontal="center" vertical="center" wrapText="1"/>
    </xf>
    <xf numFmtId="0" fontId="133" fillId="74" borderId="47" xfId="58718" applyFont="1" applyFill="1" applyBorder="1" applyAlignment="1">
      <alignment horizontal="center" vertical="center" wrapText="1"/>
    </xf>
    <xf numFmtId="0" fontId="133" fillId="74" borderId="51" xfId="58718" applyFont="1" applyFill="1" applyBorder="1" applyAlignment="1">
      <alignment horizontal="center" vertical="center" wrapText="1"/>
    </xf>
    <xf numFmtId="0" fontId="126" fillId="74" borderId="0" xfId="58718" applyFont="1" applyFill="1" applyAlignment="1">
      <alignment horizontal="center" vertical="center"/>
    </xf>
    <xf numFmtId="0" fontId="127" fillId="74" borderId="40" xfId="58718" applyFont="1" applyFill="1" applyBorder="1" applyAlignment="1">
      <alignment horizontal="right" vertical="center"/>
    </xf>
    <xf numFmtId="0" fontId="129" fillId="74" borderId="41" xfId="58718" applyFont="1" applyFill="1" applyBorder="1" applyAlignment="1">
      <alignment horizontal="center" vertical="center" wrapText="1"/>
    </xf>
    <xf numFmtId="0" fontId="129" fillId="74" borderId="47" xfId="58718" applyFont="1" applyFill="1" applyBorder="1" applyAlignment="1">
      <alignment horizontal="center" vertical="center" wrapText="1"/>
    </xf>
    <xf numFmtId="0" fontId="129" fillId="74" borderId="51" xfId="58718" applyFont="1" applyFill="1" applyBorder="1" applyAlignment="1">
      <alignment horizontal="center" vertical="center" wrapText="1"/>
    </xf>
    <xf numFmtId="0" fontId="129" fillId="74" borderId="42" xfId="58718" applyFont="1" applyFill="1" applyBorder="1" applyAlignment="1">
      <alignment horizontal="center" vertical="center" wrapText="1"/>
    </xf>
    <xf numFmtId="0" fontId="129" fillId="74" borderId="2" xfId="58718" applyFont="1" applyFill="1" applyBorder="1" applyAlignment="1">
      <alignment horizontal="center" vertical="center" wrapText="1"/>
    </xf>
    <xf numFmtId="0" fontId="129" fillId="74" borderId="3" xfId="58718" applyFont="1" applyFill="1" applyBorder="1" applyAlignment="1">
      <alignment horizontal="center" vertical="center" wrapText="1"/>
    </xf>
    <xf numFmtId="0" fontId="129" fillId="74" borderId="43" xfId="58718" applyFont="1" applyFill="1" applyBorder="1" applyAlignment="1">
      <alignment horizontal="center" vertical="center" wrapText="1"/>
    </xf>
    <xf numFmtId="0" fontId="129" fillId="74" borderId="1" xfId="58718" applyFont="1" applyFill="1" applyBorder="1" applyAlignment="1">
      <alignment horizontal="center" vertical="center" wrapText="1"/>
    </xf>
    <xf numFmtId="0" fontId="130" fillId="74" borderId="44" xfId="58718" applyFont="1" applyFill="1" applyBorder="1" applyAlignment="1">
      <alignment horizontal="center" vertical="center" wrapText="1"/>
    </xf>
    <xf numFmtId="0" fontId="130" fillId="74" borderId="43" xfId="58718" applyFont="1" applyFill="1" applyBorder="1" applyAlignment="1">
      <alignment horizontal="center" vertical="center" wrapText="1"/>
    </xf>
    <xf numFmtId="0" fontId="130" fillId="74" borderId="45" xfId="58718" applyFont="1" applyFill="1" applyBorder="1" applyAlignment="1">
      <alignment horizontal="center" vertical="center" wrapText="1"/>
    </xf>
    <xf numFmtId="0" fontId="131" fillId="74" borderId="44" xfId="58718" applyFont="1" applyFill="1" applyBorder="1" applyAlignment="1">
      <alignment horizontal="center" vertical="center" wrapText="1"/>
    </xf>
    <xf numFmtId="0" fontId="131" fillId="74" borderId="43" xfId="58718" applyFont="1" applyFill="1" applyBorder="1" applyAlignment="1">
      <alignment horizontal="center" vertical="center" wrapText="1"/>
    </xf>
    <xf numFmtId="0" fontId="131" fillId="74" borderId="45" xfId="58718" applyFont="1" applyFill="1" applyBorder="1" applyAlignment="1">
      <alignment horizontal="center" vertical="center" wrapText="1"/>
    </xf>
    <xf numFmtId="0" fontId="131" fillId="74" borderId="46" xfId="58718" applyFont="1" applyFill="1" applyBorder="1" applyAlignment="1">
      <alignment horizontal="center" vertical="center" wrapText="1"/>
    </xf>
    <xf numFmtId="0" fontId="98" fillId="74" borderId="48" xfId="58718" applyFont="1" applyFill="1" applyBorder="1" applyAlignment="1">
      <alignment horizontal="center" vertical="center" wrapText="1"/>
    </xf>
    <xf numFmtId="0" fontId="98" fillId="74" borderId="51" xfId="58718" applyFont="1" applyFill="1" applyBorder="1" applyAlignment="1">
      <alignment horizontal="center" vertical="center" wrapText="1"/>
    </xf>
    <xf numFmtId="0" fontId="129" fillId="74" borderId="38" xfId="58718" applyFont="1" applyFill="1" applyBorder="1" applyAlignment="1">
      <alignment horizontal="center" vertical="center" wrapText="1"/>
    </xf>
    <xf numFmtId="0" fontId="131" fillId="74" borderId="49" xfId="58718" applyFont="1" applyFill="1" applyBorder="1" applyAlignment="1">
      <alignment horizontal="center" vertical="center"/>
    </xf>
    <xf numFmtId="0" fontId="131" fillId="74" borderId="52" xfId="58718" applyFont="1" applyFill="1" applyBorder="1" applyAlignment="1">
      <alignment horizontal="center" vertical="center"/>
    </xf>
    <xf numFmtId="0" fontId="112" fillId="74" borderId="47" xfId="58718" applyFont="1" applyFill="1" applyBorder="1" applyAlignment="1">
      <alignment horizontal="center" vertical="center" wrapText="1"/>
    </xf>
    <xf numFmtId="0" fontId="112" fillId="74" borderId="51" xfId="58718" applyFont="1" applyFill="1" applyBorder="1" applyAlignment="1">
      <alignment horizontal="center" vertical="center" wrapText="1"/>
    </xf>
    <xf numFmtId="0" fontId="124" fillId="74" borderId="0" xfId="61245" applyFont="1" applyFill="1" applyAlignment="1">
      <alignment horizontal="center" vertical="center" wrapText="1"/>
    </xf>
    <xf numFmtId="0" fontId="95" fillId="74" borderId="1" xfId="61245" applyFont="1" applyFill="1" applyBorder="1" applyAlignment="1">
      <alignment horizontal="center" vertical="center" wrapText="1"/>
    </xf>
    <xf numFmtId="49" fontId="95" fillId="74" borderId="38" xfId="61245" applyNumberFormat="1" applyFont="1" applyFill="1" applyBorder="1" applyAlignment="1">
      <alignment horizontal="center" vertical="center" wrapText="1"/>
    </xf>
    <xf numFmtId="49" fontId="95" fillId="74" borderId="3" xfId="61245" applyNumberFormat="1" applyFont="1" applyFill="1" applyBorder="1" applyAlignment="1">
      <alignment horizontal="center" vertical="center" wrapText="1"/>
    </xf>
    <xf numFmtId="3" fontId="95" fillId="74" borderId="1" xfId="61245" applyNumberFormat="1" applyFont="1" applyFill="1" applyBorder="1" applyAlignment="1">
      <alignment horizontal="center" vertical="center" wrapText="1"/>
    </xf>
    <xf numFmtId="0" fontId="125" fillId="74" borderId="1" xfId="61245" applyFont="1" applyFill="1" applyBorder="1" applyAlignment="1">
      <alignment horizontal="center" vertical="center" wrapText="1"/>
    </xf>
    <xf numFmtId="3" fontId="102" fillId="74" borderId="0" xfId="61238" applyNumberFormat="1" applyFont="1" applyFill="1" applyAlignment="1">
      <alignment horizontal="center" vertical="center" wrapText="1"/>
    </xf>
    <xf numFmtId="3" fontId="105" fillId="74" borderId="29" xfId="61238" applyNumberFormat="1" applyFont="1" applyFill="1" applyBorder="1" applyAlignment="1">
      <alignment horizontal="center" vertical="center" wrapText="1"/>
    </xf>
    <xf numFmtId="3" fontId="105" fillId="74" borderId="2" xfId="61238" applyNumberFormat="1" applyFont="1" applyFill="1" applyBorder="1" applyAlignment="1">
      <alignment horizontal="center" vertical="center" wrapText="1"/>
    </xf>
    <xf numFmtId="3" fontId="105" fillId="74" borderId="3" xfId="61238" applyNumberFormat="1" applyFont="1" applyFill="1" applyBorder="1" applyAlignment="1">
      <alignment horizontal="center" vertical="center" wrapText="1"/>
    </xf>
    <xf numFmtId="3" fontId="105" fillId="74" borderId="30" xfId="61238" applyNumberFormat="1" applyFont="1" applyFill="1" applyBorder="1" applyAlignment="1">
      <alignment horizontal="center" vertical="center" wrapText="1"/>
    </xf>
    <xf numFmtId="3" fontId="105" fillId="74" borderId="31" xfId="61238" applyNumberFormat="1" applyFont="1" applyFill="1" applyBorder="1" applyAlignment="1">
      <alignment horizontal="center" vertical="center" wrapText="1"/>
    </xf>
    <xf numFmtId="3" fontId="105" fillId="74" borderId="32" xfId="61238" applyNumberFormat="1" applyFont="1" applyFill="1" applyBorder="1" applyAlignment="1">
      <alignment horizontal="center" vertical="center" wrapText="1"/>
    </xf>
    <xf numFmtId="3" fontId="105" fillId="74" borderId="33" xfId="61238" applyNumberFormat="1" applyFont="1" applyFill="1" applyBorder="1" applyAlignment="1">
      <alignment horizontal="center" vertical="center" wrapText="1"/>
    </xf>
    <xf numFmtId="3" fontId="105" fillId="74" borderId="35" xfId="61238" applyNumberFormat="1" applyFont="1" applyFill="1" applyBorder="1" applyAlignment="1">
      <alignment horizontal="center" vertical="center" wrapText="1"/>
    </xf>
    <xf numFmtId="3" fontId="105" fillId="74" borderId="36" xfId="61238" applyNumberFormat="1" applyFont="1" applyFill="1" applyBorder="1" applyAlignment="1">
      <alignment horizontal="center" vertical="center" wrapText="1"/>
    </xf>
    <xf numFmtId="3" fontId="105" fillId="74" borderId="28" xfId="61238" applyNumberFormat="1" applyFont="1" applyFill="1" applyBorder="1" applyAlignment="1">
      <alignment horizontal="center" vertical="center" wrapText="1"/>
    </xf>
    <xf numFmtId="3" fontId="105" fillId="74" borderId="27" xfId="61238" applyNumberFormat="1" applyFont="1" applyFill="1" applyBorder="1" applyAlignment="1">
      <alignment horizontal="center" vertical="center" wrapText="1"/>
    </xf>
    <xf numFmtId="3" fontId="105" fillId="74" borderId="34" xfId="61238" applyNumberFormat="1" applyFont="1" applyFill="1" applyBorder="1" applyAlignment="1">
      <alignment horizontal="center" vertical="center" wrapText="1"/>
    </xf>
    <xf numFmtId="3" fontId="105" fillId="74" borderId="1" xfId="61238" applyNumberFormat="1" applyFont="1" applyFill="1" applyBorder="1" applyAlignment="1">
      <alignment horizontal="center" vertical="center" wrapText="1"/>
    </xf>
    <xf numFmtId="4" fontId="106" fillId="74" borderId="30" xfId="0" applyNumberFormat="1" applyFont="1" applyFill="1" applyBorder="1" applyAlignment="1">
      <alignment horizontal="center" vertical="center" wrapText="1"/>
    </xf>
    <xf numFmtId="4" fontId="106" fillId="74" borderId="31" xfId="0" applyNumberFormat="1" applyFont="1" applyFill="1" applyBorder="1" applyAlignment="1">
      <alignment horizontal="center" vertical="center" wrapText="1"/>
    </xf>
    <xf numFmtId="4" fontId="106" fillId="74" borderId="37" xfId="0" applyNumberFormat="1" applyFont="1" applyFill="1" applyBorder="1" applyAlignment="1">
      <alignment horizontal="center" vertical="center" wrapText="1"/>
    </xf>
    <xf numFmtId="0" fontId="106" fillId="74" borderId="1" xfId="0" applyFont="1" applyFill="1" applyBorder="1" applyAlignment="1">
      <alignment horizontal="center" vertical="center"/>
    </xf>
    <xf numFmtId="0" fontId="97" fillId="74" borderId="0" xfId="61239" applyFont="1" applyFill="1" applyAlignment="1">
      <alignment horizontal="center" vertical="center" wrapText="1"/>
    </xf>
    <xf numFmtId="0" fontId="95" fillId="74" borderId="0" xfId="61239" applyFont="1" applyFill="1" applyAlignment="1">
      <alignment wrapText="1"/>
    </xf>
    <xf numFmtId="0" fontId="37" fillId="74" borderId="29" xfId="61239" applyFont="1" applyFill="1" applyBorder="1" applyAlignment="1">
      <alignment horizontal="center" vertical="center" wrapText="1"/>
    </xf>
    <xf numFmtId="0" fontId="37" fillId="74" borderId="2" xfId="61239" applyFont="1" applyFill="1" applyBorder="1" applyAlignment="1">
      <alignment horizontal="center" vertical="center" wrapText="1"/>
    </xf>
    <xf numFmtId="0" fontId="37" fillId="74" borderId="3" xfId="61239" applyFont="1" applyFill="1" applyBorder="1" applyAlignment="1">
      <alignment horizontal="center" vertical="center" wrapText="1"/>
    </xf>
    <xf numFmtId="0" fontId="37" fillId="74" borderId="1" xfId="61239" applyFont="1" applyFill="1" applyBorder="1" applyAlignment="1">
      <alignment horizontal="center" vertical="center" wrapText="1"/>
    </xf>
    <xf numFmtId="3" fontId="37" fillId="74" borderId="1" xfId="61240" applyNumberFormat="1" applyFont="1" applyFill="1" applyBorder="1" applyAlignment="1">
      <alignment horizontal="center" vertical="center" wrapText="1"/>
    </xf>
    <xf numFmtId="0" fontId="37" fillId="74" borderId="32" xfId="61239" applyFont="1" applyFill="1" applyBorder="1" applyAlignment="1">
      <alignment horizontal="center" vertical="center" wrapText="1"/>
    </xf>
    <xf numFmtId="0" fontId="37" fillId="74" borderId="33" xfId="61239" applyFont="1" applyFill="1" applyBorder="1" applyAlignment="1">
      <alignment horizontal="center" vertical="center" wrapText="1"/>
    </xf>
    <xf numFmtId="0" fontId="37" fillId="74" borderId="35" xfId="61239" applyFont="1" applyFill="1" applyBorder="1" applyAlignment="1">
      <alignment horizontal="center" vertical="center" wrapText="1"/>
    </xf>
    <xf numFmtId="0" fontId="37" fillId="74" borderId="36" xfId="61239" applyFont="1" applyFill="1" applyBorder="1" applyAlignment="1">
      <alignment horizontal="center" vertical="center" wrapText="1"/>
    </xf>
    <xf numFmtId="0" fontId="37" fillId="74" borderId="28" xfId="61239" applyFont="1" applyFill="1" applyBorder="1" applyAlignment="1">
      <alignment horizontal="center" vertical="center" wrapText="1"/>
    </xf>
    <xf numFmtId="0" fontId="37" fillId="74" borderId="27" xfId="61239" applyFont="1" applyFill="1" applyBorder="1" applyAlignment="1">
      <alignment horizontal="center" vertical="center" wrapText="1"/>
    </xf>
    <xf numFmtId="3" fontId="37" fillId="74" borderId="32" xfId="61240" applyNumberFormat="1" applyFont="1" applyFill="1" applyBorder="1" applyAlignment="1">
      <alignment horizontal="center" vertical="center" wrapText="1"/>
    </xf>
    <xf numFmtId="3" fontId="37" fillId="74" borderId="33" xfId="61240" applyNumberFormat="1" applyFont="1" applyFill="1" applyBorder="1" applyAlignment="1">
      <alignment horizontal="center" vertical="center" wrapText="1"/>
    </xf>
    <xf numFmtId="3" fontId="37" fillId="74" borderId="35" xfId="61240" applyNumberFormat="1" applyFont="1" applyFill="1" applyBorder="1" applyAlignment="1">
      <alignment horizontal="center" vertical="center" wrapText="1"/>
    </xf>
    <xf numFmtId="3" fontId="37" fillId="74" borderId="36" xfId="61240" applyNumberFormat="1" applyFont="1" applyFill="1" applyBorder="1" applyAlignment="1">
      <alignment horizontal="center" vertical="center" wrapText="1"/>
    </xf>
    <xf numFmtId="3" fontId="37" fillId="74" borderId="28" xfId="61240" applyNumberFormat="1" applyFont="1" applyFill="1" applyBorder="1" applyAlignment="1">
      <alignment horizontal="center" vertical="center" wrapText="1"/>
    </xf>
    <xf numFmtId="3" fontId="37" fillId="74" borderId="27" xfId="61240" applyNumberFormat="1" applyFont="1" applyFill="1" applyBorder="1" applyAlignment="1">
      <alignment horizontal="center" vertical="center" wrapText="1"/>
    </xf>
    <xf numFmtId="3" fontId="37" fillId="74" borderId="34" xfId="61240" applyNumberFormat="1" applyFont="1" applyFill="1" applyBorder="1" applyAlignment="1">
      <alignment horizontal="center" vertical="center" wrapText="1"/>
    </xf>
    <xf numFmtId="3" fontId="37" fillId="74" borderId="26" xfId="61240" applyNumberFormat="1" applyFont="1" applyFill="1" applyBorder="1" applyAlignment="1">
      <alignment horizontal="center" vertical="center" wrapText="1"/>
    </xf>
    <xf numFmtId="0" fontId="107" fillId="74" borderId="32" xfId="61239" applyFont="1" applyFill="1" applyBorder="1" applyAlignment="1">
      <alignment horizontal="center" vertical="center" wrapText="1"/>
    </xf>
    <xf numFmtId="0" fontId="107" fillId="74" borderId="33" xfId="61239" applyFont="1" applyFill="1" applyBorder="1" applyAlignment="1">
      <alignment horizontal="center" vertical="center" wrapText="1"/>
    </xf>
    <xf numFmtId="0" fontId="107" fillId="74" borderId="35" xfId="61239" applyFont="1" applyFill="1" applyBorder="1" applyAlignment="1">
      <alignment horizontal="center" vertical="center" wrapText="1"/>
    </xf>
    <xf numFmtId="0" fontId="107" fillId="74" borderId="36" xfId="61239" applyFont="1" applyFill="1" applyBorder="1" applyAlignment="1">
      <alignment horizontal="center" vertical="center" wrapText="1"/>
    </xf>
    <xf numFmtId="0" fontId="107" fillId="74" borderId="28" xfId="61239" applyFont="1" applyFill="1" applyBorder="1" applyAlignment="1">
      <alignment horizontal="center" vertical="center" wrapText="1"/>
    </xf>
    <xf numFmtId="0" fontId="107" fillId="74" borderId="27" xfId="61239" applyFont="1" applyFill="1" applyBorder="1" applyAlignment="1">
      <alignment horizontal="center" vertical="center" wrapText="1"/>
    </xf>
    <xf numFmtId="3" fontId="37" fillId="74" borderId="29" xfId="61240" applyNumberFormat="1" applyFont="1" applyFill="1" applyBorder="1" applyAlignment="1">
      <alignment horizontal="center" vertical="center" wrapText="1"/>
    </xf>
    <xf numFmtId="3" fontId="37" fillId="74" borderId="2" xfId="61240" applyNumberFormat="1" applyFont="1" applyFill="1" applyBorder="1" applyAlignment="1">
      <alignment horizontal="center" vertical="center" wrapText="1"/>
    </xf>
    <xf numFmtId="3" fontId="37" fillId="74" borderId="3" xfId="61240" applyNumberFormat="1" applyFont="1" applyFill="1" applyBorder="1" applyAlignment="1">
      <alignment horizontal="center" vertical="center" wrapText="1"/>
    </xf>
    <xf numFmtId="0" fontId="37" fillId="74" borderId="30" xfId="61239" applyFont="1" applyFill="1" applyBorder="1" applyAlignment="1">
      <alignment horizontal="center" vertical="center" wrapText="1"/>
    </xf>
    <xf numFmtId="0" fontId="37" fillId="74" borderId="31" xfId="61239" applyFont="1" applyFill="1" applyBorder="1" applyAlignment="1">
      <alignment horizontal="center" vertical="center" wrapText="1"/>
    </xf>
    <xf numFmtId="0" fontId="37" fillId="74" borderId="37" xfId="61239" applyFont="1" applyFill="1" applyBorder="1" applyAlignment="1">
      <alignment horizontal="center" vertical="center" wrapText="1"/>
    </xf>
    <xf numFmtId="3" fontId="37" fillId="74" borderId="30" xfId="61240" applyNumberFormat="1" applyFont="1" applyFill="1" applyBorder="1" applyAlignment="1">
      <alignment horizontal="center" vertical="center" wrapText="1"/>
    </xf>
    <xf numFmtId="3" fontId="37" fillId="74" borderId="31" xfId="61240" applyNumberFormat="1" applyFont="1" applyFill="1" applyBorder="1" applyAlignment="1">
      <alignment horizontal="center" vertical="center" wrapText="1"/>
    </xf>
    <xf numFmtId="3" fontId="37" fillId="74" borderId="37" xfId="61240" applyNumberFormat="1" applyFont="1" applyFill="1" applyBorder="1" applyAlignment="1">
      <alignment horizontal="center" vertical="center" wrapText="1"/>
    </xf>
    <xf numFmtId="0" fontId="96" fillId="74" borderId="1" xfId="61240" applyFont="1" applyFill="1" applyBorder="1" applyAlignment="1">
      <alignment horizontal="center" vertical="center"/>
    </xf>
    <xf numFmtId="4" fontId="96" fillId="74" borderId="30" xfId="61240" applyNumberFormat="1" applyFont="1" applyFill="1" applyBorder="1" applyAlignment="1">
      <alignment horizontal="center" vertical="center" wrapText="1"/>
    </xf>
    <xf numFmtId="4" fontId="96" fillId="74" borderId="31" xfId="61240" applyNumberFormat="1" applyFont="1" applyFill="1" applyBorder="1" applyAlignment="1">
      <alignment horizontal="center" vertical="center" wrapText="1"/>
    </xf>
    <xf numFmtId="4" fontId="96" fillId="74" borderId="37" xfId="61240" applyNumberFormat="1" applyFont="1" applyFill="1" applyBorder="1" applyAlignment="1">
      <alignment horizontal="center" vertical="center" wrapText="1"/>
    </xf>
    <xf numFmtId="3" fontId="109" fillId="0" borderId="3" xfId="61241" applyNumberFormat="1" applyFont="1" applyFill="1" applyBorder="1" applyAlignment="1">
      <alignment horizontal="center" vertical="center" wrapText="1"/>
    </xf>
    <xf numFmtId="3" fontId="109" fillId="0" borderId="1" xfId="61241" applyNumberFormat="1" applyFont="1" applyFill="1" applyBorder="1" applyAlignment="1">
      <alignment horizontal="center" vertical="center" wrapText="1"/>
    </xf>
    <xf numFmtId="3" fontId="112" fillId="0" borderId="1" xfId="61241" applyNumberFormat="1" applyFont="1" applyFill="1" applyBorder="1" applyAlignment="1">
      <alignment horizontal="center"/>
    </xf>
    <xf numFmtId="0" fontId="96" fillId="0" borderId="1" xfId="0" applyFont="1" applyFill="1" applyBorder="1" applyAlignment="1">
      <alignment horizontal="center" vertical="center"/>
    </xf>
    <xf numFmtId="3" fontId="111" fillId="0" borderId="26" xfId="61241" applyNumberFormat="1" applyFont="1" applyFill="1" applyBorder="1" applyAlignment="1">
      <alignment horizontal="center" vertical="center" wrapText="1"/>
    </xf>
    <xf numFmtId="3" fontId="95" fillId="0" borderId="29" xfId="61241" applyNumberFormat="1" applyFont="1" applyFill="1" applyBorder="1" applyAlignment="1">
      <alignment horizontal="center" vertical="center" wrapText="1"/>
    </xf>
    <xf numFmtId="3" fontId="95" fillId="0" borderId="2" xfId="61241" applyNumberFormat="1" applyFont="1" applyFill="1" applyBorder="1" applyAlignment="1">
      <alignment horizontal="center" vertical="center" wrapText="1"/>
    </xf>
    <xf numFmtId="3" fontId="95" fillId="0" borderId="3" xfId="61241" applyNumberFormat="1" applyFont="1" applyFill="1" applyBorder="1" applyAlignment="1">
      <alignment horizontal="center" vertical="center" wrapText="1"/>
    </xf>
    <xf numFmtId="3" fontId="109" fillId="0" borderId="28" xfId="61241" applyNumberFormat="1" applyFont="1" applyFill="1" applyBorder="1" applyAlignment="1">
      <alignment horizontal="center" vertical="center" wrapText="1"/>
    </xf>
    <xf numFmtId="3" fontId="109" fillId="0" borderId="26" xfId="61241" applyNumberFormat="1" applyFont="1" applyFill="1" applyBorder="1" applyAlignment="1">
      <alignment horizontal="center" vertical="center" wrapText="1"/>
    </xf>
    <xf numFmtId="4" fontId="37" fillId="0" borderId="30" xfId="0" applyNumberFormat="1" applyFont="1" applyFill="1" applyBorder="1" applyAlignment="1">
      <alignment horizontal="center" vertical="center" wrapText="1"/>
    </xf>
    <xf numFmtId="4" fontId="37" fillId="0" borderId="31" xfId="0" applyNumberFormat="1" applyFont="1" applyFill="1" applyBorder="1" applyAlignment="1">
      <alignment horizontal="center" vertical="center" wrapText="1"/>
    </xf>
    <xf numFmtId="4" fontId="37" fillId="0" borderId="37" xfId="0" applyNumberFormat="1" applyFont="1" applyFill="1" applyBorder="1" applyAlignment="1">
      <alignment horizontal="center" vertical="center" wrapText="1"/>
    </xf>
    <xf numFmtId="4" fontId="96" fillId="0" borderId="30" xfId="0" applyNumberFormat="1" applyFont="1" applyFill="1" applyBorder="1" applyAlignment="1">
      <alignment horizontal="center" vertical="center" wrapText="1"/>
    </xf>
    <xf numFmtId="4" fontId="96" fillId="0" borderId="31" xfId="0" applyNumberFormat="1" applyFont="1" applyFill="1" applyBorder="1" applyAlignment="1">
      <alignment horizontal="center" vertical="center" wrapText="1"/>
    </xf>
    <xf numFmtId="4" fontId="96" fillId="0" borderId="37" xfId="0" applyNumberFormat="1" applyFont="1" applyFill="1" applyBorder="1" applyAlignment="1">
      <alignment horizontal="center" vertical="center" wrapText="1"/>
    </xf>
    <xf numFmtId="3" fontId="109" fillId="0" borderId="30" xfId="61241" applyNumberFormat="1" applyFont="1" applyFill="1" applyBorder="1" applyAlignment="1">
      <alignment horizontal="center" vertical="center" wrapText="1"/>
    </xf>
    <xf numFmtId="3" fontId="109" fillId="0" borderId="37" xfId="61241" applyNumberFormat="1" applyFont="1" applyFill="1" applyBorder="1" applyAlignment="1">
      <alignment horizontal="center" vertical="center" wrapText="1"/>
    </xf>
    <xf numFmtId="0" fontId="109" fillId="0" borderId="29" xfId="61241" applyFont="1" applyFill="1" applyBorder="1" applyAlignment="1">
      <alignment horizontal="center" vertical="center" wrapText="1"/>
    </xf>
    <xf numFmtId="0" fontId="109" fillId="0" borderId="3" xfId="61241" applyFont="1" applyFill="1" applyBorder="1" applyAlignment="1">
      <alignment horizontal="center" vertical="center" wrapText="1"/>
    </xf>
    <xf numFmtId="0" fontId="109" fillId="0" borderId="1" xfId="61241" applyFont="1" applyFill="1" applyBorder="1" applyAlignment="1">
      <alignment horizontal="center" vertical="center" wrapText="1"/>
    </xf>
    <xf numFmtId="0" fontId="112" fillId="0" borderId="30" xfId="61241" applyFont="1" applyFill="1" applyBorder="1" applyAlignment="1">
      <alignment horizontal="center" vertical="center" wrapText="1"/>
    </xf>
    <xf numFmtId="0" fontId="112" fillId="0" borderId="37" xfId="61241" applyFont="1" applyFill="1" applyBorder="1" applyAlignment="1">
      <alignment horizontal="center" vertical="center" wrapText="1"/>
    </xf>
    <xf numFmtId="0" fontId="112" fillId="0" borderId="1" xfId="61241" applyFont="1" applyFill="1" applyBorder="1" applyAlignment="1">
      <alignment horizontal="center" vertical="center" wrapText="1"/>
    </xf>
    <xf numFmtId="0" fontId="111" fillId="0" borderId="26" xfId="61241" applyFont="1" applyFill="1" applyBorder="1" applyAlignment="1">
      <alignment horizontal="center" vertical="center" wrapText="1"/>
    </xf>
    <xf numFmtId="0" fontId="95" fillId="0" borderId="29" xfId="61241" applyFont="1" applyFill="1" applyBorder="1" applyAlignment="1">
      <alignment horizontal="center" vertical="center" wrapText="1"/>
    </xf>
    <xf numFmtId="0" fontId="95" fillId="0" borderId="2" xfId="61241" applyFont="1" applyFill="1" applyBorder="1" applyAlignment="1">
      <alignment horizontal="center" vertical="center" wrapText="1"/>
    </xf>
    <xf numFmtId="0" fontId="95" fillId="0" borderId="3" xfId="61241" applyFont="1" applyFill="1" applyBorder="1" applyAlignment="1">
      <alignment horizontal="center" vertical="center" wrapText="1"/>
    </xf>
    <xf numFmtId="0" fontId="109" fillId="0" borderId="1" xfId="61241" applyFont="1" applyFill="1" applyBorder="1" applyAlignment="1">
      <alignment horizontal="center" vertical="top" wrapText="1"/>
    </xf>
    <xf numFmtId="0" fontId="109" fillId="0" borderId="2" xfId="61241" applyFont="1" applyFill="1" applyBorder="1" applyAlignment="1">
      <alignment horizontal="center" vertical="center" wrapText="1"/>
    </xf>
    <xf numFmtId="0" fontId="111" fillId="0" borderId="0" xfId="61241" applyFont="1" applyFill="1" applyBorder="1" applyAlignment="1">
      <alignment horizontal="center" vertical="center" wrapText="1"/>
    </xf>
    <xf numFmtId="0" fontId="112" fillId="0" borderId="31" xfId="61241" applyFont="1" applyFill="1" applyBorder="1" applyAlignment="1">
      <alignment horizontal="center" vertical="center" wrapText="1"/>
    </xf>
    <xf numFmtId="0" fontId="109" fillId="0" borderId="30" xfId="61241" applyFont="1" applyFill="1" applyBorder="1" applyAlignment="1">
      <alignment horizontal="center" vertical="center" wrapText="1"/>
    </xf>
    <xf numFmtId="0" fontId="109" fillId="0" borderId="37" xfId="61241" applyFont="1" applyFill="1" applyBorder="1" applyAlignment="1">
      <alignment horizontal="center" vertical="center" wrapText="1"/>
    </xf>
    <xf numFmtId="3" fontId="112" fillId="0" borderId="1" xfId="61241" applyNumberFormat="1" applyFont="1" applyFill="1" applyBorder="1" applyAlignment="1">
      <alignment horizontal="center" vertical="center" wrapText="1"/>
    </xf>
    <xf numFmtId="3" fontId="111" fillId="0" borderId="0" xfId="61241" applyNumberFormat="1" applyFont="1" applyFill="1" applyBorder="1" applyAlignment="1">
      <alignment horizontal="center" vertical="center" wrapText="1"/>
    </xf>
    <xf numFmtId="3" fontId="109" fillId="0" borderId="31" xfId="61241" applyNumberFormat="1" applyFont="1" applyFill="1" applyBorder="1" applyAlignment="1">
      <alignment horizontal="center" vertical="center" wrapText="1"/>
    </xf>
    <xf numFmtId="3" fontId="109" fillId="0" borderId="2" xfId="61241" applyNumberFormat="1" applyFont="1" applyFill="1" applyBorder="1" applyAlignment="1">
      <alignment horizontal="center" vertical="center" wrapText="1"/>
    </xf>
    <xf numFmtId="3" fontId="112" fillId="0" borderId="30" xfId="61241" applyNumberFormat="1" applyFont="1" applyFill="1" applyBorder="1" applyAlignment="1">
      <alignment horizontal="center" vertical="center" wrapText="1"/>
    </xf>
    <xf numFmtId="3" fontId="112" fillId="0" borderId="31" xfId="61241" applyNumberFormat="1" applyFont="1" applyFill="1" applyBorder="1" applyAlignment="1">
      <alignment horizontal="center" vertical="center" wrapText="1"/>
    </xf>
    <xf numFmtId="3" fontId="112" fillId="0" borderId="37" xfId="61241" applyNumberFormat="1" applyFont="1" applyFill="1" applyBorder="1" applyAlignment="1">
      <alignment horizontal="center" vertical="center" wrapText="1"/>
    </xf>
    <xf numFmtId="3" fontId="109" fillId="0" borderId="29" xfId="61241" applyNumberFormat="1" applyFont="1" applyFill="1" applyBorder="1" applyAlignment="1">
      <alignment horizontal="center" vertical="center" wrapText="1"/>
    </xf>
    <xf numFmtId="0" fontId="111" fillId="0" borderId="26" xfId="61242" applyFont="1" applyFill="1" applyBorder="1" applyAlignment="1">
      <alignment horizontal="center" vertical="center" wrapText="1"/>
    </xf>
    <xf numFmtId="0" fontId="111" fillId="0" borderId="0" xfId="61242" applyFont="1" applyFill="1" applyBorder="1" applyAlignment="1">
      <alignment horizontal="center" vertical="center" wrapText="1"/>
    </xf>
    <xf numFmtId="0" fontId="109" fillId="0" borderId="1" xfId="61242" applyFont="1" applyFill="1" applyBorder="1" applyAlignment="1">
      <alignment horizontal="center" vertical="center" wrapText="1"/>
    </xf>
    <xf numFmtId="0" fontId="95" fillId="0" borderId="29" xfId="61242" applyFont="1" applyFill="1" applyBorder="1" applyAlignment="1">
      <alignment horizontal="center" vertical="center" wrapText="1"/>
    </xf>
    <xf numFmtId="0" fontId="95" fillId="0" borderId="2" xfId="61242" applyFont="1" applyFill="1" applyBorder="1" applyAlignment="1">
      <alignment horizontal="center" vertical="center" wrapText="1"/>
    </xf>
    <xf numFmtId="0" fontId="95" fillId="0" borderId="3" xfId="61242" applyFont="1" applyFill="1" applyBorder="1" applyAlignment="1">
      <alignment horizontal="center" vertical="center" wrapText="1"/>
    </xf>
    <xf numFmtId="0" fontId="109" fillId="0" borderId="30" xfId="61242" applyFont="1" applyFill="1" applyBorder="1" applyAlignment="1">
      <alignment horizontal="center" vertical="center" wrapText="1"/>
    </xf>
    <xf numFmtId="0" fontId="109" fillId="0" borderId="31" xfId="61242" applyFont="1" applyFill="1" applyBorder="1" applyAlignment="1">
      <alignment horizontal="center" vertical="center" wrapText="1"/>
    </xf>
    <xf numFmtId="0" fontId="109" fillId="0" borderId="37" xfId="61242" applyFont="1" applyFill="1" applyBorder="1" applyAlignment="1">
      <alignment horizontal="center" vertical="center" wrapText="1"/>
    </xf>
    <xf numFmtId="0" fontId="109" fillId="0" borderId="2" xfId="61242" applyFont="1" applyFill="1" applyBorder="1" applyAlignment="1">
      <alignment horizontal="center" vertical="center" wrapText="1"/>
    </xf>
    <xf numFmtId="0" fontId="109" fillId="0" borderId="3" xfId="61242" applyFont="1" applyFill="1" applyBorder="1" applyAlignment="1">
      <alignment horizontal="center" vertical="center" wrapText="1"/>
    </xf>
    <xf numFmtId="0" fontId="112" fillId="0" borderId="30" xfId="61242" applyFont="1" applyFill="1" applyBorder="1" applyAlignment="1">
      <alignment horizontal="center" vertical="center" wrapText="1"/>
    </xf>
    <xf numFmtId="0" fontId="112" fillId="0" borderId="31" xfId="61242" applyFont="1" applyFill="1" applyBorder="1" applyAlignment="1">
      <alignment horizontal="center" vertical="center" wrapText="1"/>
    </xf>
    <xf numFmtId="0" fontId="112" fillId="0" borderId="37" xfId="61242" applyFont="1" applyFill="1" applyBorder="1" applyAlignment="1">
      <alignment horizontal="center" vertical="center" wrapText="1"/>
    </xf>
    <xf numFmtId="0" fontId="112" fillId="0" borderId="1" xfId="61242" applyFont="1" applyFill="1" applyBorder="1" applyAlignment="1">
      <alignment horizontal="center" vertical="center" wrapText="1"/>
    </xf>
    <xf numFmtId="0" fontId="109" fillId="0" borderId="29" xfId="61242" applyFont="1" applyFill="1" applyBorder="1" applyAlignment="1">
      <alignment horizontal="center" vertical="center" wrapText="1"/>
    </xf>
    <xf numFmtId="0" fontId="96" fillId="0" borderId="1" xfId="13" applyFont="1" applyFill="1" applyBorder="1" applyAlignment="1">
      <alignment horizontal="center" vertical="center"/>
    </xf>
    <xf numFmtId="4" fontId="96" fillId="0" borderId="30" xfId="13" applyNumberFormat="1" applyFont="1" applyFill="1" applyBorder="1" applyAlignment="1">
      <alignment horizontal="center" vertical="center" wrapText="1"/>
    </xf>
    <xf numFmtId="4" fontId="96" fillId="0" borderId="31" xfId="13" applyNumberFormat="1" applyFont="1" applyFill="1" applyBorder="1" applyAlignment="1">
      <alignment horizontal="center" vertical="center" wrapText="1"/>
    </xf>
    <xf numFmtId="4" fontId="96" fillId="0" borderId="37" xfId="13" applyNumberFormat="1" applyFont="1" applyFill="1" applyBorder="1" applyAlignment="1">
      <alignment horizontal="center" vertical="center" wrapText="1"/>
    </xf>
    <xf numFmtId="0" fontId="112" fillId="0" borderId="30" xfId="61243" applyFont="1" applyFill="1" applyBorder="1" applyAlignment="1">
      <alignment horizontal="center" vertical="center" wrapText="1"/>
    </xf>
    <xf numFmtId="0" fontId="112" fillId="0" borderId="37" xfId="61243" applyFont="1" applyFill="1" applyBorder="1" applyAlignment="1">
      <alignment horizontal="center" vertical="center" wrapText="1"/>
    </xf>
    <xf numFmtId="0" fontId="109" fillId="0" borderId="30" xfId="61243" applyFont="1" applyFill="1" applyBorder="1" applyAlignment="1">
      <alignment horizontal="center" vertical="center" wrapText="1"/>
    </xf>
    <xf numFmtId="0" fontId="109" fillId="0" borderId="37" xfId="61243" applyFont="1" applyFill="1" applyBorder="1" applyAlignment="1">
      <alignment horizontal="center" vertical="center" wrapText="1"/>
    </xf>
    <xf numFmtId="0" fontId="109" fillId="0" borderId="1" xfId="61243" applyFont="1" applyFill="1" applyBorder="1" applyAlignment="1">
      <alignment horizontal="center" vertical="center" wrapText="1"/>
    </xf>
    <xf numFmtId="0" fontId="120" fillId="0" borderId="26" xfId="61243" applyFont="1" applyFill="1" applyBorder="1" applyAlignment="1">
      <alignment horizontal="center" vertical="center" wrapText="1"/>
    </xf>
    <xf numFmtId="0" fontId="95" fillId="0" borderId="29" xfId="61243" applyFont="1" applyFill="1" applyBorder="1" applyAlignment="1">
      <alignment horizontal="center" vertical="center" wrapText="1"/>
    </xf>
    <xf numFmtId="0" fontId="95" fillId="0" borderId="2" xfId="61243" applyFont="1" applyFill="1" applyBorder="1" applyAlignment="1">
      <alignment horizontal="center" vertical="center" wrapText="1"/>
    </xf>
    <xf numFmtId="0" fontId="95" fillId="0" borderId="3" xfId="61243" applyFont="1" applyFill="1" applyBorder="1" applyAlignment="1">
      <alignment horizontal="center" vertical="center" wrapText="1"/>
    </xf>
    <xf numFmtId="0" fontId="109" fillId="0" borderId="30" xfId="61243" applyFont="1" applyFill="1" applyBorder="1" applyAlignment="1">
      <alignment horizontal="center" vertical="top" wrapText="1"/>
    </xf>
    <xf numFmtId="0" fontId="109" fillId="0" borderId="31" xfId="61243" applyFont="1" applyFill="1" applyBorder="1" applyAlignment="1">
      <alignment horizontal="center" vertical="top" wrapText="1"/>
    </xf>
    <xf numFmtId="0" fontId="109" fillId="0" borderId="37" xfId="61243" applyFont="1" applyFill="1" applyBorder="1" applyAlignment="1">
      <alignment horizontal="center" vertical="top" wrapText="1"/>
    </xf>
    <xf numFmtId="0" fontId="107" fillId="0" borderId="1" xfId="61244" applyFont="1" applyFill="1" applyBorder="1" applyAlignment="1">
      <alignment horizontal="center" vertical="center" wrapText="1"/>
    </xf>
    <xf numFmtId="0" fontId="109" fillId="0" borderId="29" xfId="61243" applyFont="1" applyFill="1" applyBorder="1" applyAlignment="1">
      <alignment horizontal="center" vertical="center" wrapText="1"/>
    </xf>
    <xf numFmtId="0" fontId="109" fillId="0" borderId="2" xfId="61243" applyFont="1" applyFill="1" applyBorder="1" applyAlignment="1">
      <alignment horizontal="center" vertical="center" wrapText="1"/>
    </xf>
    <xf numFmtId="0" fontId="109" fillId="0" borderId="3" xfId="61243" applyFont="1" applyFill="1" applyBorder="1" applyAlignment="1">
      <alignment horizontal="center" vertical="center" wrapText="1"/>
    </xf>
    <xf numFmtId="0" fontId="109" fillId="0" borderId="31" xfId="61243" applyFont="1" applyFill="1" applyBorder="1" applyAlignment="1">
      <alignment horizontal="center" vertical="center" wrapText="1"/>
    </xf>
    <xf numFmtId="3" fontId="123" fillId="0" borderId="1" xfId="61243" applyNumberFormat="1" applyFont="1" applyFill="1" applyBorder="1" applyAlignment="1">
      <alignment horizontal="right"/>
    </xf>
    <xf numFmtId="3" fontId="123" fillId="0" borderId="31" xfId="61243" applyNumberFormat="1" applyFont="1" applyFill="1" applyBorder="1" applyAlignment="1">
      <alignment horizontal="right"/>
    </xf>
    <xf numFmtId="3" fontId="123" fillId="0" borderId="37" xfId="61243" applyNumberFormat="1" applyFont="1" applyFill="1" applyBorder="1" applyAlignment="1">
      <alignment horizontal="right"/>
    </xf>
    <xf numFmtId="3" fontId="109" fillId="0" borderId="29" xfId="61243" applyNumberFormat="1" applyFont="1" applyFill="1" applyBorder="1" applyAlignment="1">
      <alignment horizontal="center" vertical="center" wrapText="1"/>
    </xf>
    <xf numFmtId="3" fontId="109" fillId="0" borderId="2" xfId="61243" applyNumberFormat="1" applyFont="1" applyFill="1" applyBorder="1" applyAlignment="1">
      <alignment horizontal="center" vertical="center" wrapText="1"/>
    </xf>
    <xf numFmtId="3" fontId="109" fillId="0" borderId="3" xfId="61243" applyNumberFormat="1" applyFont="1" applyFill="1" applyBorder="1" applyAlignment="1">
      <alignment horizontal="center" vertical="center" wrapText="1"/>
    </xf>
    <xf numFmtId="3" fontId="112" fillId="0" borderId="30" xfId="61243" applyNumberFormat="1" applyFont="1" applyFill="1" applyBorder="1" applyAlignment="1">
      <alignment horizontal="center" vertical="center" wrapText="1"/>
    </xf>
    <xf numFmtId="3" fontId="112" fillId="0" borderId="37" xfId="61243" applyNumberFormat="1" applyFont="1" applyFill="1" applyBorder="1" applyAlignment="1">
      <alignment horizontal="center" vertical="center" wrapText="1"/>
    </xf>
    <xf numFmtId="3" fontId="112" fillId="0" borderId="1" xfId="61243" applyNumberFormat="1" applyFont="1" applyFill="1" applyBorder="1" applyAlignment="1">
      <alignment horizontal="center" vertical="center" wrapText="1"/>
    </xf>
    <xf numFmtId="3" fontId="120" fillId="0" borderId="26" xfId="61243" applyNumberFormat="1" applyFont="1" applyFill="1" applyBorder="1" applyAlignment="1">
      <alignment horizontal="center" vertical="center" wrapText="1"/>
    </xf>
    <xf numFmtId="3" fontId="109" fillId="0" borderId="1" xfId="61243" applyNumberFormat="1" applyFont="1" applyFill="1" applyBorder="1" applyAlignment="1">
      <alignment horizontal="center" vertical="center" wrapText="1"/>
    </xf>
    <xf numFmtId="3" fontId="95" fillId="0" borderId="29" xfId="61243" applyNumberFormat="1" applyFont="1" applyFill="1" applyBorder="1" applyAlignment="1">
      <alignment horizontal="center" vertical="center" wrapText="1"/>
    </xf>
    <xf numFmtId="3" fontId="95" fillId="0" borderId="2" xfId="61243" applyNumberFormat="1" applyFont="1" applyFill="1" applyBorder="1" applyAlignment="1">
      <alignment horizontal="center" vertical="center" wrapText="1"/>
    </xf>
    <xf numFmtId="3" fontId="95" fillId="0" borderId="3" xfId="61243" applyNumberFormat="1" applyFont="1" applyFill="1" applyBorder="1" applyAlignment="1">
      <alignment horizontal="center" vertical="center" wrapText="1"/>
    </xf>
    <xf numFmtId="3" fontId="109" fillId="0" borderId="30" xfId="61243" applyNumberFormat="1" applyFont="1" applyFill="1" applyBorder="1" applyAlignment="1">
      <alignment horizontal="center" vertical="center" wrapText="1"/>
    </xf>
    <xf numFmtId="3" fontId="109" fillId="0" borderId="31" xfId="61243" applyNumberFormat="1" applyFont="1" applyFill="1" applyBorder="1" applyAlignment="1">
      <alignment horizontal="center" vertical="center" wrapText="1"/>
    </xf>
    <xf numFmtId="3" fontId="109" fillId="0" borderId="37" xfId="61243" applyNumberFormat="1" applyFont="1" applyFill="1" applyBorder="1" applyAlignment="1">
      <alignment horizontal="center" vertical="center" wrapText="1"/>
    </xf>
    <xf numFmtId="3" fontId="109" fillId="0" borderId="32" xfId="61243" applyNumberFormat="1" applyFont="1" applyFill="1" applyBorder="1" applyAlignment="1">
      <alignment horizontal="center" vertical="center" wrapText="1"/>
    </xf>
    <xf numFmtId="3" fontId="109" fillId="0" borderId="34" xfId="61243" applyNumberFormat="1" applyFont="1" applyFill="1" applyBorder="1" applyAlignment="1">
      <alignment horizontal="center" vertical="center" wrapText="1"/>
    </xf>
    <xf numFmtId="3" fontId="109" fillId="0" borderId="33" xfId="61243" applyNumberFormat="1" applyFont="1" applyFill="1" applyBorder="1" applyAlignment="1">
      <alignment horizontal="center" vertical="center" wrapText="1"/>
    </xf>
    <xf numFmtId="3" fontId="109" fillId="0" borderId="28" xfId="61243" applyNumberFormat="1" applyFont="1" applyFill="1" applyBorder="1" applyAlignment="1">
      <alignment horizontal="center" vertical="center" wrapText="1"/>
    </xf>
    <xf numFmtId="3" fontId="109" fillId="0" borderId="26" xfId="61243" applyNumberFormat="1" applyFont="1" applyFill="1" applyBorder="1" applyAlignment="1">
      <alignment horizontal="center" vertical="center" wrapText="1"/>
    </xf>
    <xf numFmtId="3" fontId="109" fillId="0" borderId="27" xfId="61243" applyNumberFormat="1" applyFont="1" applyFill="1" applyBorder="1" applyAlignment="1">
      <alignment horizontal="center" vertical="center" wrapText="1"/>
    </xf>
    <xf numFmtId="3" fontId="112" fillId="0" borderId="31" xfId="61243" applyNumberFormat="1" applyFont="1" applyFill="1" applyBorder="1" applyAlignment="1">
      <alignment horizontal="center" vertical="center" wrapText="1"/>
    </xf>
    <xf numFmtId="3" fontId="147" fillId="74" borderId="1" xfId="61249" applyNumberFormat="1" applyFont="1" applyFill="1" applyBorder="1" applyAlignment="1">
      <alignment horizontal="center" vertical="center" wrapText="1"/>
    </xf>
    <xf numFmtId="3" fontId="147" fillId="74" borderId="1" xfId="61249" applyNumberFormat="1" applyFont="1" applyFill="1" applyBorder="1" applyAlignment="1" applyProtection="1">
      <alignment horizontal="center" vertical="center" wrapText="1"/>
      <protection locked="0"/>
    </xf>
    <xf numFmtId="3" fontId="148" fillId="74" borderId="1" xfId="61249" applyNumberFormat="1" applyFont="1" applyFill="1" applyBorder="1" applyAlignment="1">
      <alignment horizontal="center" vertical="center"/>
    </xf>
    <xf numFmtId="0" fontId="146" fillId="74" borderId="0" xfId="61249" applyFont="1" applyFill="1" applyAlignment="1">
      <alignment horizontal="center" vertical="center"/>
    </xf>
    <xf numFmtId="0" fontId="114" fillId="74" borderId="57" xfId="61249" applyFont="1" applyFill="1" applyBorder="1" applyAlignment="1" applyProtection="1">
      <alignment horizontal="center" vertical="center" wrapText="1"/>
      <protection locked="0"/>
    </xf>
    <xf numFmtId="0" fontId="114" fillId="74" borderId="38" xfId="61249" applyFont="1" applyFill="1" applyBorder="1" applyAlignment="1" applyProtection="1">
      <alignment horizontal="center" vertical="center" wrapText="1"/>
      <protection locked="0"/>
    </xf>
    <xf numFmtId="0" fontId="114" fillId="74" borderId="2" xfId="61249" applyFont="1" applyFill="1" applyBorder="1" applyAlignment="1">
      <alignment horizontal="center" vertical="center" wrapText="1"/>
    </xf>
    <xf numFmtId="0" fontId="114" fillId="74" borderId="3" xfId="61249" applyFont="1" applyFill="1" applyBorder="1" applyAlignment="1">
      <alignment horizontal="center" vertical="center" wrapText="1"/>
    </xf>
    <xf numFmtId="0" fontId="114" fillId="74" borderId="38" xfId="61249" applyFont="1" applyFill="1" applyBorder="1" applyAlignment="1" applyProtection="1">
      <alignment horizontal="center" vertical="center"/>
      <protection locked="0"/>
    </xf>
    <xf numFmtId="0" fontId="114" fillId="74" borderId="2" xfId="61249" applyFont="1" applyFill="1" applyBorder="1" applyAlignment="1" applyProtection="1">
      <alignment horizontal="center" vertical="center"/>
      <protection locked="0"/>
    </xf>
    <xf numFmtId="0" fontId="114" fillId="74" borderId="3" xfId="61249" applyFont="1" applyFill="1" applyBorder="1" applyAlignment="1" applyProtection="1">
      <alignment horizontal="center" vertical="center"/>
      <protection locked="0"/>
    </xf>
    <xf numFmtId="3" fontId="116" fillId="74" borderId="38" xfId="61249" applyNumberFormat="1" applyFont="1" applyFill="1" applyBorder="1" applyAlignment="1">
      <alignment horizontal="center" vertical="center" wrapText="1"/>
    </xf>
    <xf numFmtId="3" fontId="116" fillId="74" borderId="2" xfId="61249" applyNumberFormat="1" applyFont="1" applyFill="1" applyBorder="1" applyAlignment="1">
      <alignment horizontal="center" vertical="center" wrapText="1"/>
    </xf>
    <xf numFmtId="3" fontId="116" fillId="74" borderId="3" xfId="61249" applyNumberFormat="1" applyFont="1" applyFill="1" applyBorder="1" applyAlignment="1">
      <alignment horizontal="center" vertical="center" wrapText="1"/>
    </xf>
    <xf numFmtId="3" fontId="116" fillId="74" borderId="57" xfId="61249" applyNumberFormat="1" applyFont="1" applyFill="1" applyBorder="1" applyAlignment="1" applyProtection="1">
      <alignment horizontal="center" vertical="center"/>
      <protection locked="0"/>
    </xf>
    <xf numFmtId="3" fontId="116" fillId="74" borderId="76" xfId="61249" applyNumberFormat="1" applyFont="1" applyFill="1" applyBorder="1" applyAlignment="1" applyProtection="1">
      <alignment horizontal="center" vertical="center"/>
      <protection locked="0"/>
    </xf>
    <xf numFmtId="3" fontId="116" fillId="74" borderId="58" xfId="61249" applyNumberFormat="1" applyFont="1" applyFill="1" applyBorder="1" applyAlignment="1" applyProtection="1">
      <alignment horizontal="center" vertical="center"/>
      <protection locked="0"/>
    </xf>
    <xf numFmtId="0" fontId="116" fillId="74" borderId="1" xfId="61249" applyFont="1" applyFill="1" applyBorder="1" applyAlignment="1">
      <alignment horizontal="center" vertical="center"/>
    </xf>
    <xf numFmtId="3" fontId="114" fillId="74" borderId="63" xfId="61249" applyNumberFormat="1" applyFont="1" applyFill="1" applyBorder="1" applyAlignment="1" applyProtection="1">
      <alignment horizontal="center" vertical="center" wrapText="1"/>
      <protection locked="0"/>
    </xf>
    <xf numFmtId="3" fontId="114" fillId="74" borderId="68" xfId="61249" applyNumberFormat="1" applyFont="1" applyFill="1" applyBorder="1" applyAlignment="1" applyProtection="1">
      <alignment horizontal="center" vertical="center" wrapText="1"/>
      <protection locked="0"/>
    </xf>
    <xf numFmtId="3" fontId="114" fillId="74" borderId="28" xfId="61249" applyNumberFormat="1" applyFont="1" applyFill="1" applyBorder="1" applyAlignment="1" applyProtection="1">
      <alignment horizontal="center" vertical="center" wrapText="1"/>
      <protection locked="0"/>
    </xf>
    <xf numFmtId="3" fontId="114" fillId="74" borderId="27" xfId="61249" applyNumberFormat="1" applyFont="1" applyFill="1" applyBorder="1" applyAlignment="1" applyProtection="1">
      <alignment horizontal="center" vertical="center" wrapText="1"/>
      <protection locked="0"/>
    </xf>
    <xf numFmtId="3" fontId="114" fillId="74" borderId="1" xfId="61249" applyNumberFormat="1" applyFont="1" applyFill="1" applyBorder="1" applyAlignment="1" applyProtection="1">
      <alignment horizontal="center" vertical="center"/>
      <protection locked="0"/>
    </xf>
    <xf numFmtId="3" fontId="116" fillId="74" borderId="1" xfId="61249" applyNumberFormat="1" applyFont="1" applyFill="1" applyBorder="1" applyAlignment="1">
      <alignment horizontal="center" vertical="center"/>
    </xf>
    <xf numFmtId="3" fontId="114" fillId="74" borderId="1" xfId="61249" applyNumberFormat="1" applyFont="1" applyFill="1" applyBorder="1" applyAlignment="1">
      <alignment horizontal="center" vertical="center" wrapText="1"/>
    </xf>
    <xf numFmtId="0" fontId="114" fillId="74" borderId="1" xfId="61249" applyFont="1" applyFill="1" applyBorder="1" applyAlignment="1">
      <alignment horizontal="center" vertical="center" wrapText="1"/>
    </xf>
    <xf numFmtId="3" fontId="147" fillId="74" borderId="38" xfId="61249" applyNumberFormat="1" applyFont="1" applyFill="1" applyBorder="1" applyAlignment="1" applyProtection="1">
      <alignment horizontal="center" vertical="center" wrapText="1"/>
      <protection locked="0"/>
    </xf>
    <xf numFmtId="3" fontId="147" fillId="74" borderId="3" xfId="61249" applyNumberFormat="1" applyFont="1" applyFill="1" applyBorder="1" applyAlignment="1" applyProtection="1">
      <alignment horizontal="center" vertical="center" wrapText="1"/>
      <protection locked="0"/>
    </xf>
    <xf numFmtId="3" fontId="37" fillId="74" borderId="38" xfId="58524" applyNumberFormat="1" applyFont="1" applyFill="1" applyBorder="1" applyAlignment="1">
      <alignment horizontal="center" vertical="center" wrapText="1"/>
    </xf>
    <xf numFmtId="3" fontId="37" fillId="74" borderId="2" xfId="58524" applyNumberFormat="1" applyFont="1" applyFill="1" applyBorder="1" applyAlignment="1">
      <alignment horizontal="center" vertical="center" wrapText="1"/>
    </xf>
    <xf numFmtId="4" fontId="96" fillId="0" borderId="57" xfId="13" applyNumberFormat="1" applyFont="1" applyFill="1" applyBorder="1" applyAlignment="1">
      <alignment horizontal="center" vertical="center" wrapText="1"/>
    </xf>
    <xf numFmtId="4" fontId="96" fillId="0" borderId="76" xfId="13" applyNumberFormat="1" applyFont="1" applyFill="1" applyBorder="1" applyAlignment="1">
      <alignment horizontal="center" vertical="center" wrapText="1"/>
    </xf>
    <xf numFmtId="4" fontId="96" fillId="0" borderId="58" xfId="13" applyNumberFormat="1" applyFont="1" applyFill="1" applyBorder="1" applyAlignment="1">
      <alignment horizontal="center" vertical="center" wrapText="1"/>
    </xf>
    <xf numFmtId="0" fontId="124" fillId="76" borderId="0" xfId="58524" applyNumberFormat="1" applyFont="1" applyFill="1" applyBorder="1" applyAlignment="1">
      <alignment horizontal="center" vertical="center" wrapText="1"/>
    </xf>
    <xf numFmtId="0" fontId="154" fillId="0" borderId="0" xfId="61250" applyFont="1" applyAlignment="1">
      <alignment horizontal="center" vertical="center" wrapText="1"/>
    </xf>
    <xf numFmtId="0" fontId="37" fillId="76" borderId="38" xfId="58524" applyFont="1" applyFill="1" applyBorder="1" applyAlignment="1">
      <alignment horizontal="center" vertical="center" wrapText="1"/>
    </xf>
    <xf numFmtId="0" fontId="37" fillId="76" borderId="2" xfId="58524" applyFont="1" applyFill="1" applyBorder="1" applyAlignment="1">
      <alignment horizontal="center" vertical="center" wrapText="1"/>
    </xf>
    <xf numFmtId="0" fontId="37" fillId="76" borderId="3" xfId="58524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37" fillId="74" borderId="38" xfId="58524" applyFont="1" applyFill="1" applyBorder="1" applyAlignment="1">
      <alignment horizontal="center" vertical="center" wrapText="1"/>
    </xf>
    <xf numFmtId="0" fontId="37" fillId="74" borderId="2" xfId="58524" applyFont="1" applyFill="1" applyBorder="1" applyAlignment="1">
      <alignment horizontal="center" vertical="center" wrapText="1"/>
    </xf>
    <xf numFmtId="0" fontId="37" fillId="74" borderId="3" xfId="58524" applyFont="1" applyFill="1" applyBorder="1" applyAlignment="1">
      <alignment horizontal="center" vertical="center" wrapText="1"/>
    </xf>
    <xf numFmtId="2" fontId="37" fillId="74" borderId="38" xfId="58524" applyNumberFormat="1" applyFont="1" applyFill="1" applyBorder="1" applyAlignment="1">
      <alignment horizontal="center" vertical="center" wrapText="1"/>
    </xf>
    <xf numFmtId="1" fontId="37" fillId="76" borderId="1" xfId="58524" applyNumberFormat="1" applyFont="1" applyFill="1" applyBorder="1" applyAlignment="1">
      <alignment horizontal="center" vertical="center" wrapText="1"/>
    </xf>
    <xf numFmtId="0" fontId="37" fillId="0" borderId="1" xfId="58524" applyFont="1" applyBorder="1" applyAlignment="1">
      <alignment horizontal="center" vertical="center" wrapText="1"/>
    </xf>
    <xf numFmtId="3" fontId="37" fillId="74" borderId="3" xfId="58524" applyNumberFormat="1" applyFont="1" applyFill="1" applyBorder="1" applyAlignment="1">
      <alignment horizontal="center" vertical="center" wrapText="1"/>
    </xf>
  </cellXfs>
  <cellStyles count="61252">
    <cellStyle name="20% - Accent1" xfId="19"/>
    <cellStyle name="20% - Accent1 2" xfId="20"/>
    <cellStyle name="20% - Accent1_объемы 2018г111" xfId="60886"/>
    <cellStyle name="20% - Accent2" xfId="21"/>
    <cellStyle name="20% - Accent2 2" xfId="22"/>
    <cellStyle name="20% - Accent2_объемы 2018г111" xfId="60887"/>
    <cellStyle name="20% - Accent3" xfId="23"/>
    <cellStyle name="20% - Accent3 2" xfId="24"/>
    <cellStyle name="20% - Accent3_объемы 2018г111" xfId="60888"/>
    <cellStyle name="20% - Accent4" xfId="25"/>
    <cellStyle name="20% - Accent4 2" xfId="26"/>
    <cellStyle name="20% - Accent4_объемы 2018г111" xfId="60889"/>
    <cellStyle name="20% - Accent5" xfId="27"/>
    <cellStyle name="20% - Accent5 2" xfId="28"/>
    <cellStyle name="20% - Accent5_объемы 2018г111" xfId="60890"/>
    <cellStyle name="20% - Accent6" xfId="29"/>
    <cellStyle name="20% - Accent6 2" xfId="30"/>
    <cellStyle name="20% - Accent6_объемы 2018г111" xfId="60891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2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3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4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5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6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7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8"/>
    <cellStyle name="40% - Accent2" xfId="26221"/>
    <cellStyle name="40% - Accent2 2" xfId="26222"/>
    <cellStyle name="40% - Accent2_объемы 2018г111" xfId="60899"/>
    <cellStyle name="40% - Accent3" xfId="26223"/>
    <cellStyle name="40% - Accent3 2" xfId="26224"/>
    <cellStyle name="40% - Accent3_объемы 2018г111" xfId="60900"/>
    <cellStyle name="40% - Accent4" xfId="26225"/>
    <cellStyle name="40% - Accent4 2" xfId="26226"/>
    <cellStyle name="40% - Accent4_объемы 2018г111" xfId="60901"/>
    <cellStyle name="40% - Accent5" xfId="26227"/>
    <cellStyle name="40% - Accent5 2" xfId="26228"/>
    <cellStyle name="40% - Accent5_объемы 2018г111" xfId="60902"/>
    <cellStyle name="40% - Accent6" xfId="26229"/>
    <cellStyle name="40% - Accent6 2" xfId="26230"/>
    <cellStyle name="40% - Accent6_объемы 2018г111" xfId="60903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4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5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6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7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8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9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10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_Book1" xfId="53439"/>
    <cellStyle name="Note" xfId="53440"/>
    <cellStyle name="Note 2" xfId="53441"/>
    <cellStyle name="Output" xfId="53442"/>
    <cellStyle name="Output 2" xfId="53443"/>
    <cellStyle name="Result" xfId="53444"/>
    <cellStyle name="Result2" xfId="53445"/>
    <cellStyle name="Title" xfId="53446"/>
    <cellStyle name="Title 2" xfId="53447"/>
    <cellStyle name="Total" xfId="53448"/>
    <cellStyle name="Total 2" xfId="53449"/>
    <cellStyle name="Warning Text" xfId="53450"/>
    <cellStyle name="Warning Text 2" xfId="53451"/>
    <cellStyle name="Акцент1 10" xfId="53452"/>
    <cellStyle name="Акцент1 100" xfId="53453"/>
    <cellStyle name="Акцент1 101" xfId="53454"/>
    <cellStyle name="Акцент1 102" xfId="53455"/>
    <cellStyle name="Акцент1 103" xfId="53456"/>
    <cellStyle name="Акцент1 104" xfId="53457"/>
    <cellStyle name="Акцент1 105" xfId="53458"/>
    <cellStyle name="Акцент1 106" xfId="53459"/>
    <cellStyle name="Акцент1 107" xfId="53460"/>
    <cellStyle name="Акцент1 108" xfId="53461"/>
    <cellStyle name="Акцент1 109" xfId="53462"/>
    <cellStyle name="Акцент1 11" xfId="53463"/>
    <cellStyle name="Акцент1 110" xfId="53464"/>
    <cellStyle name="Акцент1 111" xfId="53465"/>
    <cellStyle name="Акцент1 112" xfId="53466"/>
    <cellStyle name="Акцент1 113" xfId="53467"/>
    <cellStyle name="Акцент1 114" xfId="53468"/>
    <cellStyle name="Акцент1 115" xfId="53469"/>
    <cellStyle name="Акцент1 116" xfId="53470"/>
    <cellStyle name="Акцент1 117" xfId="53471"/>
    <cellStyle name="Акцент1 118" xfId="53472"/>
    <cellStyle name="Акцент1 119" xfId="53473"/>
    <cellStyle name="Акцент1 12" xfId="53474"/>
    <cellStyle name="Акцент1 120" xfId="53475"/>
    <cellStyle name="Акцент1 121" xfId="53476"/>
    <cellStyle name="Акцент1 122" xfId="53477"/>
    <cellStyle name="Акцент1 123" xfId="53478"/>
    <cellStyle name="Акцент1 124" xfId="53479"/>
    <cellStyle name="Акцент1 125" xfId="53480"/>
    <cellStyle name="Акцент1 126" xfId="53481"/>
    <cellStyle name="Акцент1 127" xfId="53482"/>
    <cellStyle name="Акцент1 128" xfId="53483"/>
    <cellStyle name="Акцент1 129" xfId="53484"/>
    <cellStyle name="Акцент1 13" xfId="53485"/>
    <cellStyle name="Акцент1 130" xfId="53486"/>
    <cellStyle name="Акцент1 131" xfId="53487"/>
    <cellStyle name="Акцент1 132" xfId="53488"/>
    <cellStyle name="Акцент1 133" xfId="53489"/>
    <cellStyle name="Акцент1 134" xfId="53490"/>
    <cellStyle name="Акцент1 135" xfId="53491"/>
    <cellStyle name="Акцент1 136" xfId="53492"/>
    <cellStyle name="Акцент1 137" xfId="53493"/>
    <cellStyle name="Акцент1 138" xfId="53494"/>
    <cellStyle name="Акцент1 139" xfId="53495"/>
    <cellStyle name="Акцент1 14" xfId="53496"/>
    <cellStyle name="Акцент1 140" xfId="53497"/>
    <cellStyle name="Акцент1 141" xfId="53498"/>
    <cellStyle name="Акцент1 142" xfId="53499"/>
    <cellStyle name="Акцент1 143" xfId="53500"/>
    <cellStyle name="Акцент1 144" xfId="53501"/>
    <cellStyle name="Акцент1 145" xfId="53502"/>
    <cellStyle name="Акцент1 146" xfId="53503"/>
    <cellStyle name="Акцент1 147" xfId="53504"/>
    <cellStyle name="Акцент1 148" xfId="53505"/>
    <cellStyle name="Акцент1 149" xfId="53506"/>
    <cellStyle name="Акцент1 15" xfId="53507"/>
    <cellStyle name="Акцент1 150" xfId="53508"/>
    <cellStyle name="Акцент1 151" xfId="53509"/>
    <cellStyle name="Акцент1 16" xfId="53510"/>
    <cellStyle name="Акцент1 17" xfId="53511"/>
    <cellStyle name="Акцент1 18" xfId="53512"/>
    <cellStyle name="Акцент1 19" xfId="53513"/>
    <cellStyle name="Акцент1 2" xfId="53514"/>
    <cellStyle name="Акцент1 2 10" xfId="53515"/>
    <cellStyle name="Акцент1 2 11" xfId="53516"/>
    <cellStyle name="Акцент1 2 12" xfId="53517"/>
    <cellStyle name="Акцент1 2 13" xfId="53518"/>
    <cellStyle name="Акцент1 2 2" xfId="53519"/>
    <cellStyle name="Акцент1 2 3" xfId="53520"/>
    <cellStyle name="Акцент1 2 4" xfId="53521"/>
    <cellStyle name="Акцент1 2 5" xfId="53522"/>
    <cellStyle name="Акцент1 2 6" xfId="53523"/>
    <cellStyle name="Акцент1 2 7" xfId="53524"/>
    <cellStyle name="Акцент1 2 8" xfId="53525"/>
    <cellStyle name="Акцент1 2 9" xfId="53526"/>
    <cellStyle name="Акцент1 20" xfId="53527"/>
    <cellStyle name="Акцент1 21" xfId="53528"/>
    <cellStyle name="Акцент1 22" xfId="53529"/>
    <cellStyle name="Акцент1 23" xfId="53530"/>
    <cellStyle name="Акцент1 24" xfId="53531"/>
    <cellStyle name="Акцент1 25" xfId="53532"/>
    <cellStyle name="Акцент1 26" xfId="53533"/>
    <cellStyle name="Акцент1 27" xfId="53534"/>
    <cellStyle name="Акцент1 28" xfId="53535"/>
    <cellStyle name="Акцент1 29" xfId="53536"/>
    <cellStyle name="Акцент1 3" xfId="53537"/>
    <cellStyle name="Акцент1 30" xfId="53538"/>
    <cellStyle name="Акцент1 31" xfId="53539"/>
    <cellStyle name="Акцент1 32" xfId="53540"/>
    <cellStyle name="Акцент1 33" xfId="53541"/>
    <cellStyle name="Акцент1 34" xfId="53542"/>
    <cellStyle name="Акцент1 35" xfId="53543"/>
    <cellStyle name="Акцент1 36" xfId="53544"/>
    <cellStyle name="Акцент1 37" xfId="53545"/>
    <cellStyle name="Акцент1 38" xfId="53546"/>
    <cellStyle name="Акцент1 39" xfId="53547"/>
    <cellStyle name="Акцент1 4" xfId="53548"/>
    <cellStyle name="Акцент1 40" xfId="53549"/>
    <cellStyle name="Акцент1 41" xfId="53550"/>
    <cellStyle name="Акцент1 42" xfId="53551"/>
    <cellStyle name="Акцент1 43" xfId="53552"/>
    <cellStyle name="Акцент1 44" xfId="53553"/>
    <cellStyle name="Акцент1 45" xfId="53554"/>
    <cellStyle name="Акцент1 46" xfId="53555"/>
    <cellStyle name="Акцент1 47" xfId="53556"/>
    <cellStyle name="Акцент1 48" xfId="53557"/>
    <cellStyle name="Акцент1 49" xfId="53558"/>
    <cellStyle name="Акцент1 5" xfId="53559"/>
    <cellStyle name="Акцент1 50" xfId="53560"/>
    <cellStyle name="Акцент1 51" xfId="53561"/>
    <cellStyle name="Акцент1 52" xfId="53562"/>
    <cellStyle name="Акцент1 53" xfId="53563"/>
    <cellStyle name="Акцент1 54" xfId="53564"/>
    <cellStyle name="Акцент1 55" xfId="53565"/>
    <cellStyle name="Акцент1 56" xfId="53566"/>
    <cellStyle name="Акцент1 57" xfId="53567"/>
    <cellStyle name="Акцент1 58" xfId="53568"/>
    <cellStyle name="Акцент1 59" xfId="53569"/>
    <cellStyle name="Акцент1 6" xfId="53570"/>
    <cellStyle name="Акцент1 60" xfId="53571"/>
    <cellStyle name="Акцент1 61" xfId="53572"/>
    <cellStyle name="Акцент1 62" xfId="53573"/>
    <cellStyle name="Акцент1 63" xfId="53574"/>
    <cellStyle name="Акцент1 64" xfId="53575"/>
    <cellStyle name="Акцент1 65" xfId="53576"/>
    <cellStyle name="Акцент1 66" xfId="53577"/>
    <cellStyle name="Акцент1 67" xfId="53578"/>
    <cellStyle name="Акцент1 68" xfId="53579"/>
    <cellStyle name="Акцент1 69" xfId="53580"/>
    <cellStyle name="Акцент1 7" xfId="53581"/>
    <cellStyle name="Акцент1 70" xfId="53582"/>
    <cellStyle name="Акцент1 71" xfId="53583"/>
    <cellStyle name="Акцент1 72" xfId="53584"/>
    <cellStyle name="Акцент1 73" xfId="53585"/>
    <cellStyle name="Акцент1 74" xfId="53586"/>
    <cellStyle name="Акцент1 75" xfId="53587"/>
    <cellStyle name="Акцент1 76" xfId="53588"/>
    <cellStyle name="Акцент1 77" xfId="53589"/>
    <cellStyle name="Акцент1 78" xfId="53590"/>
    <cellStyle name="Акцент1 79" xfId="53591"/>
    <cellStyle name="Акцент1 8" xfId="53592"/>
    <cellStyle name="Акцент1 80" xfId="53593"/>
    <cellStyle name="Акцент1 81" xfId="53594"/>
    <cellStyle name="Акцент1 82" xfId="53595"/>
    <cellStyle name="Акцент1 83" xfId="53596"/>
    <cellStyle name="Акцент1 84" xfId="53597"/>
    <cellStyle name="Акцент1 85" xfId="53598"/>
    <cellStyle name="Акцент1 86" xfId="53599"/>
    <cellStyle name="Акцент1 87" xfId="53600"/>
    <cellStyle name="Акцент1 88" xfId="53601"/>
    <cellStyle name="Акцент1 89" xfId="53602"/>
    <cellStyle name="Акцент1 9" xfId="53603"/>
    <cellStyle name="Акцент1 90" xfId="53604"/>
    <cellStyle name="Акцент1 91" xfId="53605"/>
    <cellStyle name="Акцент1 92" xfId="53606"/>
    <cellStyle name="Акцент1 93" xfId="53607"/>
    <cellStyle name="Акцент1 94" xfId="53608"/>
    <cellStyle name="Акцент1 95" xfId="53609"/>
    <cellStyle name="Акцент1 96" xfId="53610"/>
    <cellStyle name="Акцент1 97" xfId="53611"/>
    <cellStyle name="Акцент1 98" xfId="53612"/>
    <cellStyle name="Акцент1 99" xfId="53613"/>
    <cellStyle name="Акцент2 10" xfId="53614"/>
    <cellStyle name="Акцент2 100" xfId="53615"/>
    <cellStyle name="Акцент2 101" xfId="53616"/>
    <cellStyle name="Акцент2 102" xfId="53617"/>
    <cellStyle name="Акцент2 103" xfId="53618"/>
    <cellStyle name="Акцент2 104" xfId="53619"/>
    <cellStyle name="Акцент2 105" xfId="53620"/>
    <cellStyle name="Акцент2 106" xfId="53621"/>
    <cellStyle name="Акцент2 107" xfId="53622"/>
    <cellStyle name="Акцент2 108" xfId="53623"/>
    <cellStyle name="Акцент2 109" xfId="53624"/>
    <cellStyle name="Акцент2 11" xfId="53625"/>
    <cellStyle name="Акцент2 110" xfId="53626"/>
    <cellStyle name="Акцент2 111" xfId="53627"/>
    <cellStyle name="Акцент2 112" xfId="53628"/>
    <cellStyle name="Акцент2 113" xfId="53629"/>
    <cellStyle name="Акцент2 114" xfId="53630"/>
    <cellStyle name="Акцент2 115" xfId="53631"/>
    <cellStyle name="Акцент2 116" xfId="53632"/>
    <cellStyle name="Акцент2 117" xfId="53633"/>
    <cellStyle name="Акцент2 118" xfId="53634"/>
    <cellStyle name="Акцент2 119" xfId="53635"/>
    <cellStyle name="Акцент2 12" xfId="53636"/>
    <cellStyle name="Акцент2 120" xfId="53637"/>
    <cellStyle name="Акцент2 121" xfId="53638"/>
    <cellStyle name="Акцент2 122" xfId="53639"/>
    <cellStyle name="Акцент2 123" xfId="53640"/>
    <cellStyle name="Акцент2 124" xfId="53641"/>
    <cellStyle name="Акцент2 125" xfId="53642"/>
    <cellStyle name="Акцент2 126" xfId="53643"/>
    <cellStyle name="Акцент2 127" xfId="53644"/>
    <cellStyle name="Акцент2 128" xfId="53645"/>
    <cellStyle name="Акцент2 129" xfId="53646"/>
    <cellStyle name="Акцент2 13" xfId="53647"/>
    <cellStyle name="Акцент2 130" xfId="53648"/>
    <cellStyle name="Акцент2 131" xfId="53649"/>
    <cellStyle name="Акцент2 132" xfId="53650"/>
    <cellStyle name="Акцент2 133" xfId="53651"/>
    <cellStyle name="Акцент2 134" xfId="53652"/>
    <cellStyle name="Акцент2 135" xfId="53653"/>
    <cellStyle name="Акцент2 136" xfId="53654"/>
    <cellStyle name="Акцент2 137" xfId="53655"/>
    <cellStyle name="Акцент2 138" xfId="53656"/>
    <cellStyle name="Акцент2 139" xfId="53657"/>
    <cellStyle name="Акцент2 14" xfId="53658"/>
    <cellStyle name="Акцент2 140" xfId="53659"/>
    <cellStyle name="Акцент2 141" xfId="53660"/>
    <cellStyle name="Акцент2 142" xfId="53661"/>
    <cellStyle name="Акцент2 143" xfId="53662"/>
    <cellStyle name="Акцент2 144" xfId="53663"/>
    <cellStyle name="Акцент2 145" xfId="53664"/>
    <cellStyle name="Акцент2 146" xfId="53665"/>
    <cellStyle name="Акцент2 147" xfId="53666"/>
    <cellStyle name="Акцент2 148" xfId="53667"/>
    <cellStyle name="Акцент2 149" xfId="53668"/>
    <cellStyle name="Акцент2 15" xfId="53669"/>
    <cellStyle name="Акцент2 150" xfId="53670"/>
    <cellStyle name="Акцент2 151" xfId="53671"/>
    <cellStyle name="Акцент2 16" xfId="53672"/>
    <cellStyle name="Акцент2 17" xfId="53673"/>
    <cellStyle name="Акцент2 18" xfId="53674"/>
    <cellStyle name="Акцент2 19" xfId="53675"/>
    <cellStyle name="Акцент2 2" xfId="53676"/>
    <cellStyle name="Акцент2 2 10" xfId="53677"/>
    <cellStyle name="Акцент2 2 11" xfId="53678"/>
    <cellStyle name="Акцент2 2 12" xfId="53679"/>
    <cellStyle name="Акцент2 2 13" xfId="53680"/>
    <cellStyle name="Акцент2 2 2" xfId="53681"/>
    <cellStyle name="Акцент2 2 3" xfId="53682"/>
    <cellStyle name="Акцент2 2 4" xfId="53683"/>
    <cellStyle name="Акцент2 2 5" xfId="53684"/>
    <cellStyle name="Акцент2 2 6" xfId="53685"/>
    <cellStyle name="Акцент2 2 7" xfId="53686"/>
    <cellStyle name="Акцент2 2 8" xfId="53687"/>
    <cellStyle name="Акцент2 2 9" xfId="53688"/>
    <cellStyle name="Акцент2 20" xfId="53689"/>
    <cellStyle name="Акцент2 21" xfId="53690"/>
    <cellStyle name="Акцент2 22" xfId="53691"/>
    <cellStyle name="Акцент2 23" xfId="53692"/>
    <cellStyle name="Акцент2 24" xfId="53693"/>
    <cellStyle name="Акцент2 25" xfId="53694"/>
    <cellStyle name="Акцент2 26" xfId="53695"/>
    <cellStyle name="Акцент2 27" xfId="53696"/>
    <cellStyle name="Акцент2 28" xfId="53697"/>
    <cellStyle name="Акцент2 29" xfId="53698"/>
    <cellStyle name="Акцент2 3" xfId="53699"/>
    <cellStyle name="Акцент2 30" xfId="53700"/>
    <cellStyle name="Акцент2 31" xfId="53701"/>
    <cellStyle name="Акцент2 32" xfId="53702"/>
    <cellStyle name="Акцент2 33" xfId="53703"/>
    <cellStyle name="Акцент2 34" xfId="53704"/>
    <cellStyle name="Акцент2 35" xfId="53705"/>
    <cellStyle name="Акцент2 36" xfId="53706"/>
    <cellStyle name="Акцент2 37" xfId="53707"/>
    <cellStyle name="Акцент2 38" xfId="53708"/>
    <cellStyle name="Акцент2 39" xfId="53709"/>
    <cellStyle name="Акцент2 4" xfId="53710"/>
    <cellStyle name="Акцент2 40" xfId="53711"/>
    <cellStyle name="Акцент2 41" xfId="53712"/>
    <cellStyle name="Акцент2 42" xfId="53713"/>
    <cellStyle name="Акцент2 43" xfId="53714"/>
    <cellStyle name="Акцент2 44" xfId="53715"/>
    <cellStyle name="Акцент2 45" xfId="53716"/>
    <cellStyle name="Акцент2 46" xfId="53717"/>
    <cellStyle name="Акцент2 47" xfId="53718"/>
    <cellStyle name="Акцент2 48" xfId="53719"/>
    <cellStyle name="Акцент2 49" xfId="53720"/>
    <cellStyle name="Акцент2 5" xfId="53721"/>
    <cellStyle name="Акцент2 50" xfId="53722"/>
    <cellStyle name="Акцент2 51" xfId="53723"/>
    <cellStyle name="Акцент2 52" xfId="53724"/>
    <cellStyle name="Акцент2 53" xfId="53725"/>
    <cellStyle name="Акцент2 54" xfId="53726"/>
    <cellStyle name="Акцент2 55" xfId="53727"/>
    <cellStyle name="Акцент2 56" xfId="53728"/>
    <cellStyle name="Акцент2 57" xfId="53729"/>
    <cellStyle name="Акцент2 58" xfId="53730"/>
    <cellStyle name="Акцент2 59" xfId="53731"/>
    <cellStyle name="Акцент2 6" xfId="53732"/>
    <cellStyle name="Акцент2 60" xfId="53733"/>
    <cellStyle name="Акцент2 61" xfId="53734"/>
    <cellStyle name="Акцент2 62" xfId="53735"/>
    <cellStyle name="Акцент2 63" xfId="53736"/>
    <cellStyle name="Акцент2 64" xfId="53737"/>
    <cellStyle name="Акцент2 65" xfId="53738"/>
    <cellStyle name="Акцент2 66" xfId="53739"/>
    <cellStyle name="Акцент2 67" xfId="53740"/>
    <cellStyle name="Акцент2 68" xfId="53741"/>
    <cellStyle name="Акцент2 69" xfId="53742"/>
    <cellStyle name="Акцент2 7" xfId="53743"/>
    <cellStyle name="Акцент2 70" xfId="53744"/>
    <cellStyle name="Акцент2 71" xfId="53745"/>
    <cellStyle name="Акцент2 72" xfId="53746"/>
    <cellStyle name="Акцент2 73" xfId="53747"/>
    <cellStyle name="Акцент2 74" xfId="53748"/>
    <cellStyle name="Акцент2 75" xfId="53749"/>
    <cellStyle name="Акцент2 76" xfId="53750"/>
    <cellStyle name="Акцент2 77" xfId="53751"/>
    <cellStyle name="Акцент2 78" xfId="53752"/>
    <cellStyle name="Акцент2 79" xfId="53753"/>
    <cellStyle name="Акцент2 8" xfId="53754"/>
    <cellStyle name="Акцент2 80" xfId="53755"/>
    <cellStyle name="Акцент2 81" xfId="53756"/>
    <cellStyle name="Акцент2 82" xfId="53757"/>
    <cellStyle name="Акцент2 83" xfId="53758"/>
    <cellStyle name="Акцент2 84" xfId="53759"/>
    <cellStyle name="Акцент2 85" xfId="53760"/>
    <cellStyle name="Акцент2 86" xfId="53761"/>
    <cellStyle name="Акцент2 87" xfId="53762"/>
    <cellStyle name="Акцент2 88" xfId="53763"/>
    <cellStyle name="Акцент2 89" xfId="53764"/>
    <cellStyle name="Акцент2 9" xfId="53765"/>
    <cellStyle name="Акцент2 90" xfId="53766"/>
    <cellStyle name="Акцент2 91" xfId="53767"/>
    <cellStyle name="Акцент2 92" xfId="53768"/>
    <cellStyle name="Акцент2 93" xfId="53769"/>
    <cellStyle name="Акцент2 94" xfId="53770"/>
    <cellStyle name="Акцент2 95" xfId="53771"/>
    <cellStyle name="Акцент2 96" xfId="53772"/>
    <cellStyle name="Акцент2 97" xfId="53773"/>
    <cellStyle name="Акцент2 98" xfId="53774"/>
    <cellStyle name="Акцент2 99" xfId="53775"/>
    <cellStyle name="Акцент3 10" xfId="53776"/>
    <cellStyle name="Акцент3 100" xfId="53777"/>
    <cellStyle name="Акцент3 101" xfId="53778"/>
    <cellStyle name="Акцент3 102" xfId="53779"/>
    <cellStyle name="Акцент3 103" xfId="53780"/>
    <cellStyle name="Акцент3 104" xfId="53781"/>
    <cellStyle name="Акцент3 105" xfId="53782"/>
    <cellStyle name="Акцент3 106" xfId="53783"/>
    <cellStyle name="Акцент3 107" xfId="53784"/>
    <cellStyle name="Акцент3 108" xfId="53785"/>
    <cellStyle name="Акцент3 109" xfId="53786"/>
    <cellStyle name="Акцент3 11" xfId="53787"/>
    <cellStyle name="Акцент3 110" xfId="53788"/>
    <cellStyle name="Акцент3 111" xfId="53789"/>
    <cellStyle name="Акцент3 112" xfId="53790"/>
    <cellStyle name="Акцент3 113" xfId="53791"/>
    <cellStyle name="Акцент3 114" xfId="53792"/>
    <cellStyle name="Акцент3 115" xfId="53793"/>
    <cellStyle name="Акцент3 116" xfId="53794"/>
    <cellStyle name="Акцент3 117" xfId="53795"/>
    <cellStyle name="Акцент3 118" xfId="53796"/>
    <cellStyle name="Акцент3 119" xfId="53797"/>
    <cellStyle name="Акцент3 12" xfId="53798"/>
    <cellStyle name="Акцент3 120" xfId="53799"/>
    <cellStyle name="Акцент3 121" xfId="53800"/>
    <cellStyle name="Акцент3 122" xfId="53801"/>
    <cellStyle name="Акцент3 123" xfId="53802"/>
    <cellStyle name="Акцент3 124" xfId="53803"/>
    <cellStyle name="Акцент3 125" xfId="53804"/>
    <cellStyle name="Акцент3 126" xfId="53805"/>
    <cellStyle name="Акцент3 127" xfId="53806"/>
    <cellStyle name="Акцент3 128" xfId="53807"/>
    <cellStyle name="Акцент3 129" xfId="53808"/>
    <cellStyle name="Акцент3 13" xfId="53809"/>
    <cellStyle name="Акцент3 130" xfId="53810"/>
    <cellStyle name="Акцент3 131" xfId="53811"/>
    <cellStyle name="Акцент3 132" xfId="53812"/>
    <cellStyle name="Акцент3 133" xfId="53813"/>
    <cellStyle name="Акцент3 134" xfId="53814"/>
    <cellStyle name="Акцент3 135" xfId="53815"/>
    <cellStyle name="Акцент3 136" xfId="53816"/>
    <cellStyle name="Акцент3 137" xfId="53817"/>
    <cellStyle name="Акцент3 138" xfId="53818"/>
    <cellStyle name="Акцент3 139" xfId="53819"/>
    <cellStyle name="Акцент3 14" xfId="53820"/>
    <cellStyle name="Акцент3 140" xfId="53821"/>
    <cellStyle name="Акцент3 141" xfId="53822"/>
    <cellStyle name="Акцент3 142" xfId="53823"/>
    <cellStyle name="Акцент3 143" xfId="53824"/>
    <cellStyle name="Акцент3 144" xfId="53825"/>
    <cellStyle name="Акцент3 145" xfId="53826"/>
    <cellStyle name="Акцент3 146" xfId="53827"/>
    <cellStyle name="Акцент3 147" xfId="53828"/>
    <cellStyle name="Акцент3 148" xfId="53829"/>
    <cellStyle name="Акцент3 149" xfId="53830"/>
    <cellStyle name="Акцент3 15" xfId="53831"/>
    <cellStyle name="Акцент3 150" xfId="53832"/>
    <cellStyle name="Акцент3 151" xfId="53833"/>
    <cellStyle name="Акцент3 16" xfId="53834"/>
    <cellStyle name="Акцент3 17" xfId="53835"/>
    <cellStyle name="Акцент3 18" xfId="53836"/>
    <cellStyle name="Акцент3 19" xfId="53837"/>
    <cellStyle name="Акцент3 2" xfId="53838"/>
    <cellStyle name="Акцент3 2 10" xfId="53839"/>
    <cellStyle name="Акцент3 2 11" xfId="53840"/>
    <cellStyle name="Акцент3 2 12" xfId="53841"/>
    <cellStyle name="Акцент3 2 13" xfId="53842"/>
    <cellStyle name="Акцент3 2 2" xfId="53843"/>
    <cellStyle name="Акцент3 2 3" xfId="53844"/>
    <cellStyle name="Акцент3 2 4" xfId="53845"/>
    <cellStyle name="Акцент3 2 5" xfId="53846"/>
    <cellStyle name="Акцент3 2 6" xfId="53847"/>
    <cellStyle name="Акцент3 2 7" xfId="53848"/>
    <cellStyle name="Акцент3 2 8" xfId="53849"/>
    <cellStyle name="Акцент3 2 9" xfId="53850"/>
    <cellStyle name="Акцент3 20" xfId="53851"/>
    <cellStyle name="Акцент3 21" xfId="53852"/>
    <cellStyle name="Акцент3 22" xfId="53853"/>
    <cellStyle name="Акцент3 23" xfId="53854"/>
    <cellStyle name="Акцент3 24" xfId="53855"/>
    <cellStyle name="Акцент3 25" xfId="53856"/>
    <cellStyle name="Акцент3 26" xfId="53857"/>
    <cellStyle name="Акцент3 27" xfId="53858"/>
    <cellStyle name="Акцент3 28" xfId="53859"/>
    <cellStyle name="Акцент3 29" xfId="53860"/>
    <cellStyle name="Акцент3 3" xfId="53861"/>
    <cellStyle name="Акцент3 30" xfId="53862"/>
    <cellStyle name="Акцент3 31" xfId="53863"/>
    <cellStyle name="Акцент3 32" xfId="53864"/>
    <cellStyle name="Акцент3 33" xfId="53865"/>
    <cellStyle name="Акцент3 34" xfId="53866"/>
    <cellStyle name="Акцент3 35" xfId="53867"/>
    <cellStyle name="Акцент3 36" xfId="53868"/>
    <cellStyle name="Акцент3 37" xfId="53869"/>
    <cellStyle name="Акцент3 38" xfId="53870"/>
    <cellStyle name="Акцент3 39" xfId="53871"/>
    <cellStyle name="Акцент3 4" xfId="53872"/>
    <cellStyle name="Акцент3 40" xfId="53873"/>
    <cellStyle name="Акцент3 41" xfId="53874"/>
    <cellStyle name="Акцент3 42" xfId="53875"/>
    <cellStyle name="Акцент3 43" xfId="53876"/>
    <cellStyle name="Акцент3 44" xfId="53877"/>
    <cellStyle name="Акцент3 45" xfId="53878"/>
    <cellStyle name="Акцент3 46" xfId="53879"/>
    <cellStyle name="Акцент3 47" xfId="53880"/>
    <cellStyle name="Акцент3 48" xfId="53881"/>
    <cellStyle name="Акцент3 49" xfId="53882"/>
    <cellStyle name="Акцент3 5" xfId="53883"/>
    <cellStyle name="Акцент3 50" xfId="53884"/>
    <cellStyle name="Акцент3 51" xfId="53885"/>
    <cellStyle name="Акцент3 52" xfId="53886"/>
    <cellStyle name="Акцент3 53" xfId="53887"/>
    <cellStyle name="Акцент3 54" xfId="53888"/>
    <cellStyle name="Акцент3 55" xfId="53889"/>
    <cellStyle name="Акцент3 56" xfId="53890"/>
    <cellStyle name="Акцент3 57" xfId="53891"/>
    <cellStyle name="Акцент3 58" xfId="53892"/>
    <cellStyle name="Акцент3 59" xfId="53893"/>
    <cellStyle name="Акцент3 6" xfId="53894"/>
    <cellStyle name="Акцент3 60" xfId="53895"/>
    <cellStyle name="Акцент3 61" xfId="53896"/>
    <cellStyle name="Акцент3 62" xfId="53897"/>
    <cellStyle name="Акцент3 63" xfId="53898"/>
    <cellStyle name="Акцент3 64" xfId="53899"/>
    <cellStyle name="Акцент3 65" xfId="53900"/>
    <cellStyle name="Акцент3 66" xfId="53901"/>
    <cellStyle name="Акцент3 67" xfId="53902"/>
    <cellStyle name="Акцент3 68" xfId="53903"/>
    <cellStyle name="Акцент3 69" xfId="53904"/>
    <cellStyle name="Акцент3 7" xfId="53905"/>
    <cellStyle name="Акцент3 70" xfId="53906"/>
    <cellStyle name="Акцент3 71" xfId="53907"/>
    <cellStyle name="Акцент3 72" xfId="53908"/>
    <cellStyle name="Акцент3 73" xfId="53909"/>
    <cellStyle name="Акцент3 74" xfId="53910"/>
    <cellStyle name="Акцент3 75" xfId="53911"/>
    <cellStyle name="Акцент3 76" xfId="53912"/>
    <cellStyle name="Акцент3 77" xfId="53913"/>
    <cellStyle name="Акцент3 78" xfId="53914"/>
    <cellStyle name="Акцент3 79" xfId="53915"/>
    <cellStyle name="Акцент3 8" xfId="53916"/>
    <cellStyle name="Акцент3 80" xfId="53917"/>
    <cellStyle name="Акцент3 81" xfId="53918"/>
    <cellStyle name="Акцент3 82" xfId="53919"/>
    <cellStyle name="Акцент3 83" xfId="53920"/>
    <cellStyle name="Акцент3 84" xfId="53921"/>
    <cellStyle name="Акцент3 85" xfId="53922"/>
    <cellStyle name="Акцент3 86" xfId="53923"/>
    <cellStyle name="Акцент3 87" xfId="53924"/>
    <cellStyle name="Акцент3 88" xfId="53925"/>
    <cellStyle name="Акцент3 89" xfId="53926"/>
    <cellStyle name="Акцент3 9" xfId="53927"/>
    <cellStyle name="Акцент3 90" xfId="53928"/>
    <cellStyle name="Акцент3 91" xfId="53929"/>
    <cellStyle name="Акцент3 92" xfId="53930"/>
    <cellStyle name="Акцент3 93" xfId="53931"/>
    <cellStyle name="Акцент3 94" xfId="53932"/>
    <cellStyle name="Акцент3 95" xfId="53933"/>
    <cellStyle name="Акцент3 96" xfId="53934"/>
    <cellStyle name="Акцент3 97" xfId="53935"/>
    <cellStyle name="Акцент3 98" xfId="53936"/>
    <cellStyle name="Акцент3 99" xfId="53937"/>
    <cellStyle name="Акцент4 10" xfId="53938"/>
    <cellStyle name="Акцент4 100" xfId="53939"/>
    <cellStyle name="Акцент4 101" xfId="53940"/>
    <cellStyle name="Акцент4 102" xfId="53941"/>
    <cellStyle name="Акцент4 103" xfId="53942"/>
    <cellStyle name="Акцент4 104" xfId="53943"/>
    <cellStyle name="Акцент4 105" xfId="53944"/>
    <cellStyle name="Акцент4 106" xfId="53945"/>
    <cellStyle name="Акцент4 107" xfId="53946"/>
    <cellStyle name="Акцент4 108" xfId="53947"/>
    <cellStyle name="Акцент4 109" xfId="53948"/>
    <cellStyle name="Акцент4 11" xfId="53949"/>
    <cellStyle name="Акцент4 110" xfId="53950"/>
    <cellStyle name="Акцент4 111" xfId="53951"/>
    <cellStyle name="Акцент4 112" xfId="53952"/>
    <cellStyle name="Акцент4 113" xfId="53953"/>
    <cellStyle name="Акцент4 114" xfId="53954"/>
    <cellStyle name="Акцент4 115" xfId="53955"/>
    <cellStyle name="Акцент4 116" xfId="53956"/>
    <cellStyle name="Акцент4 117" xfId="53957"/>
    <cellStyle name="Акцент4 118" xfId="53958"/>
    <cellStyle name="Акцент4 119" xfId="53959"/>
    <cellStyle name="Акцент4 12" xfId="53960"/>
    <cellStyle name="Акцент4 120" xfId="53961"/>
    <cellStyle name="Акцент4 121" xfId="53962"/>
    <cellStyle name="Акцент4 122" xfId="53963"/>
    <cellStyle name="Акцент4 123" xfId="53964"/>
    <cellStyle name="Акцент4 124" xfId="53965"/>
    <cellStyle name="Акцент4 125" xfId="53966"/>
    <cellStyle name="Акцент4 126" xfId="53967"/>
    <cellStyle name="Акцент4 127" xfId="53968"/>
    <cellStyle name="Акцент4 128" xfId="53969"/>
    <cellStyle name="Акцент4 129" xfId="53970"/>
    <cellStyle name="Акцент4 13" xfId="53971"/>
    <cellStyle name="Акцент4 130" xfId="53972"/>
    <cellStyle name="Акцент4 131" xfId="53973"/>
    <cellStyle name="Акцент4 132" xfId="53974"/>
    <cellStyle name="Акцент4 133" xfId="53975"/>
    <cellStyle name="Акцент4 134" xfId="53976"/>
    <cellStyle name="Акцент4 135" xfId="53977"/>
    <cellStyle name="Акцент4 136" xfId="53978"/>
    <cellStyle name="Акцент4 137" xfId="53979"/>
    <cellStyle name="Акцент4 138" xfId="53980"/>
    <cellStyle name="Акцент4 139" xfId="53981"/>
    <cellStyle name="Акцент4 14" xfId="53982"/>
    <cellStyle name="Акцент4 140" xfId="53983"/>
    <cellStyle name="Акцент4 141" xfId="53984"/>
    <cellStyle name="Акцент4 142" xfId="53985"/>
    <cellStyle name="Акцент4 143" xfId="53986"/>
    <cellStyle name="Акцент4 144" xfId="53987"/>
    <cellStyle name="Акцент4 145" xfId="53988"/>
    <cellStyle name="Акцент4 146" xfId="53989"/>
    <cellStyle name="Акцент4 147" xfId="53990"/>
    <cellStyle name="Акцент4 148" xfId="53991"/>
    <cellStyle name="Акцент4 149" xfId="53992"/>
    <cellStyle name="Акцент4 15" xfId="53993"/>
    <cellStyle name="Акцент4 150" xfId="53994"/>
    <cellStyle name="Акцент4 151" xfId="53995"/>
    <cellStyle name="Акцент4 16" xfId="53996"/>
    <cellStyle name="Акцент4 17" xfId="53997"/>
    <cellStyle name="Акцент4 18" xfId="53998"/>
    <cellStyle name="Акцент4 19" xfId="53999"/>
    <cellStyle name="Акцент4 2" xfId="54000"/>
    <cellStyle name="Акцент4 2 10" xfId="54001"/>
    <cellStyle name="Акцент4 2 11" xfId="54002"/>
    <cellStyle name="Акцент4 2 12" xfId="54003"/>
    <cellStyle name="Акцент4 2 13" xfId="54004"/>
    <cellStyle name="Акцент4 2 2" xfId="54005"/>
    <cellStyle name="Акцент4 2 3" xfId="54006"/>
    <cellStyle name="Акцент4 2 4" xfId="54007"/>
    <cellStyle name="Акцент4 2 5" xfId="54008"/>
    <cellStyle name="Акцент4 2 6" xfId="54009"/>
    <cellStyle name="Акцент4 2 7" xfId="54010"/>
    <cellStyle name="Акцент4 2 8" xfId="54011"/>
    <cellStyle name="Акцент4 2 9" xfId="54012"/>
    <cellStyle name="Акцент4 20" xfId="54013"/>
    <cellStyle name="Акцент4 21" xfId="54014"/>
    <cellStyle name="Акцент4 22" xfId="54015"/>
    <cellStyle name="Акцент4 23" xfId="54016"/>
    <cellStyle name="Акцент4 24" xfId="54017"/>
    <cellStyle name="Акцент4 25" xfId="54018"/>
    <cellStyle name="Акцент4 26" xfId="54019"/>
    <cellStyle name="Акцент4 27" xfId="54020"/>
    <cellStyle name="Акцент4 28" xfId="54021"/>
    <cellStyle name="Акцент4 29" xfId="54022"/>
    <cellStyle name="Акцент4 3" xfId="54023"/>
    <cellStyle name="Акцент4 30" xfId="54024"/>
    <cellStyle name="Акцент4 31" xfId="54025"/>
    <cellStyle name="Акцент4 32" xfId="54026"/>
    <cellStyle name="Акцент4 33" xfId="54027"/>
    <cellStyle name="Акцент4 34" xfId="54028"/>
    <cellStyle name="Акцент4 35" xfId="54029"/>
    <cellStyle name="Акцент4 36" xfId="54030"/>
    <cellStyle name="Акцент4 37" xfId="54031"/>
    <cellStyle name="Акцент4 38" xfId="54032"/>
    <cellStyle name="Акцент4 39" xfId="54033"/>
    <cellStyle name="Акцент4 4" xfId="54034"/>
    <cellStyle name="Акцент4 40" xfId="54035"/>
    <cellStyle name="Акцент4 41" xfId="54036"/>
    <cellStyle name="Акцент4 42" xfId="54037"/>
    <cellStyle name="Акцент4 43" xfId="54038"/>
    <cellStyle name="Акцент4 44" xfId="54039"/>
    <cellStyle name="Акцент4 45" xfId="54040"/>
    <cellStyle name="Акцент4 46" xfId="54041"/>
    <cellStyle name="Акцент4 47" xfId="54042"/>
    <cellStyle name="Акцент4 48" xfId="54043"/>
    <cellStyle name="Акцент4 49" xfId="54044"/>
    <cellStyle name="Акцент4 5" xfId="54045"/>
    <cellStyle name="Акцент4 50" xfId="54046"/>
    <cellStyle name="Акцент4 51" xfId="54047"/>
    <cellStyle name="Акцент4 52" xfId="54048"/>
    <cellStyle name="Акцент4 53" xfId="54049"/>
    <cellStyle name="Акцент4 54" xfId="54050"/>
    <cellStyle name="Акцент4 55" xfId="54051"/>
    <cellStyle name="Акцент4 56" xfId="54052"/>
    <cellStyle name="Акцент4 57" xfId="54053"/>
    <cellStyle name="Акцент4 58" xfId="54054"/>
    <cellStyle name="Акцент4 59" xfId="54055"/>
    <cellStyle name="Акцент4 6" xfId="54056"/>
    <cellStyle name="Акцент4 60" xfId="54057"/>
    <cellStyle name="Акцент4 61" xfId="54058"/>
    <cellStyle name="Акцент4 62" xfId="54059"/>
    <cellStyle name="Акцент4 63" xfId="54060"/>
    <cellStyle name="Акцент4 64" xfId="54061"/>
    <cellStyle name="Акцент4 65" xfId="54062"/>
    <cellStyle name="Акцент4 66" xfId="54063"/>
    <cellStyle name="Акцент4 67" xfId="54064"/>
    <cellStyle name="Акцент4 68" xfId="54065"/>
    <cellStyle name="Акцент4 69" xfId="54066"/>
    <cellStyle name="Акцент4 7" xfId="54067"/>
    <cellStyle name="Акцент4 70" xfId="54068"/>
    <cellStyle name="Акцент4 71" xfId="54069"/>
    <cellStyle name="Акцент4 72" xfId="54070"/>
    <cellStyle name="Акцент4 73" xfId="54071"/>
    <cellStyle name="Акцент4 74" xfId="54072"/>
    <cellStyle name="Акцент4 75" xfId="54073"/>
    <cellStyle name="Акцент4 76" xfId="54074"/>
    <cellStyle name="Акцент4 77" xfId="54075"/>
    <cellStyle name="Акцент4 78" xfId="54076"/>
    <cellStyle name="Акцент4 79" xfId="54077"/>
    <cellStyle name="Акцент4 8" xfId="54078"/>
    <cellStyle name="Акцент4 80" xfId="54079"/>
    <cellStyle name="Акцент4 81" xfId="54080"/>
    <cellStyle name="Акцент4 82" xfId="54081"/>
    <cellStyle name="Акцент4 83" xfId="54082"/>
    <cellStyle name="Акцент4 84" xfId="54083"/>
    <cellStyle name="Акцент4 85" xfId="54084"/>
    <cellStyle name="Акцент4 86" xfId="54085"/>
    <cellStyle name="Акцент4 87" xfId="54086"/>
    <cellStyle name="Акцент4 88" xfId="54087"/>
    <cellStyle name="Акцент4 89" xfId="54088"/>
    <cellStyle name="Акцент4 9" xfId="54089"/>
    <cellStyle name="Акцент4 90" xfId="54090"/>
    <cellStyle name="Акцент4 91" xfId="54091"/>
    <cellStyle name="Акцент4 92" xfId="54092"/>
    <cellStyle name="Акцент4 93" xfId="54093"/>
    <cellStyle name="Акцент4 94" xfId="54094"/>
    <cellStyle name="Акцент4 95" xfId="54095"/>
    <cellStyle name="Акцент4 96" xfId="54096"/>
    <cellStyle name="Акцент4 97" xfId="54097"/>
    <cellStyle name="Акцент4 98" xfId="54098"/>
    <cellStyle name="Акцент4 99" xfId="54099"/>
    <cellStyle name="Акцент5 10" xfId="54100"/>
    <cellStyle name="Акцент5 100" xfId="54101"/>
    <cellStyle name="Акцент5 101" xfId="54102"/>
    <cellStyle name="Акцент5 102" xfId="54103"/>
    <cellStyle name="Акцент5 103" xfId="54104"/>
    <cellStyle name="Акцент5 104" xfId="54105"/>
    <cellStyle name="Акцент5 105" xfId="54106"/>
    <cellStyle name="Акцент5 106" xfId="54107"/>
    <cellStyle name="Акцент5 107" xfId="54108"/>
    <cellStyle name="Акцент5 108" xfId="54109"/>
    <cellStyle name="Акцент5 109" xfId="54110"/>
    <cellStyle name="Акцент5 11" xfId="54111"/>
    <cellStyle name="Акцент5 110" xfId="54112"/>
    <cellStyle name="Акцент5 111" xfId="54113"/>
    <cellStyle name="Акцент5 112" xfId="54114"/>
    <cellStyle name="Акцент5 113" xfId="54115"/>
    <cellStyle name="Акцент5 114" xfId="54116"/>
    <cellStyle name="Акцент5 115" xfId="54117"/>
    <cellStyle name="Акцент5 116" xfId="54118"/>
    <cellStyle name="Акцент5 117" xfId="54119"/>
    <cellStyle name="Акцент5 118" xfId="54120"/>
    <cellStyle name="Акцент5 119" xfId="54121"/>
    <cellStyle name="Акцент5 12" xfId="54122"/>
    <cellStyle name="Акцент5 120" xfId="54123"/>
    <cellStyle name="Акцент5 121" xfId="54124"/>
    <cellStyle name="Акцент5 122" xfId="54125"/>
    <cellStyle name="Акцент5 123" xfId="54126"/>
    <cellStyle name="Акцент5 124" xfId="54127"/>
    <cellStyle name="Акцент5 125" xfId="54128"/>
    <cellStyle name="Акцент5 126" xfId="54129"/>
    <cellStyle name="Акцент5 127" xfId="54130"/>
    <cellStyle name="Акцент5 128" xfId="54131"/>
    <cellStyle name="Акцент5 129" xfId="54132"/>
    <cellStyle name="Акцент5 13" xfId="54133"/>
    <cellStyle name="Акцент5 130" xfId="54134"/>
    <cellStyle name="Акцент5 131" xfId="54135"/>
    <cellStyle name="Акцент5 132" xfId="54136"/>
    <cellStyle name="Акцент5 133" xfId="54137"/>
    <cellStyle name="Акцент5 134" xfId="54138"/>
    <cellStyle name="Акцент5 135" xfId="54139"/>
    <cellStyle name="Акцент5 136" xfId="54140"/>
    <cellStyle name="Акцент5 137" xfId="54141"/>
    <cellStyle name="Акцент5 138" xfId="54142"/>
    <cellStyle name="Акцент5 139" xfId="54143"/>
    <cellStyle name="Акцент5 14" xfId="54144"/>
    <cellStyle name="Акцент5 140" xfId="54145"/>
    <cellStyle name="Акцент5 141" xfId="54146"/>
    <cellStyle name="Акцент5 142" xfId="54147"/>
    <cellStyle name="Акцент5 143" xfId="54148"/>
    <cellStyle name="Акцент5 144" xfId="54149"/>
    <cellStyle name="Акцент5 145" xfId="54150"/>
    <cellStyle name="Акцент5 146" xfId="54151"/>
    <cellStyle name="Акцент5 147" xfId="54152"/>
    <cellStyle name="Акцент5 148" xfId="54153"/>
    <cellStyle name="Акцент5 149" xfId="54154"/>
    <cellStyle name="Акцент5 15" xfId="54155"/>
    <cellStyle name="Акцент5 150" xfId="54156"/>
    <cellStyle name="Акцент5 151" xfId="54157"/>
    <cellStyle name="Акцент5 16" xfId="54158"/>
    <cellStyle name="Акцент5 17" xfId="54159"/>
    <cellStyle name="Акцент5 18" xfId="54160"/>
    <cellStyle name="Акцент5 19" xfId="54161"/>
    <cellStyle name="Акцент5 2" xfId="54162"/>
    <cellStyle name="Акцент5 2 10" xfId="54163"/>
    <cellStyle name="Акцент5 2 11" xfId="54164"/>
    <cellStyle name="Акцент5 2 12" xfId="54165"/>
    <cellStyle name="Акцент5 2 13" xfId="54166"/>
    <cellStyle name="Акцент5 2 2" xfId="54167"/>
    <cellStyle name="Акцент5 2 3" xfId="54168"/>
    <cellStyle name="Акцент5 2 4" xfId="54169"/>
    <cellStyle name="Акцент5 2 5" xfId="54170"/>
    <cellStyle name="Акцент5 2 6" xfId="54171"/>
    <cellStyle name="Акцент5 2 7" xfId="54172"/>
    <cellStyle name="Акцент5 2 8" xfId="54173"/>
    <cellStyle name="Акцент5 2 9" xfId="54174"/>
    <cellStyle name="Акцент5 20" xfId="54175"/>
    <cellStyle name="Акцент5 21" xfId="54176"/>
    <cellStyle name="Акцент5 22" xfId="54177"/>
    <cellStyle name="Акцент5 23" xfId="54178"/>
    <cellStyle name="Акцент5 24" xfId="54179"/>
    <cellStyle name="Акцент5 25" xfId="54180"/>
    <cellStyle name="Акцент5 26" xfId="54181"/>
    <cellStyle name="Акцент5 27" xfId="54182"/>
    <cellStyle name="Акцент5 28" xfId="54183"/>
    <cellStyle name="Акцент5 29" xfId="54184"/>
    <cellStyle name="Акцент5 3" xfId="54185"/>
    <cellStyle name="Акцент5 30" xfId="54186"/>
    <cellStyle name="Акцент5 31" xfId="54187"/>
    <cellStyle name="Акцент5 32" xfId="54188"/>
    <cellStyle name="Акцент5 33" xfId="54189"/>
    <cellStyle name="Акцент5 34" xfId="54190"/>
    <cellStyle name="Акцент5 35" xfId="54191"/>
    <cellStyle name="Акцент5 36" xfId="54192"/>
    <cellStyle name="Акцент5 37" xfId="54193"/>
    <cellStyle name="Акцент5 38" xfId="54194"/>
    <cellStyle name="Акцент5 39" xfId="54195"/>
    <cellStyle name="Акцент5 4" xfId="54196"/>
    <cellStyle name="Акцент5 40" xfId="54197"/>
    <cellStyle name="Акцент5 41" xfId="54198"/>
    <cellStyle name="Акцент5 42" xfId="54199"/>
    <cellStyle name="Акцент5 43" xfId="54200"/>
    <cellStyle name="Акцент5 44" xfId="54201"/>
    <cellStyle name="Акцент5 45" xfId="54202"/>
    <cellStyle name="Акцент5 46" xfId="54203"/>
    <cellStyle name="Акцент5 47" xfId="54204"/>
    <cellStyle name="Акцент5 48" xfId="54205"/>
    <cellStyle name="Акцент5 49" xfId="54206"/>
    <cellStyle name="Акцент5 5" xfId="54207"/>
    <cellStyle name="Акцент5 50" xfId="54208"/>
    <cellStyle name="Акцент5 51" xfId="54209"/>
    <cellStyle name="Акцент5 52" xfId="54210"/>
    <cellStyle name="Акцент5 53" xfId="54211"/>
    <cellStyle name="Акцент5 54" xfId="54212"/>
    <cellStyle name="Акцент5 55" xfId="54213"/>
    <cellStyle name="Акцент5 56" xfId="54214"/>
    <cellStyle name="Акцент5 57" xfId="54215"/>
    <cellStyle name="Акцент5 58" xfId="54216"/>
    <cellStyle name="Акцент5 59" xfId="54217"/>
    <cellStyle name="Акцент5 6" xfId="54218"/>
    <cellStyle name="Акцент5 60" xfId="54219"/>
    <cellStyle name="Акцент5 61" xfId="54220"/>
    <cellStyle name="Акцент5 62" xfId="54221"/>
    <cellStyle name="Акцент5 63" xfId="54222"/>
    <cellStyle name="Акцент5 64" xfId="54223"/>
    <cellStyle name="Акцент5 65" xfId="54224"/>
    <cellStyle name="Акцент5 66" xfId="54225"/>
    <cellStyle name="Акцент5 67" xfId="54226"/>
    <cellStyle name="Акцент5 68" xfId="54227"/>
    <cellStyle name="Акцент5 69" xfId="54228"/>
    <cellStyle name="Акцент5 7" xfId="54229"/>
    <cellStyle name="Акцент5 70" xfId="54230"/>
    <cellStyle name="Акцент5 71" xfId="54231"/>
    <cellStyle name="Акцент5 72" xfId="54232"/>
    <cellStyle name="Акцент5 73" xfId="54233"/>
    <cellStyle name="Акцент5 74" xfId="54234"/>
    <cellStyle name="Акцент5 75" xfId="54235"/>
    <cellStyle name="Акцент5 76" xfId="54236"/>
    <cellStyle name="Акцент5 77" xfId="54237"/>
    <cellStyle name="Акцент5 78" xfId="54238"/>
    <cellStyle name="Акцент5 79" xfId="54239"/>
    <cellStyle name="Акцент5 8" xfId="54240"/>
    <cellStyle name="Акцент5 80" xfId="54241"/>
    <cellStyle name="Акцент5 81" xfId="54242"/>
    <cellStyle name="Акцент5 82" xfId="54243"/>
    <cellStyle name="Акцент5 83" xfId="54244"/>
    <cellStyle name="Акцент5 84" xfId="54245"/>
    <cellStyle name="Акцент5 85" xfId="54246"/>
    <cellStyle name="Акцент5 86" xfId="54247"/>
    <cellStyle name="Акцент5 87" xfId="54248"/>
    <cellStyle name="Акцент5 88" xfId="54249"/>
    <cellStyle name="Акцент5 89" xfId="54250"/>
    <cellStyle name="Акцент5 9" xfId="54251"/>
    <cellStyle name="Акцент5 90" xfId="54252"/>
    <cellStyle name="Акцент5 91" xfId="54253"/>
    <cellStyle name="Акцент5 92" xfId="54254"/>
    <cellStyle name="Акцент5 93" xfId="54255"/>
    <cellStyle name="Акцент5 94" xfId="54256"/>
    <cellStyle name="Акцент5 95" xfId="54257"/>
    <cellStyle name="Акцент5 96" xfId="54258"/>
    <cellStyle name="Акцент5 97" xfId="54259"/>
    <cellStyle name="Акцент5 98" xfId="54260"/>
    <cellStyle name="Акцент5 99" xfId="54261"/>
    <cellStyle name="Акцент6 10" xfId="54262"/>
    <cellStyle name="Акцент6 100" xfId="54263"/>
    <cellStyle name="Акцент6 101" xfId="54264"/>
    <cellStyle name="Акцент6 102" xfId="54265"/>
    <cellStyle name="Акцент6 103" xfId="54266"/>
    <cellStyle name="Акцент6 104" xfId="54267"/>
    <cellStyle name="Акцент6 105" xfId="54268"/>
    <cellStyle name="Акцент6 106" xfId="54269"/>
    <cellStyle name="Акцент6 107" xfId="54270"/>
    <cellStyle name="Акцент6 108" xfId="54271"/>
    <cellStyle name="Акцент6 109" xfId="54272"/>
    <cellStyle name="Акцент6 11" xfId="54273"/>
    <cellStyle name="Акцент6 110" xfId="54274"/>
    <cellStyle name="Акцент6 111" xfId="54275"/>
    <cellStyle name="Акцент6 112" xfId="54276"/>
    <cellStyle name="Акцент6 113" xfId="54277"/>
    <cellStyle name="Акцент6 114" xfId="54278"/>
    <cellStyle name="Акцент6 115" xfId="54279"/>
    <cellStyle name="Акцент6 116" xfId="54280"/>
    <cellStyle name="Акцент6 117" xfId="54281"/>
    <cellStyle name="Акцент6 118" xfId="54282"/>
    <cellStyle name="Акцент6 119" xfId="54283"/>
    <cellStyle name="Акцент6 12" xfId="54284"/>
    <cellStyle name="Акцент6 120" xfId="54285"/>
    <cellStyle name="Акцент6 121" xfId="54286"/>
    <cellStyle name="Акцент6 122" xfId="54287"/>
    <cellStyle name="Акцент6 123" xfId="54288"/>
    <cellStyle name="Акцент6 124" xfId="54289"/>
    <cellStyle name="Акцент6 125" xfId="54290"/>
    <cellStyle name="Акцент6 126" xfId="54291"/>
    <cellStyle name="Акцент6 127" xfId="54292"/>
    <cellStyle name="Акцент6 128" xfId="54293"/>
    <cellStyle name="Акцент6 129" xfId="54294"/>
    <cellStyle name="Акцент6 13" xfId="54295"/>
    <cellStyle name="Акцент6 130" xfId="54296"/>
    <cellStyle name="Акцент6 131" xfId="54297"/>
    <cellStyle name="Акцент6 132" xfId="54298"/>
    <cellStyle name="Акцент6 133" xfId="54299"/>
    <cellStyle name="Акцент6 134" xfId="54300"/>
    <cellStyle name="Акцент6 135" xfId="54301"/>
    <cellStyle name="Акцент6 136" xfId="54302"/>
    <cellStyle name="Акцент6 137" xfId="54303"/>
    <cellStyle name="Акцент6 138" xfId="54304"/>
    <cellStyle name="Акцент6 139" xfId="54305"/>
    <cellStyle name="Акцент6 14" xfId="54306"/>
    <cellStyle name="Акцент6 140" xfId="54307"/>
    <cellStyle name="Акцент6 141" xfId="54308"/>
    <cellStyle name="Акцент6 142" xfId="54309"/>
    <cellStyle name="Акцент6 143" xfId="54310"/>
    <cellStyle name="Акцент6 144" xfId="54311"/>
    <cellStyle name="Акцент6 145" xfId="54312"/>
    <cellStyle name="Акцент6 146" xfId="54313"/>
    <cellStyle name="Акцент6 147" xfId="54314"/>
    <cellStyle name="Акцент6 148" xfId="54315"/>
    <cellStyle name="Акцент6 149" xfId="54316"/>
    <cellStyle name="Акцент6 15" xfId="54317"/>
    <cellStyle name="Акцент6 150" xfId="54318"/>
    <cellStyle name="Акцент6 151" xfId="54319"/>
    <cellStyle name="Акцент6 16" xfId="54320"/>
    <cellStyle name="Акцент6 17" xfId="54321"/>
    <cellStyle name="Акцент6 18" xfId="54322"/>
    <cellStyle name="Акцент6 19" xfId="54323"/>
    <cellStyle name="Акцент6 2" xfId="54324"/>
    <cellStyle name="Акцент6 2 10" xfId="54325"/>
    <cellStyle name="Акцент6 2 11" xfId="54326"/>
    <cellStyle name="Акцент6 2 12" xfId="54327"/>
    <cellStyle name="Акцент6 2 13" xfId="54328"/>
    <cellStyle name="Акцент6 2 2" xfId="54329"/>
    <cellStyle name="Акцент6 2 3" xfId="54330"/>
    <cellStyle name="Акцент6 2 4" xfId="54331"/>
    <cellStyle name="Акцент6 2 5" xfId="54332"/>
    <cellStyle name="Акцент6 2 6" xfId="54333"/>
    <cellStyle name="Акцент6 2 7" xfId="54334"/>
    <cellStyle name="Акцент6 2 8" xfId="54335"/>
    <cellStyle name="Акцент6 2 9" xfId="54336"/>
    <cellStyle name="Акцент6 20" xfId="54337"/>
    <cellStyle name="Акцент6 21" xfId="54338"/>
    <cellStyle name="Акцент6 22" xfId="54339"/>
    <cellStyle name="Акцент6 23" xfId="54340"/>
    <cellStyle name="Акцент6 24" xfId="54341"/>
    <cellStyle name="Акцент6 25" xfId="54342"/>
    <cellStyle name="Акцент6 26" xfId="54343"/>
    <cellStyle name="Акцент6 27" xfId="54344"/>
    <cellStyle name="Акцент6 28" xfId="54345"/>
    <cellStyle name="Акцент6 29" xfId="54346"/>
    <cellStyle name="Акцент6 3" xfId="54347"/>
    <cellStyle name="Акцент6 30" xfId="54348"/>
    <cellStyle name="Акцент6 31" xfId="54349"/>
    <cellStyle name="Акцент6 32" xfId="54350"/>
    <cellStyle name="Акцент6 33" xfId="54351"/>
    <cellStyle name="Акцент6 34" xfId="54352"/>
    <cellStyle name="Акцент6 35" xfId="54353"/>
    <cellStyle name="Акцент6 36" xfId="54354"/>
    <cellStyle name="Акцент6 37" xfId="54355"/>
    <cellStyle name="Акцент6 38" xfId="54356"/>
    <cellStyle name="Акцент6 39" xfId="54357"/>
    <cellStyle name="Акцент6 4" xfId="54358"/>
    <cellStyle name="Акцент6 40" xfId="54359"/>
    <cellStyle name="Акцент6 41" xfId="54360"/>
    <cellStyle name="Акцент6 42" xfId="54361"/>
    <cellStyle name="Акцент6 43" xfId="54362"/>
    <cellStyle name="Акцент6 44" xfId="54363"/>
    <cellStyle name="Акцент6 45" xfId="54364"/>
    <cellStyle name="Акцент6 46" xfId="54365"/>
    <cellStyle name="Акцент6 47" xfId="54366"/>
    <cellStyle name="Акцент6 48" xfId="54367"/>
    <cellStyle name="Акцент6 49" xfId="54368"/>
    <cellStyle name="Акцент6 5" xfId="54369"/>
    <cellStyle name="Акцент6 50" xfId="54370"/>
    <cellStyle name="Акцент6 51" xfId="54371"/>
    <cellStyle name="Акцент6 52" xfId="54372"/>
    <cellStyle name="Акцент6 53" xfId="54373"/>
    <cellStyle name="Акцент6 54" xfId="54374"/>
    <cellStyle name="Акцент6 55" xfId="54375"/>
    <cellStyle name="Акцент6 56" xfId="54376"/>
    <cellStyle name="Акцент6 57" xfId="54377"/>
    <cellStyle name="Акцент6 58" xfId="54378"/>
    <cellStyle name="Акцент6 59" xfId="54379"/>
    <cellStyle name="Акцент6 6" xfId="54380"/>
    <cellStyle name="Акцент6 60" xfId="54381"/>
    <cellStyle name="Акцент6 61" xfId="54382"/>
    <cellStyle name="Акцент6 62" xfId="54383"/>
    <cellStyle name="Акцент6 63" xfId="54384"/>
    <cellStyle name="Акцент6 64" xfId="54385"/>
    <cellStyle name="Акцент6 65" xfId="54386"/>
    <cellStyle name="Акцент6 66" xfId="54387"/>
    <cellStyle name="Акцент6 67" xfId="54388"/>
    <cellStyle name="Акцент6 68" xfId="54389"/>
    <cellStyle name="Акцент6 69" xfId="54390"/>
    <cellStyle name="Акцент6 7" xfId="54391"/>
    <cellStyle name="Акцент6 70" xfId="54392"/>
    <cellStyle name="Акцент6 71" xfId="54393"/>
    <cellStyle name="Акцент6 72" xfId="54394"/>
    <cellStyle name="Акцент6 73" xfId="54395"/>
    <cellStyle name="Акцент6 74" xfId="54396"/>
    <cellStyle name="Акцент6 75" xfId="54397"/>
    <cellStyle name="Акцент6 76" xfId="54398"/>
    <cellStyle name="Акцент6 77" xfId="54399"/>
    <cellStyle name="Акцент6 78" xfId="54400"/>
    <cellStyle name="Акцент6 79" xfId="54401"/>
    <cellStyle name="Акцент6 8" xfId="54402"/>
    <cellStyle name="Акцент6 80" xfId="54403"/>
    <cellStyle name="Акцент6 81" xfId="54404"/>
    <cellStyle name="Акцент6 82" xfId="54405"/>
    <cellStyle name="Акцент6 83" xfId="54406"/>
    <cellStyle name="Акцент6 84" xfId="54407"/>
    <cellStyle name="Акцент6 85" xfId="54408"/>
    <cellStyle name="Акцент6 86" xfId="54409"/>
    <cellStyle name="Акцент6 87" xfId="54410"/>
    <cellStyle name="Акцент6 88" xfId="54411"/>
    <cellStyle name="Акцент6 89" xfId="54412"/>
    <cellStyle name="Акцент6 9" xfId="54413"/>
    <cellStyle name="Акцент6 90" xfId="54414"/>
    <cellStyle name="Акцент6 91" xfId="54415"/>
    <cellStyle name="Акцент6 92" xfId="54416"/>
    <cellStyle name="Акцент6 93" xfId="54417"/>
    <cellStyle name="Акцент6 94" xfId="54418"/>
    <cellStyle name="Акцент6 95" xfId="54419"/>
    <cellStyle name="Акцент6 96" xfId="54420"/>
    <cellStyle name="Акцент6 97" xfId="54421"/>
    <cellStyle name="Акцент6 98" xfId="54422"/>
    <cellStyle name="Акцент6 99" xfId="54423"/>
    <cellStyle name="Ввод  10" xfId="54424"/>
    <cellStyle name="Ввод  100" xfId="54425"/>
    <cellStyle name="Ввод  101" xfId="54426"/>
    <cellStyle name="Ввод  102" xfId="54427"/>
    <cellStyle name="Ввод  103" xfId="54428"/>
    <cellStyle name="Ввод  104" xfId="54429"/>
    <cellStyle name="Ввод  105" xfId="54430"/>
    <cellStyle name="Ввод  106" xfId="54431"/>
    <cellStyle name="Ввод  107" xfId="54432"/>
    <cellStyle name="Ввод  108" xfId="54433"/>
    <cellStyle name="Ввод  109" xfId="54434"/>
    <cellStyle name="Ввод  11" xfId="54435"/>
    <cellStyle name="Ввод  110" xfId="54436"/>
    <cellStyle name="Ввод  111" xfId="54437"/>
    <cellStyle name="Ввод  112" xfId="54438"/>
    <cellStyle name="Ввод  113" xfId="54439"/>
    <cellStyle name="Ввод  114" xfId="54440"/>
    <cellStyle name="Ввод  115" xfId="54441"/>
    <cellStyle name="Ввод  116" xfId="54442"/>
    <cellStyle name="Ввод  117" xfId="54443"/>
    <cellStyle name="Ввод  118" xfId="54444"/>
    <cellStyle name="Ввод  119" xfId="54445"/>
    <cellStyle name="Ввод  12" xfId="54446"/>
    <cellStyle name="Ввод  120" xfId="54447"/>
    <cellStyle name="Ввод  121" xfId="54448"/>
    <cellStyle name="Ввод  122" xfId="54449"/>
    <cellStyle name="Ввод  123" xfId="54450"/>
    <cellStyle name="Ввод  124" xfId="54451"/>
    <cellStyle name="Ввод  125" xfId="54452"/>
    <cellStyle name="Ввод  126" xfId="54453"/>
    <cellStyle name="Ввод  127" xfId="54454"/>
    <cellStyle name="Ввод  128" xfId="54455"/>
    <cellStyle name="Ввод  129" xfId="54456"/>
    <cellStyle name="Ввод  13" xfId="54457"/>
    <cellStyle name="Ввод  130" xfId="54458"/>
    <cellStyle name="Ввод  131" xfId="54459"/>
    <cellStyle name="Ввод  132" xfId="54460"/>
    <cellStyle name="Ввод  133" xfId="54461"/>
    <cellStyle name="Ввод  134" xfId="54462"/>
    <cellStyle name="Ввод  135" xfId="54463"/>
    <cellStyle name="Ввод  136" xfId="54464"/>
    <cellStyle name="Ввод  137" xfId="54465"/>
    <cellStyle name="Ввод  138" xfId="54466"/>
    <cellStyle name="Ввод  139" xfId="54467"/>
    <cellStyle name="Ввод  14" xfId="54468"/>
    <cellStyle name="Ввод  140" xfId="54469"/>
    <cellStyle name="Ввод  141" xfId="54470"/>
    <cellStyle name="Ввод  141 2" xfId="54471"/>
    <cellStyle name="Ввод  141 3" xfId="54472"/>
    <cellStyle name="Ввод  142" xfId="54473"/>
    <cellStyle name="Ввод  142 2" xfId="54474"/>
    <cellStyle name="Ввод  142 3" xfId="54475"/>
    <cellStyle name="Ввод  143" xfId="54476"/>
    <cellStyle name="Ввод  143 2" xfId="54477"/>
    <cellStyle name="Ввод  143 3" xfId="54478"/>
    <cellStyle name="Ввод  144" xfId="54479"/>
    <cellStyle name="Ввод  144 2" xfId="54480"/>
    <cellStyle name="Ввод  144 3" xfId="54481"/>
    <cellStyle name="Ввод  145" xfId="54482"/>
    <cellStyle name="Ввод  145 2" xfId="54483"/>
    <cellStyle name="Ввод  145 3" xfId="54484"/>
    <cellStyle name="Ввод  146" xfId="54485"/>
    <cellStyle name="Ввод  146 2" xfId="54486"/>
    <cellStyle name="Ввод  146 3" xfId="54487"/>
    <cellStyle name="Ввод  147" xfId="54488"/>
    <cellStyle name="Ввод  147 2" xfId="54489"/>
    <cellStyle name="Ввод  147 3" xfId="54490"/>
    <cellStyle name="Ввод  148" xfId="54491"/>
    <cellStyle name="Ввод  148 2" xfId="54492"/>
    <cellStyle name="Ввод  148 3" xfId="54493"/>
    <cellStyle name="Ввод  149" xfId="54494"/>
    <cellStyle name="Ввод  149 2" xfId="54495"/>
    <cellStyle name="Ввод  149 3" xfId="54496"/>
    <cellStyle name="Ввод  15" xfId="54497"/>
    <cellStyle name="Ввод  150" xfId="54498"/>
    <cellStyle name="Ввод  150 2" xfId="54499"/>
    <cellStyle name="Ввод  150 3" xfId="54500"/>
    <cellStyle name="Ввод  151" xfId="54501"/>
    <cellStyle name="Ввод  151 2" xfId="54502"/>
    <cellStyle name="Ввод  151 3" xfId="54503"/>
    <cellStyle name="Ввод  16" xfId="54504"/>
    <cellStyle name="Ввод  17" xfId="54505"/>
    <cellStyle name="Ввод  18" xfId="54506"/>
    <cellStyle name="Ввод  19" xfId="54507"/>
    <cellStyle name="Ввод  2" xfId="54508"/>
    <cellStyle name="Ввод  2 10" xfId="54509"/>
    <cellStyle name="Ввод  2 11" xfId="54510"/>
    <cellStyle name="Ввод  2 12" xfId="54511"/>
    <cellStyle name="Ввод  2 13" xfId="54512"/>
    <cellStyle name="Ввод  2 14" xfId="54513"/>
    <cellStyle name="Ввод  2 15" xfId="54514"/>
    <cellStyle name="Ввод  2 2" xfId="54515"/>
    <cellStyle name="Ввод  2 3" xfId="54516"/>
    <cellStyle name="Ввод  2 4" xfId="54517"/>
    <cellStyle name="Ввод  2 5" xfId="54518"/>
    <cellStyle name="Ввод  2 6" xfId="54519"/>
    <cellStyle name="Ввод  2 7" xfId="54520"/>
    <cellStyle name="Ввод  2 8" xfId="54521"/>
    <cellStyle name="Ввод  2 9" xfId="54522"/>
    <cellStyle name="Ввод  20" xfId="54523"/>
    <cellStyle name="Ввод  21" xfId="54524"/>
    <cellStyle name="Ввод  22" xfId="54525"/>
    <cellStyle name="Ввод  23" xfId="54526"/>
    <cellStyle name="Ввод  24" xfId="54527"/>
    <cellStyle name="Ввод  25" xfId="54528"/>
    <cellStyle name="Ввод  26" xfId="54529"/>
    <cellStyle name="Ввод  27" xfId="54530"/>
    <cellStyle name="Ввод  28" xfId="54531"/>
    <cellStyle name="Ввод  29" xfId="54532"/>
    <cellStyle name="Ввод  3" xfId="54533"/>
    <cellStyle name="Ввод  30" xfId="54534"/>
    <cellStyle name="Ввод  31" xfId="54535"/>
    <cellStyle name="Ввод  32" xfId="54536"/>
    <cellStyle name="Ввод  33" xfId="54537"/>
    <cellStyle name="Ввод  34" xfId="54538"/>
    <cellStyle name="Ввод  35" xfId="54539"/>
    <cellStyle name="Ввод  36" xfId="54540"/>
    <cellStyle name="Ввод  37" xfId="54541"/>
    <cellStyle name="Ввод  38" xfId="54542"/>
    <cellStyle name="Ввод  39" xfId="54543"/>
    <cellStyle name="Ввод  4" xfId="54544"/>
    <cellStyle name="Ввод  40" xfId="54545"/>
    <cellStyle name="Ввод  41" xfId="54546"/>
    <cellStyle name="Ввод  42" xfId="54547"/>
    <cellStyle name="Ввод  43" xfId="54548"/>
    <cellStyle name="Ввод  44" xfId="54549"/>
    <cellStyle name="Ввод  45" xfId="54550"/>
    <cellStyle name="Ввод  46" xfId="54551"/>
    <cellStyle name="Ввод  47" xfId="54552"/>
    <cellStyle name="Ввод  48" xfId="54553"/>
    <cellStyle name="Ввод  49" xfId="54554"/>
    <cellStyle name="Ввод  5" xfId="54555"/>
    <cellStyle name="Ввод  50" xfId="54556"/>
    <cellStyle name="Ввод  51" xfId="54557"/>
    <cellStyle name="Ввод  52" xfId="54558"/>
    <cellStyle name="Ввод  53" xfId="54559"/>
    <cellStyle name="Ввод  54" xfId="54560"/>
    <cellStyle name="Ввод  55" xfId="54561"/>
    <cellStyle name="Ввод  56" xfId="54562"/>
    <cellStyle name="Ввод  57" xfId="54563"/>
    <cellStyle name="Ввод  58" xfId="54564"/>
    <cellStyle name="Ввод  59" xfId="54565"/>
    <cellStyle name="Ввод  6" xfId="54566"/>
    <cellStyle name="Ввод  60" xfId="54567"/>
    <cellStyle name="Ввод  61" xfId="54568"/>
    <cellStyle name="Ввод  62" xfId="54569"/>
    <cellStyle name="Ввод  63" xfId="54570"/>
    <cellStyle name="Ввод  64" xfId="54571"/>
    <cellStyle name="Ввод  65" xfId="54572"/>
    <cellStyle name="Ввод  66" xfId="54573"/>
    <cellStyle name="Ввод  67" xfId="54574"/>
    <cellStyle name="Ввод  68" xfId="54575"/>
    <cellStyle name="Ввод  69" xfId="54576"/>
    <cellStyle name="Ввод  7" xfId="54577"/>
    <cellStyle name="Ввод  70" xfId="54578"/>
    <cellStyle name="Ввод  71" xfId="54579"/>
    <cellStyle name="Ввод  72" xfId="54580"/>
    <cellStyle name="Ввод  73" xfId="54581"/>
    <cellStyle name="Ввод  74" xfId="54582"/>
    <cellStyle name="Ввод  75" xfId="54583"/>
    <cellStyle name="Ввод  76" xfId="54584"/>
    <cellStyle name="Ввод  77" xfId="54585"/>
    <cellStyle name="Ввод  78" xfId="54586"/>
    <cellStyle name="Ввод  79" xfId="54587"/>
    <cellStyle name="Ввод  8" xfId="54588"/>
    <cellStyle name="Ввод  80" xfId="54589"/>
    <cellStyle name="Ввод  81" xfId="54590"/>
    <cellStyle name="Ввод  82" xfId="54591"/>
    <cellStyle name="Ввод  83" xfId="54592"/>
    <cellStyle name="Ввод  84" xfId="54593"/>
    <cellStyle name="Ввод  85" xfId="54594"/>
    <cellStyle name="Ввод  86" xfId="54595"/>
    <cellStyle name="Ввод  87" xfId="54596"/>
    <cellStyle name="Ввод  88" xfId="54597"/>
    <cellStyle name="Ввод  89" xfId="54598"/>
    <cellStyle name="Ввод  9" xfId="54599"/>
    <cellStyle name="Ввод  90" xfId="54600"/>
    <cellStyle name="Ввод  91" xfId="54601"/>
    <cellStyle name="Ввод  92" xfId="54602"/>
    <cellStyle name="Ввод  93" xfId="54603"/>
    <cellStyle name="Ввод  94" xfId="54604"/>
    <cellStyle name="Ввод  95" xfId="54605"/>
    <cellStyle name="Ввод  96" xfId="54606"/>
    <cellStyle name="Ввод  97" xfId="54607"/>
    <cellStyle name="Ввод  98" xfId="54608"/>
    <cellStyle name="Ввод  99" xfId="54609"/>
    <cellStyle name="Вывод 10" xfId="54610"/>
    <cellStyle name="Вывод 100" xfId="54611"/>
    <cellStyle name="Вывод 101" xfId="54612"/>
    <cellStyle name="Вывод 102" xfId="54613"/>
    <cellStyle name="Вывод 103" xfId="54614"/>
    <cellStyle name="Вывод 104" xfId="54615"/>
    <cellStyle name="Вывод 105" xfId="54616"/>
    <cellStyle name="Вывод 106" xfId="54617"/>
    <cellStyle name="Вывод 107" xfId="54618"/>
    <cellStyle name="Вывод 108" xfId="54619"/>
    <cellStyle name="Вывод 109" xfId="54620"/>
    <cellStyle name="Вывод 11" xfId="54621"/>
    <cellStyle name="Вывод 110" xfId="54622"/>
    <cellStyle name="Вывод 111" xfId="54623"/>
    <cellStyle name="Вывод 112" xfId="54624"/>
    <cellStyle name="Вывод 113" xfId="54625"/>
    <cellStyle name="Вывод 114" xfId="54626"/>
    <cellStyle name="Вывод 115" xfId="54627"/>
    <cellStyle name="Вывод 116" xfId="54628"/>
    <cellStyle name="Вывод 117" xfId="54629"/>
    <cellStyle name="Вывод 118" xfId="54630"/>
    <cellStyle name="Вывод 119" xfId="54631"/>
    <cellStyle name="Вывод 12" xfId="54632"/>
    <cellStyle name="Вывод 120" xfId="54633"/>
    <cellStyle name="Вывод 121" xfId="54634"/>
    <cellStyle name="Вывод 122" xfId="54635"/>
    <cellStyle name="Вывод 123" xfId="54636"/>
    <cellStyle name="Вывод 124" xfId="54637"/>
    <cellStyle name="Вывод 125" xfId="54638"/>
    <cellStyle name="Вывод 126" xfId="54639"/>
    <cellStyle name="Вывод 127" xfId="54640"/>
    <cellStyle name="Вывод 128" xfId="54641"/>
    <cellStyle name="Вывод 129" xfId="54642"/>
    <cellStyle name="Вывод 13" xfId="54643"/>
    <cellStyle name="Вывод 130" xfId="54644"/>
    <cellStyle name="Вывод 131" xfId="54645"/>
    <cellStyle name="Вывод 132" xfId="54646"/>
    <cellStyle name="Вывод 133" xfId="54647"/>
    <cellStyle name="Вывод 134" xfId="54648"/>
    <cellStyle name="Вывод 135" xfId="54649"/>
    <cellStyle name="Вывод 136" xfId="54650"/>
    <cellStyle name="Вывод 137" xfId="54651"/>
    <cellStyle name="Вывод 138" xfId="54652"/>
    <cellStyle name="Вывод 139" xfId="54653"/>
    <cellStyle name="Вывод 14" xfId="54654"/>
    <cellStyle name="Вывод 140" xfId="54655"/>
    <cellStyle name="Вывод 141" xfId="54656"/>
    <cellStyle name="Вывод 141 2" xfId="54657"/>
    <cellStyle name="Вывод 141 3" xfId="54658"/>
    <cellStyle name="Вывод 142" xfId="54659"/>
    <cellStyle name="Вывод 142 2" xfId="54660"/>
    <cellStyle name="Вывод 142 3" xfId="54661"/>
    <cellStyle name="Вывод 143" xfId="54662"/>
    <cellStyle name="Вывод 143 2" xfId="54663"/>
    <cellStyle name="Вывод 143 3" xfId="54664"/>
    <cellStyle name="Вывод 144" xfId="54665"/>
    <cellStyle name="Вывод 144 2" xfId="54666"/>
    <cellStyle name="Вывод 144 3" xfId="54667"/>
    <cellStyle name="Вывод 145" xfId="54668"/>
    <cellStyle name="Вывод 145 2" xfId="54669"/>
    <cellStyle name="Вывод 145 3" xfId="54670"/>
    <cellStyle name="Вывод 146" xfId="54671"/>
    <cellStyle name="Вывод 146 2" xfId="54672"/>
    <cellStyle name="Вывод 146 3" xfId="54673"/>
    <cellStyle name="Вывод 147" xfId="54674"/>
    <cellStyle name="Вывод 147 2" xfId="54675"/>
    <cellStyle name="Вывод 147 3" xfId="54676"/>
    <cellStyle name="Вывод 148" xfId="54677"/>
    <cellStyle name="Вывод 148 2" xfId="54678"/>
    <cellStyle name="Вывод 148 3" xfId="54679"/>
    <cellStyle name="Вывод 149" xfId="54680"/>
    <cellStyle name="Вывод 149 2" xfId="54681"/>
    <cellStyle name="Вывод 149 3" xfId="54682"/>
    <cellStyle name="Вывод 15" xfId="54683"/>
    <cellStyle name="Вывод 150" xfId="54684"/>
    <cellStyle name="Вывод 150 2" xfId="54685"/>
    <cellStyle name="Вывод 150 3" xfId="54686"/>
    <cellStyle name="Вывод 151" xfId="54687"/>
    <cellStyle name="Вывод 151 2" xfId="54688"/>
    <cellStyle name="Вывод 151 3" xfId="54689"/>
    <cellStyle name="Вывод 16" xfId="54690"/>
    <cellStyle name="Вывод 17" xfId="54691"/>
    <cellStyle name="Вывод 18" xfId="54692"/>
    <cellStyle name="Вывод 19" xfId="54693"/>
    <cellStyle name="Вывод 2" xfId="54694"/>
    <cellStyle name="Вывод 2 10" xfId="54695"/>
    <cellStyle name="Вывод 2 11" xfId="54696"/>
    <cellStyle name="Вывод 2 12" xfId="54697"/>
    <cellStyle name="Вывод 2 13" xfId="54698"/>
    <cellStyle name="Вывод 2 14" xfId="54699"/>
    <cellStyle name="Вывод 2 15" xfId="54700"/>
    <cellStyle name="Вывод 2 2" xfId="54701"/>
    <cellStyle name="Вывод 2 3" xfId="54702"/>
    <cellStyle name="Вывод 2 4" xfId="54703"/>
    <cellStyle name="Вывод 2 5" xfId="54704"/>
    <cellStyle name="Вывод 2 6" xfId="54705"/>
    <cellStyle name="Вывод 2 7" xfId="54706"/>
    <cellStyle name="Вывод 2 8" xfId="54707"/>
    <cellStyle name="Вывод 2 9" xfId="54708"/>
    <cellStyle name="Вывод 20" xfId="54709"/>
    <cellStyle name="Вывод 21" xfId="54710"/>
    <cellStyle name="Вывод 22" xfId="54711"/>
    <cellStyle name="Вывод 23" xfId="54712"/>
    <cellStyle name="Вывод 24" xfId="54713"/>
    <cellStyle name="Вывод 25" xfId="54714"/>
    <cellStyle name="Вывод 26" xfId="54715"/>
    <cellStyle name="Вывод 27" xfId="54716"/>
    <cellStyle name="Вывод 28" xfId="54717"/>
    <cellStyle name="Вывод 29" xfId="54718"/>
    <cellStyle name="Вывод 3" xfId="54719"/>
    <cellStyle name="Вывод 30" xfId="54720"/>
    <cellStyle name="Вывод 31" xfId="54721"/>
    <cellStyle name="Вывод 32" xfId="54722"/>
    <cellStyle name="Вывод 33" xfId="54723"/>
    <cellStyle name="Вывод 34" xfId="54724"/>
    <cellStyle name="Вывод 35" xfId="54725"/>
    <cellStyle name="Вывод 36" xfId="54726"/>
    <cellStyle name="Вывод 37" xfId="54727"/>
    <cellStyle name="Вывод 38" xfId="54728"/>
    <cellStyle name="Вывод 39" xfId="54729"/>
    <cellStyle name="Вывод 4" xfId="54730"/>
    <cellStyle name="Вывод 40" xfId="54731"/>
    <cellStyle name="Вывод 41" xfId="54732"/>
    <cellStyle name="Вывод 42" xfId="54733"/>
    <cellStyle name="Вывод 43" xfId="54734"/>
    <cellStyle name="Вывод 44" xfId="54735"/>
    <cellStyle name="Вывод 45" xfId="54736"/>
    <cellStyle name="Вывод 46" xfId="54737"/>
    <cellStyle name="Вывод 47" xfId="54738"/>
    <cellStyle name="Вывод 48" xfId="54739"/>
    <cellStyle name="Вывод 49" xfId="54740"/>
    <cellStyle name="Вывод 5" xfId="54741"/>
    <cellStyle name="Вывод 50" xfId="54742"/>
    <cellStyle name="Вывод 51" xfId="54743"/>
    <cellStyle name="Вывод 52" xfId="54744"/>
    <cellStyle name="Вывод 53" xfId="54745"/>
    <cellStyle name="Вывод 54" xfId="54746"/>
    <cellStyle name="Вывод 55" xfId="54747"/>
    <cellStyle name="Вывод 56" xfId="54748"/>
    <cellStyle name="Вывод 57" xfId="54749"/>
    <cellStyle name="Вывод 58" xfId="54750"/>
    <cellStyle name="Вывод 59" xfId="54751"/>
    <cellStyle name="Вывод 6" xfId="54752"/>
    <cellStyle name="Вывод 60" xfId="54753"/>
    <cellStyle name="Вывод 61" xfId="54754"/>
    <cellStyle name="Вывод 62" xfId="54755"/>
    <cellStyle name="Вывод 63" xfId="54756"/>
    <cellStyle name="Вывод 64" xfId="54757"/>
    <cellStyle name="Вывод 65" xfId="54758"/>
    <cellStyle name="Вывод 66" xfId="54759"/>
    <cellStyle name="Вывод 67" xfId="54760"/>
    <cellStyle name="Вывод 68" xfId="54761"/>
    <cellStyle name="Вывод 69" xfId="54762"/>
    <cellStyle name="Вывод 7" xfId="54763"/>
    <cellStyle name="Вывод 70" xfId="54764"/>
    <cellStyle name="Вывод 71" xfId="54765"/>
    <cellStyle name="Вывод 72" xfId="54766"/>
    <cellStyle name="Вывод 73" xfId="54767"/>
    <cellStyle name="Вывод 74" xfId="54768"/>
    <cellStyle name="Вывод 75" xfId="54769"/>
    <cellStyle name="Вывод 76" xfId="54770"/>
    <cellStyle name="Вывод 77" xfId="54771"/>
    <cellStyle name="Вывод 78" xfId="54772"/>
    <cellStyle name="Вывод 79" xfId="54773"/>
    <cellStyle name="Вывод 8" xfId="54774"/>
    <cellStyle name="Вывод 80" xfId="54775"/>
    <cellStyle name="Вывод 81" xfId="54776"/>
    <cellStyle name="Вывод 82" xfId="54777"/>
    <cellStyle name="Вывод 83" xfId="54778"/>
    <cellStyle name="Вывод 84" xfId="54779"/>
    <cellStyle name="Вывод 85" xfId="54780"/>
    <cellStyle name="Вывод 86" xfId="54781"/>
    <cellStyle name="Вывод 87" xfId="54782"/>
    <cellStyle name="Вывод 88" xfId="54783"/>
    <cellStyle name="Вывод 89" xfId="54784"/>
    <cellStyle name="Вывод 9" xfId="54785"/>
    <cellStyle name="Вывод 90" xfId="54786"/>
    <cellStyle name="Вывод 91" xfId="54787"/>
    <cellStyle name="Вывод 92" xfId="54788"/>
    <cellStyle name="Вывод 93" xfId="54789"/>
    <cellStyle name="Вывод 94" xfId="54790"/>
    <cellStyle name="Вывод 95" xfId="54791"/>
    <cellStyle name="Вывод 96" xfId="54792"/>
    <cellStyle name="Вывод 97" xfId="54793"/>
    <cellStyle name="Вывод 98" xfId="54794"/>
    <cellStyle name="Вывод 99" xfId="54795"/>
    <cellStyle name="Вычисление 10" xfId="54796"/>
    <cellStyle name="Вычисление 100" xfId="54797"/>
    <cellStyle name="Вычисление 101" xfId="54798"/>
    <cellStyle name="Вычисление 102" xfId="54799"/>
    <cellStyle name="Вычисление 103" xfId="54800"/>
    <cellStyle name="Вычисление 104" xfId="54801"/>
    <cellStyle name="Вычисление 105" xfId="54802"/>
    <cellStyle name="Вычисление 106" xfId="54803"/>
    <cellStyle name="Вычисление 107" xfId="54804"/>
    <cellStyle name="Вычисление 108" xfId="54805"/>
    <cellStyle name="Вычисление 109" xfId="54806"/>
    <cellStyle name="Вычисление 11" xfId="54807"/>
    <cellStyle name="Вычисление 110" xfId="54808"/>
    <cellStyle name="Вычисление 111" xfId="54809"/>
    <cellStyle name="Вычисление 112" xfId="54810"/>
    <cellStyle name="Вычисление 113" xfId="54811"/>
    <cellStyle name="Вычисление 114" xfId="54812"/>
    <cellStyle name="Вычисление 115" xfId="54813"/>
    <cellStyle name="Вычисление 116" xfId="54814"/>
    <cellStyle name="Вычисление 117" xfId="54815"/>
    <cellStyle name="Вычисление 118" xfId="54816"/>
    <cellStyle name="Вычисление 119" xfId="54817"/>
    <cellStyle name="Вычисление 12" xfId="54818"/>
    <cellStyle name="Вычисление 120" xfId="54819"/>
    <cellStyle name="Вычисление 121" xfId="54820"/>
    <cellStyle name="Вычисление 122" xfId="54821"/>
    <cellStyle name="Вычисление 123" xfId="54822"/>
    <cellStyle name="Вычисление 124" xfId="54823"/>
    <cellStyle name="Вычисление 125" xfId="54824"/>
    <cellStyle name="Вычисление 126" xfId="54825"/>
    <cellStyle name="Вычисление 127" xfId="54826"/>
    <cellStyle name="Вычисление 128" xfId="54827"/>
    <cellStyle name="Вычисление 129" xfId="54828"/>
    <cellStyle name="Вычисление 13" xfId="54829"/>
    <cellStyle name="Вычисление 130" xfId="54830"/>
    <cellStyle name="Вычисление 131" xfId="54831"/>
    <cellStyle name="Вычисление 132" xfId="54832"/>
    <cellStyle name="Вычисление 133" xfId="54833"/>
    <cellStyle name="Вычисление 134" xfId="54834"/>
    <cellStyle name="Вычисление 135" xfId="54835"/>
    <cellStyle name="Вычисление 136" xfId="54836"/>
    <cellStyle name="Вычисление 137" xfId="54837"/>
    <cellStyle name="Вычисление 138" xfId="54838"/>
    <cellStyle name="Вычисление 139" xfId="54839"/>
    <cellStyle name="Вычисление 14" xfId="54840"/>
    <cellStyle name="Вычисление 140" xfId="54841"/>
    <cellStyle name="Вычисление 141" xfId="54842"/>
    <cellStyle name="Вычисление 141 2" xfId="54843"/>
    <cellStyle name="Вычисление 141 3" xfId="54844"/>
    <cellStyle name="Вычисление 142" xfId="54845"/>
    <cellStyle name="Вычисление 142 2" xfId="54846"/>
    <cellStyle name="Вычисление 142 3" xfId="54847"/>
    <cellStyle name="Вычисление 143" xfId="54848"/>
    <cellStyle name="Вычисление 143 2" xfId="54849"/>
    <cellStyle name="Вычисление 143 3" xfId="54850"/>
    <cellStyle name="Вычисление 144" xfId="54851"/>
    <cellStyle name="Вычисление 144 2" xfId="54852"/>
    <cellStyle name="Вычисление 144 3" xfId="54853"/>
    <cellStyle name="Вычисление 145" xfId="54854"/>
    <cellStyle name="Вычисление 145 2" xfId="54855"/>
    <cellStyle name="Вычисление 145 3" xfId="54856"/>
    <cellStyle name="Вычисление 146" xfId="54857"/>
    <cellStyle name="Вычисление 146 2" xfId="54858"/>
    <cellStyle name="Вычисление 146 3" xfId="54859"/>
    <cellStyle name="Вычисление 147" xfId="54860"/>
    <cellStyle name="Вычисление 147 2" xfId="54861"/>
    <cellStyle name="Вычисление 147 3" xfId="54862"/>
    <cellStyle name="Вычисление 148" xfId="54863"/>
    <cellStyle name="Вычисление 148 2" xfId="54864"/>
    <cellStyle name="Вычисление 148 3" xfId="54865"/>
    <cellStyle name="Вычисление 149" xfId="54866"/>
    <cellStyle name="Вычисление 149 2" xfId="54867"/>
    <cellStyle name="Вычисление 149 3" xfId="54868"/>
    <cellStyle name="Вычисление 15" xfId="54869"/>
    <cellStyle name="Вычисление 150" xfId="54870"/>
    <cellStyle name="Вычисление 150 2" xfId="54871"/>
    <cellStyle name="Вычисление 150 3" xfId="54872"/>
    <cellStyle name="Вычисление 151" xfId="54873"/>
    <cellStyle name="Вычисление 151 2" xfId="54874"/>
    <cellStyle name="Вычисление 151 3" xfId="54875"/>
    <cellStyle name="Вычисление 16" xfId="54876"/>
    <cellStyle name="Вычисление 17" xfId="54877"/>
    <cellStyle name="Вычисление 18" xfId="54878"/>
    <cellStyle name="Вычисление 19" xfId="54879"/>
    <cellStyle name="Вычисление 2" xfId="54880"/>
    <cellStyle name="Вычисление 2 10" xfId="54881"/>
    <cellStyle name="Вычисление 2 11" xfId="54882"/>
    <cellStyle name="Вычисление 2 12" xfId="54883"/>
    <cellStyle name="Вычисление 2 13" xfId="54884"/>
    <cellStyle name="Вычисление 2 14" xfId="54885"/>
    <cellStyle name="Вычисление 2 15" xfId="54886"/>
    <cellStyle name="Вычисление 2 2" xfId="54887"/>
    <cellStyle name="Вычисление 2 3" xfId="54888"/>
    <cellStyle name="Вычисление 2 4" xfId="54889"/>
    <cellStyle name="Вычисление 2 5" xfId="54890"/>
    <cellStyle name="Вычисление 2 6" xfId="54891"/>
    <cellStyle name="Вычисление 2 7" xfId="54892"/>
    <cellStyle name="Вычисление 2 8" xfId="54893"/>
    <cellStyle name="Вычисление 2 9" xfId="54894"/>
    <cellStyle name="Вычисление 20" xfId="54895"/>
    <cellStyle name="Вычисление 21" xfId="54896"/>
    <cellStyle name="Вычисление 22" xfId="54897"/>
    <cellStyle name="Вычисление 23" xfId="54898"/>
    <cellStyle name="Вычисление 24" xfId="54899"/>
    <cellStyle name="Вычисление 25" xfId="54900"/>
    <cellStyle name="Вычисление 26" xfId="54901"/>
    <cellStyle name="Вычисление 27" xfId="54902"/>
    <cellStyle name="Вычисление 28" xfId="54903"/>
    <cellStyle name="Вычисление 29" xfId="54904"/>
    <cellStyle name="Вычисление 3" xfId="54905"/>
    <cellStyle name="Вычисление 30" xfId="54906"/>
    <cellStyle name="Вычисление 31" xfId="54907"/>
    <cellStyle name="Вычисление 32" xfId="54908"/>
    <cellStyle name="Вычисление 33" xfId="54909"/>
    <cellStyle name="Вычисление 34" xfId="54910"/>
    <cellStyle name="Вычисление 35" xfId="54911"/>
    <cellStyle name="Вычисление 36" xfId="54912"/>
    <cellStyle name="Вычисление 37" xfId="54913"/>
    <cellStyle name="Вычисление 38" xfId="54914"/>
    <cellStyle name="Вычисление 39" xfId="54915"/>
    <cellStyle name="Вычисление 4" xfId="54916"/>
    <cellStyle name="Вычисление 40" xfId="54917"/>
    <cellStyle name="Вычисление 41" xfId="54918"/>
    <cellStyle name="Вычисление 42" xfId="54919"/>
    <cellStyle name="Вычисление 43" xfId="54920"/>
    <cellStyle name="Вычисление 44" xfId="54921"/>
    <cellStyle name="Вычисление 45" xfId="54922"/>
    <cellStyle name="Вычисление 46" xfId="54923"/>
    <cellStyle name="Вычисление 47" xfId="54924"/>
    <cellStyle name="Вычисление 48" xfId="54925"/>
    <cellStyle name="Вычисление 49" xfId="54926"/>
    <cellStyle name="Вычисление 5" xfId="54927"/>
    <cellStyle name="Вычисление 50" xfId="54928"/>
    <cellStyle name="Вычисление 51" xfId="54929"/>
    <cellStyle name="Вычисление 52" xfId="54930"/>
    <cellStyle name="Вычисление 53" xfId="54931"/>
    <cellStyle name="Вычисление 54" xfId="54932"/>
    <cellStyle name="Вычисление 55" xfId="54933"/>
    <cellStyle name="Вычисление 56" xfId="54934"/>
    <cellStyle name="Вычисление 57" xfId="54935"/>
    <cellStyle name="Вычисление 58" xfId="54936"/>
    <cellStyle name="Вычисление 59" xfId="54937"/>
    <cellStyle name="Вычисление 6" xfId="54938"/>
    <cellStyle name="Вычисление 60" xfId="54939"/>
    <cellStyle name="Вычисление 61" xfId="54940"/>
    <cellStyle name="Вычисление 62" xfId="54941"/>
    <cellStyle name="Вычисление 63" xfId="54942"/>
    <cellStyle name="Вычисление 64" xfId="54943"/>
    <cellStyle name="Вычисление 65" xfId="54944"/>
    <cellStyle name="Вычисление 66" xfId="54945"/>
    <cellStyle name="Вычисление 67" xfId="54946"/>
    <cellStyle name="Вычисление 68" xfId="54947"/>
    <cellStyle name="Вычисление 69" xfId="54948"/>
    <cellStyle name="Вычисление 7" xfId="54949"/>
    <cellStyle name="Вычисление 70" xfId="54950"/>
    <cellStyle name="Вычисление 71" xfId="54951"/>
    <cellStyle name="Вычисление 72" xfId="54952"/>
    <cellStyle name="Вычисление 73" xfId="54953"/>
    <cellStyle name="Вычисление 74" xfId="54954"/>
    <cellStyle name="Вычисление 75" xfId="54955"/>
    <cellStyle name="Вычисление 76" xfId="54956"/>
    <cellStyle name="Вычисление 77" xfId="54957"/>
    <cellStyle name="Вычисление 78" xfId="54958"/>
    <cellStyle name="Вычисление 79" xfId="54959"/>
    <cellStyle name="Вычисление 8" xfId="54960"/>
    <cellStyle name="Вычисление 80" xfId="54961"/>
    <cellStyle name="Вычисление 81" xfId="54962"/>
    <cellStyle name="Вычисление 82" xfId="54963"/>
    <cellStyle name="Вычисление 83" xfId="54964"/>
    <cellStyle name="Вычисление 84" xfId="54965"/>
    <cellStyle name="Вычисление 85" xfId="54966"/>
    <cellStyle name="Вычисление 86" xfId="54967"/>
    <cellStyle name="Вычисление 87" xfId="54968"/>
    <cellStyle name="Вычисление 88" xfId="54969"/>
    <cellStyle name="Вычисление 89" xfId="54970"/>
    <cellStyle name="Вычисление 9" xfId="54971"/>
    <cellStyle name="Вычисление 90" xfId="54972"/>
    <cellStyle name="Вычисление 91" xfId="54973"/>
    <cellStyle name="Вычисление 92" xfId="54974"/>
    <cellStyle name="Вычисление 93" xfId="54975"/>
    <cellStyle name="Вычисление 94" xfId="54976"/>
    <cellStyle name="Вычисление 95" xfId="54977"/>
    <cellStyle name="Вычисление 96" xfId="54978"/>
    <cellStyle name="Вычисление 97" xfId="54979"/>
    <cellStyle name="Вычисление 98" xfId="54980"/>
    <cellStyle name="Вычисление 99" xfId="54981"/>
    <cellStyle name="Гиперссылка 2 10" xfId="54982"/>
    <cellStyle name="Гиперссылка 2 100" xfId="54983"/>
    <cellStyle name="Гиперссылка 2 101" xfId="54984"/>
    <cellStyle name="Гиперссылка 2 102" xfId="54985"/>
    <cellStyle name="Гиперссылка 2 103" xfId="54986"/>
    <cellStyle name="Гиперссылка 2 104" xfId="54987"/>
    <cellStyle name="Гиперссылка 2 105" xfId="54988"/>
    <cellStyle name="Гиперссылка 2 106" xfId="54989"/>
    <cellStyle name="Гиперссылка 2 107" xfId="54990"/>
    <cellStyle name="Гиперссылка 2 108" xfId="54991"/>
    <cellStyle name="Гиперссылка 2 109" xfId="54992"/>
    <cellStyle name="Гиперссылка 2 11" xfId="54993"/>
    <cellStyle name="Гиперссылка 2 110" xfId="54994"/>
    <cellStyle name="Гиперссылка 2 111" xfId="54995"/>
    <cellStyle name="Гиперссылка 2 112" xfId="54996"/>
    <cellStyle name="Гиперссылка 2 113" xfId="54997"/>
    <cellStyle name="Гиперссылка 2 114" xfId="54998"/>
    <cellStyle name="Гиперссылка 2 115" xfId="54999"/>
    <cellStyle name="Гиперссылка 2 116" xfId="55000"/>
    <cellStyle name="Гиперссылка 2 117" xfId="55001"/>
    <cellStyle name="Гиперссылка 2 118" xfId="55002"/>
    <cellStyle name="Гиперссылка 2 119" xfId="55003"/>
    <cellStyle name="Гиперссылка 2 12" xfId="55004"/>
    <cellStyle name="Гиперссылка 2 120" xfId="55005"/>
    <cellStyle name="Гиперссылка 2 121" xfId="55006"/>
    <cellStyle name="Гиперссылка 2 122" xfId="55007"/>
    <cellStyle name="Гиперссылка 2 123" xfId="55008"/>
    <cellStyle name="Гиперссылка 2 124" xfId="55009"/>
    <cellStyle name="Гиперссылка 2 125" xfId="55010"/>
    <cellStyle name="Гиперссылка 2 126" xfId="55011"/>
    <cellStyle name="Гиперссылка 2 127" xfId="55012"/>
    <cellStyle name="Гиперссылка 2 128" xfId="55013"/>
    <cellStyle name="Гиперссылка 2 129" xfId="55014"/>
    <cellStyle name="Гиперссылка 2 13" xfId="55015"/>
    <cellStyle name="Гиперссылка 2 130" xfId="55016"/>
    <cellStyle name="Гиперссылка 2 131" xfId="55017"/>
    <cellStyle name="Гиперссылка 2 132" xfId="55018"/>
    <cellStyle name="Гиперссылка 2 133" xfId="55019"/>
    <cellStyle name="Гиперссылка 2 134" xfId="55020"/>
    <cellStyle name="Гиперссылка 2 135" xfId="55021"/>
    <cellStyle name="Гиперссылка 2 14" xfId="55022"/>
    <cellStyle name="Гиперссылка 2 15" xfId="55023"/>
    <cellStyle name="Гиперссылка 2 16" xfId="55024"/>
    <cellStyle name="Гиперссылка 2 17" xfId="55025"/>
    <cellStyle name="Гиперссылка 2 18" xfId="55026"/>
    <cellStyle name="Гиперссылка 2 19" xfId="55027"/>
    <cellStyle name="Гиперссылка 2 2" xfId="55028"/>
    <cellStyle name="Гиперссылка 2 20" xfId="55029"/>
    <cellStyle name="Гиперссылка 2 21" xfId="55030"/>
    <cellStyle name="Гиперссылка 2 22" xfId="55031"/>
    <cellStyle name="Гиперссылка 2 23" xfId="55032"/>
    <cellStyle name="Гиперссылка 2 24" xfId="55033"/>
    <cellStyle name="Гиперссылка 2 25" xfId="55034"/>
    <cellStyle name="Гиперссылка 2 26" xfId="55035"/>
    <cellStyle name="Гиперссылка 2 27" xfId="55036"/>
    <cellStyle name="Гиперссылка 2 28" xfId="55037"/>
    <cellStyle name="Гиперссылка 2 29" xfId="55038"/>
    <cellStyle name="Гиперссылка 2 3" xfId="55039"/>
    <cellStyle name="Гиперссылка 2 30" xfId="55040"/>
    <cellStyle name="Гиперссылка 2 31" xfId="55041"/>
    <cellStyle name="Гиперссылка 2 32" xfId="55042"/>
    <cellStyle name="Гиперссылка 2 33" xfId="55043"/>
    <cellStyle name="Гиперссылка 2 34" xfId="55044"/>
    <cellStyle name="Гиперссылка 2 35" xfId="55045"/>
    <cellStyle name="Гиперссылка 2 36" xfId="55046"/>
    <cellStyle name="Гиперссылка 2 37" xfId="55047"/>
    <cellStyle name="Гиперссылка 2 38" xfId="55048"/>
    <cellStyle name="Гиперссылка 2 39" xfId="55049"/>
    <cellStyle name="Гиперссылка 2 4" xfId="55050"/>
    <cellStyle name="Гиперссылка 2 40" xfId="55051"/>
    <cellStyle name="Гиперссылка 2 41" xfId="55052"/>
    <cellStyle name="Гиперссылка 2 42" xfId="55053"/>
    <cellStyle name="Гиперссылка 2 43" xfId="55054"/>
    <cellStyle name="Гиперссылка 2 44" xfId="55055"/>
    <cellStyle name="Гиперссылка 2 45" xfId="55056"/>
    <cellStyle name="Гиперссылка 2 46" xfId="55057"/>
    <cellStyle name="Гиперссылка 2 47" xfId="55058"/>
    <cellStyle name="Гиперссылка 2 48" xfId="55059"/>
    <cellStyle name="Гиперссылка 2 49" xfId="55060"/>
    <cellStyle name="Гиперссылка 2 5" xfId="55061"/>
    <cellStyle name="Гиперссылка 2 50" xfId="55062"/>
    <cellStyle name="Гиперссылка 2 51" xfId="55063"/>
    <cellStyle name="Гиперссылка 2 52" xfId="55064"/>
    <cellStyle name="Гиперссылка 2 53" xfId="55065"/>
    <cellStyle name="Гиперссылка 2 54" xfId="55066"/>
    <cellStyle name="Гиперссылка 2 55" xfId="55067"/>
    <cellStyle name="Гиперссылка 2 56" xfId="55068"/>
    <cellStyle name="Гиперссылка 2 57" xfId="55069"/>
    <cellStyle name="Гиперссылка 2 58" xfId="55070"/>
    <cellStyle name="Гиперссылка 2 59" xfId="55071"/>
    <cellStyle name="Гиперссылка 2 6" xfId="55072"/>
    <cellStyle name="Гиперссылка 2 60" xfId="55073"/>
    <cellStyle name="Гиперссылка 2 61" xfId="55074"/>
    <cellStyle name="Гиперссылка 2 62" xfId="55075"/>
    <cellStyle name="Гиперссылка 2 63" xfId="55076"/>
    <cellStyle name="Гиперссылка 2 64" xfId="55077"/>
    <cellStyle name="Гиперссылка 2 65" xfId="55078"/>
    <cellStyle name="Гиперссылка 2 66" xfId="55079"/>
    <cellStyle name="Гиперссылка 2 67" xfId="55080"/>
    <cellStyle name="Гиперссылка 2 68" xfId="55081"/>
    <cellStyle name="Гиперссылка 2 69" xfId="55082"/>
    <cellStyle name="Гиперссылка 2 7" xfId="55083"/>
    <cellStyle name="Гиперссылка 2 70" xfId="55084"/>
    <cellStyle name="Гиперссылка 2 71" xfId="55085"/>
    <cellStyle name="Гиперссылка 2 72" xfId="55086"/>
    <cellStyle name="Гиперссылка 2 73" xfId="55087"/>
    <cellStyle name="Гиперссылка 2 74" xfId="55088"/>
    <cellStyle name="Гиперссылка 2 75" xfId="55089"/>
    <cellStyle name="Гиперссылка 2 76" xfId="55090"/>
    <cellStyle name="Гиперссылка 2 77" xfId="55091"/>
    <cellStyle name="Гиперссылка 2 78" xfId="55092"/>
    <cellStyle name="Гиперссылка 2 79" xfId="55093"/>
    <cellStyle name="Гиперссылка 2 8" xfId="55094"/>
    <cellStyle name="Гиперссылка 2 80" xfId="55095"/>
    <cellStyle name="Гиперссылка 2 81" xfId="55096"/>
    <cellStyle name="Гиперссылка 2 82" xfId="55097"/>
    <cellStyle name="Гиперссылка 2 83" xfId="55098"/>
    <cellStyle name="Гиперссылка 2 84" xfId="55099"/>
    <cellStyle name="Гиперссылка 2 85" xfId="55100"/>
    <cellStyle name="Гиперссылка 2 86" xfId="55101"/>
    <cellStyle name="Гиперссылка 2 87" xfId="55102"/>
    <cellStyle name="Гиперссылка 2 88" xfId="55103"/>
    <cellStyle name="Гиперссылка 2 89" xfId="55104"/>
    <cellStyle name="Гиперссылка 2 9" xfId="55105"/>
    <cellStyle name="Гиперссылка 2 90" xfId="55106"/>
    <cellStyle name="Гиперссылка 2 91" xfId="55107"/>
    <cellStyle name="Гиперссылка 2 92" xfId="55108"/>
    <cellStyle name="Гиперссылка 2 93" xfId="55109"/>
    <cellStyle name="Гиперссылка 2 94" xfId="55110"/>
    <cellStyle name="Гиперссылка 2 95" xfId="55111"/>
    <cellStyle name="Гиперссылка 2 96" xfId="55112"/>
    <cellStyle name="Гиперссылка 2 97" xfId="55113"/>
    <cellStyle name="Гиперссылка 2 98" xfId="55114"/>
    <cellStyle name="Гиперссылка 2 99" xfId="55115"/>
    <cellStyle name="Гиперссылка 33" xfId="55116"/>
    <cellStyle name="Заголовок 1 10" xfId="55117"/>
    <cellStyle name="Заголовок 1 100" xfId="55118"/>
    <cellStyle name="Заголовок 1 101" xfId="55119"/>
    <cellStyle name="Заголовок 1 102" xfId="55120"/>
    <cellStyle name="Заголовок 1 103" xfId="55121"/>
    <cellStyle name="Заголовок 1 104" xfId="55122"/>
    <cellStyle name="Заголовок 1 105" xfId="55123"/>
    <cellStyle name="Заголовок 1 106" xfId="55124"/>
    <cellStyle name="Заголовок 1 107" xfId="55125"/>
    <cellStyle name="Заголовок 1 108" xfId="55126"/>
    <cellStyle name="Заголовок 1 109" xfId="55127"/>
    <cellStyle name="Заголовок 1 11" xfId="55128"/>
    <cellStyle name="Заголовок 1 110" xfId="55129"/>
    <cellStyle name="Заголовок 1 111" xfId="55130"/>
    <cellStyle name="Заголовок 1 112" xfId="55131"/>
    <cellStyle name="Заголовок 1 113" xfId="55132"/>
    <cellStyle name="Заголовок 1 114" xfId="55133"/>
    <cellStyle name="Заголовок 1 115" xfId="55134"/>
    <cellStyle name="Заголовок 1 116" xfId="55135"/>
    <cellStyle name="Заголовок 1 117" xfId="55136"/>
    <cellStyle name="Заголовок 1 118" xfId="55137"/>
    <cellStyle name="Заголовок 1 119" xfId="55138"/>
    <cellStyle name="Заголовок 1 12" xfId="55139"/>
    <cellStyle name="Заголовок 1 120" xfId="55140"/>
    <cellStyle name="Заголовок 1 121" xfId="55141"/>
    <cellStyle name="Заголовок 1 122" xfId="55142"/>
    <cellStyle name="Заголовок 1 123" xfId="55143"/>
    <cellStyle name="Заголовок 1 124" xfId="55144"/>
    <cellStyle name="Заголовок 1 125" xfId="55145"/>
    <cellStyle name="Заголовок 1 126" xfId="55146"/>
    <cellStyle name="Заголовок 1 127" xfId="55147"/>
    <cellStyle name="Заголовок 1 128" xfId="55148"/>
    <cellStyle name="Заголовок 1 129" xfId="55149"/>
    <cellStyle name="Заголовок 1 13" xfId="55150"/>
    <cellStyle name="Заголовок 1 130" xfId="55151"/>
    <cellStyle name="Заголовок 1 131" xfId="55152"/>
    <cellStyle name="Заголовок 1 132" xfId="55153"/>
    <cellStyle name="Заголовок 1 133" xfId="55154"/>
    <cellStyle name="Заголовок 1 134" xfId="55155"/>
    <cellStyle name="Заголовок 1 135" xfId="55156"/>
    <cellStyle name="Заголовок 1 136" xfId="55157"/>
    <cellStyle name="Заголовок 1 137" xfId="55158"/>
    <cellStyle name="Заголовок 1 138" xfId="55159"/>
    <cellStyle name="Заголовок 1 139" xfId="55160"/>
    <cellStyle name="Заголовок 1 14" xfId="55161"/>
    <cellStyle name="Заголовок 1 140" xfId="55162"/>
    <cellStyle name="Заголовок 1 141" xfId="55163"/>
    <cellStyle name="Заголовок 1 142" xfId="55164"/>
    <cellStyle name="Заголовок 1 143" xfId="55165"/>
    <cellStyle name="Заголовок 1 144" xfId="55166"/>
    <cellStyle name="Заголовок 1 145" xfId="55167"/>
    <cellStyle name="Заголовок 1 146" xfId="55168"/>
    <cellStyle name="Заголовок 1 147" xfId="55169"/>
    <cellStyle name="Заголовок 1 148" xfId="55170"/>
    <cellStyle name="Заголовок 1 149" xfId="55171"/>
    <cellStyle name="Заголовок 1 15" xfId="55172"/>
    <cellStyle name="Заголовок 1 150" xfId="55173"/>
    <cellStyle name="Заголовок 1 151" xfId="55174"/>
    <cellStyle name="Заголовок 1 16" xfId="55175"/>
    <cellStyle name="Заголовок 1 17" xfId="55176"/>
    <cellStyle name="Заголовок 1 18" xfId="55177"/>
    <cellStyle name="Заголовок 1 19" xfId="55178"/>
    <cellStyle name="Заголовок 1 2" xfId="55179"/>
    <cellStyle name="Заголовок 1 2 10" xfId="55180"/>
    <cellStyle name="Заголовок 1 2 11" xfId="55181"/>
    <cellStyle name="Заголовок 1 2 12" xfId="55182"/>
    <cellStyle name="Заголовок 1 2 13" xfId="55183"/>
    <cellStyle name="Заголовок 1 2 2" xfId="55184"/>
    <cellStyle name="Заголовок 1 2 3" xfId="55185"/>
    <cellStyle name="Заголовок 1 2 4" xfId="55186"/>
    <cellStyle name="Заголовок 1 2 5" xfId="55187"/>
    <cellStyle name="Заголовок 1 2 6" xfId="55188"/>
    <cellStyle name="Заголовок 1 2 7" xfId="55189"/>
    <cellStyle name="Заголовок 1 2 8" xfId="55190"/>
    <cellStyle name="Заголовок 1 2 9" xfId="55191"/>
    <cellStyle name="Заголовок 1 20" xfId="55192"/>
    <cellStyle name="Заголовок 1 21" xfId="55193"/>
    <cellStyle name="Заголовок 1 22" xfId="55194"/>
    <cellStyle name="Заголовок 1 23" xfId="55195"/>
    <cellStyle name="Заголовок 1 24" xfId="55196"/>
    <cellStyle name="Заголовок 1 25" xfId="55197"/>
    <cellStyle name="Заголовок 1 26" xfId="55198"/>
    <cellStyle name="Заголовок 1 27" xfId="55199"/>
    <cellStyle name="Заголовок 1 28" xfId="55200"/>
    <cellStyle name="Заголовок 1 29" xfId="55201"/>
    <cellStyle name="Заголовок 1 3" xfId="55202"/>
    <cellStyle name="Заголовок 1 30" xfId="55203"/>
    <cellStyle name="Заголовок 1 31" xfId="55204"/>
    <cellStyle name="Заголовок 1 32" xfId="55205"/>
    <cellStyle name="Заголовок 1 33" xfId="55206"/>
    <cellStyle name="Заголовок 1 34" xfId="55207"/>
    <cellStyle name="Заголовок 1 35" xfId="55208"/>
    <cellStyle name="Заголовок 1 36" xfId="55209"/>
    <cellStyle name="Заголовок 1 37" xfId="55210"/>
    <cellStyle name="Заголовок 1 38" xfId="55211"/>
    <cellStyle name="Заголовок 1 39" xfId="55212"/>
    <cellStyle name="Заголовок 1 4" xfId="55213"/>
    <cellStyle name="Заголовок 1 40" xfId="55214"/>
    <cellStyle name="Заголовок 1 41" xfId="55215"/>
    <cellStyle name="Заголовок 1 42" xfId="55216"/>
    <cellStyle name="Заголовок 1 43" xfId="55217"/>
    <cellStyle name="Заголовок 1 44" xfId="55218"/>
    <cellStyle name="Заголовок 1 45" xfId="55219"/>
    <cellStyle name="Заголовок 1 46" xfId="55220"/>
    <cellStyle name="Заголовок 1 47" xfId="55221"/>
    <cellStyle name="Заголовок 1 48" xfId="55222"/>
    <cellStyle name="Заголовок 1 49" xfId="55223"/>
    <cellStyle name="Заголовок 1 5" xfId="55224"/>
    <cellStyle name="Заголовок 1 50" xfId="55225"/>
    <cellStyle name="Заголовок 1 51" xfId="55226"/>
    <cellStyle name="Заголовок 1 52" xfId="55227"/>
    <cellStyle name="Заголовок 1 53" xfId="55228"/>
    <cellStyle name="Заголовок 1 54" xfId="55229"/>
    <cellStyle name="Заголовок 1 55" xfId="55230"/>
    <cellStyle name="Заголовок 1 56" xfId="55231"/>
    <cellStyle name="Заголовок 1 57" xfId="55232"/>
    <cellStyle name="Заголовок 1 58" xfId="55233"/>
    <cellStyle name="Заголовок 1 59" xfId="55234"/>
    <cellStyle name="Заголовок 1 6" xfId="55235"/>
    <cellStyle name="Заголовок 1 60" xfId="55236"/>
    <cellStyle name="Заголовок 1 61" xfId="55237"/>
    <cellStyle name="Заголовок 1 62" xfId="55238"/>
    <cellStyle name="Заголовок 1 63" xfId="55239"/>
    <cellStyle name="Заголовок 1 64" xfId="55240"/>
    <cellStyle name="Заголовок 1 65" xfId="55241"/>
    <cellStyle name="Заголовок 1 66" xfId="55242"/>
    <cellStyle name="Заголовок 1 67" xfId="55243"/>
    <cellStyle name="Заголовок 1 68" xfId="55244"/>
    <cellStyle name="Заголовок 1 69" xfId="55245"/>
    <cellStyle name="Заголовок 1 7" xfId="55246"/>
    <cellStyle name="Заголовок 1 70" xfId="55247"/>
    <cellStyle name="Заголовок 1 71" xfId="55248"/>
    <cellStyle name="Заголовок 1 72" xfId="55249"/>
    <cellStyle name="Заголовок 1 73" xfId="55250"/>
    <cellStyle name="Заголовок 1 74" xfId="55251"/>
    <cellStyle name="Заголовок 1 75" xfId="55252"/>
    <cellStyle name="Заголовок 1 76" xfId="55253"/>
    <cellStyle name="Заголовок 1 77" xfId="55254"/>
    <cellStyle name="Заголовок 1 78" xfId="55255"/>
    <cellStyle name="Заголовок 1 79" xfId="55256"/>
    <cellStyle name="Заголовок 1 8" xfId="55257"/>
    <cellStyle name="Заголовок 1 80" xfId="55258"/>
    <cellStyle name="Заголовок 1 81" xfId="55259"/>
    <cellStyle name="Заголовок 1 82" xfId="55260"/>
    <cellStyle name="Заголовок 1 83" xfId="55261"/>
    <cellStyle name="Заголовок 1 84" xfId="55262"/>
    <cellStyle name="Заголовок 1 85" xfId="55263"/>
    <cellStyle name="Заголовок 1 86" xfId="55264"/>
    <cellStyle name="Заголовок 1 87" xfId="55265"/>
    <cellStyle name="Заголовок 1 88" xfId="55266"/>
    <cellStyle name="Заголовок 1 89" xfId="55267"/>
    <cellStyle name="Заголовок 1 9" xfId="55268"/>
    <cellStyle name="Заголовок 1 90" xfId="55269"/>
    <cellStyle name="Заголовок 1 91" xfId="55270"/>
    <cellStyle name="Заголовок 1 92" xfId="55271"/>
    <cellStyle name="Заголовок 1 93" xfId="55272"/>
    <cellStyle name="Заголовок 1 94" xfId="55273"/>
    <cellStyle name="Заголовок 1 95" xfId="55274"/>
    <cellStyle name="Заголовок 1 96" xfId="55275"/>
    <cellStyle name="Заголовок 1 97" xfId="55276"/>
    <cellStyle name="Заголовок 1 98" xfId="55277"/>
    <cellStyle name="Заголовок 1 99" xfId="55278"/>
    <cellStyle name="Заголовок 2 10" xfId="55279"/>
    <cellStyle name="Заголовок 2 100" xfId="55280"/>
    <cellStyle name="Заголовок 2 101" xfId="55281"/>
    <cellStyle name="Заголовок 2 102" xfId="55282"/>
    <cellStyle name="Заголовок 2 103" xfId="55283"/>
    <cellStyle name="Заголовок 2 104" xfId="55284"/>
    <cellStyle name="Заголовок 2 105" xfId="55285"/>
    <cellStyle name="Заголовок 2 106" xfId="55286"/>
    <cellStyle name="Заголовок 2 107" xfId="55287"/>
    <cellStyle name="Заголовок 2 108" xfId="55288"/>
    <cellStyle name="Заголовок 2 109" xfId="55289"/>
    <cellStyle name="Заголовок 2 11" xfId="55290"/>
    <cellStyle name="Заголовок 2 110" xfId="55291"/>
    <cellStyle name="Заголовок 2 111" xfId="55292"/>
    <cellStyle name="Заголовок 2 112" xfId="55293"/>
    <cellStyle name="Заголовок 2 113" xfId="55294"/>
    <cellStyle name="Заголовок 2 114" xfId="55295"/>
    <cellStyle name="Заголовок 2 115" xfId="55296"/>
    <cellStyle name="Заголовок 2 116" xfId="55297"/>
    <cellStyle name="Заголовок 2 117" xfId="55298"/>
    <cellStyle name="Заголовок 2 118" xfId="55299"/>
    <cellStyle name="Заголовок 2 119" xfId="55300"/>
    <cellStyle name="Заголовок 2 12" xfId="55301"/>
    <cellStyle name="Заголовок 2 120" xfId="55302"/>
    <cellStyle name="Заголовок 2 121" xfId="55303"/>
    <cellStyle name="Заголовок 2 122" xfId="55304"/>
    <cellStyle name="Заголовок 2 123" xfId="55305"/>
    <cellStyle name="Заголовок 2 124" xfId="55306"/>
    <cellStyle name="Заголовок 2 125" xfId="55307"/>
    <cellStyle name="Заголовок 2 126" xfId="55308"/>
    <cellStyle name="Заголовок 2 127" xfId="55309"/>
    <cellStyle name="Заголовок 2 128" xfId="55310"/>
    <cellStyle name="Заголовок 2 129" xfId="55311"/>
    <cellStyle name="Заголовок 2 13" xfId="55312"/>
    <cellStyle name="Заголовок 2 130" xfId="55313"/>
    <cellStyle name="Заголовок 2 131" xfId="55314"/>
    <cellStyle name="Заголовок 2 132" xfId="55315"/>
    <cellStyle name="Заголовок 2 133" xfId="55316"/>
    <cellStyle name="Заголовок 2 134" xfId="55317"/>
    <cellStyle name="Заголовок 2 135" xfId="55318"/>
    <cellStyle name="Заголовок 2 136" xfId="55319"/>
    <cellStyle name="Заголовок 2 137" xfId="55320"/>
    <cellStyle name="Заголовок 2 138" xfId="55321"/>
    <cellStyle name="Заголовок 2 139" xfId="55322"/>
    <cellStyle name="Заголовок 2 14" xfId="55323"/>
    <cellStyle name="Заголовок 2 140" xfId="55324"/>
    <cellStyle name="Заголовок 2 141" xfId="55325"/>
    <cellStyle name="Заголовок 2 142" xfId="55326"/>
    <cellStyle name="Заголовок 2 143" xfId="55327"/>
    <cellStyle name="Заголовок 2 144" xfId="55328"/>
    <cellStyle name="Заголовок 2 145" xfId="55329"/>
    <cellStyle name="Заголовок 2 146" xfId="55330"/>
    <cellStyle name="Заголовок 2 147" xfId="55331"/>
    <cellStyle name="Заголовок 2 148" xfId="55332"/>
    <cellStyle name="Заголовок 2 149" xfId="55333"/>
    <cellStyle name="Заголовок 2 15" xfId="55334"/>
    <cellStyle name="Заголовок 2 150" xfId="55335"/>
    <cellStyle name="Заголовок 2 151" xfId="55336"/>
    <cellStyle name="Заголовок 2 16" xfId="55337"/>
    <cellStyle name="Заголовок 2 17" xfId="55338"/>
    <cellStyle name="Заголовок 2 18" xfId="55339"/>
    <cellStyle name="Заголовок 2 19" xfId="55340"/>
    <cellStyle name="Заголовок 2 2" xfId="55341"/>
    <cellStyle name="Заголовок 2 2 10" xfId="55342"/>
    <cellStyle name="Заголовок 2 2 11" xfId="55343"/>
    <cellStyle name="Заголовок 2 2 12" xfId="55344"/>
    <cellStyle name="Заголовок 2 2 13" xfId="55345"/>
    <cellStyle name="Заголовок 2 2 2" xfId="55346"/>
    <cellStyle name="Заголовок 2 2 3" xfId="55347"/>
    <cellStyle name="Заголовок 2 2 4" xfId="55348"/>
    <cellStyle name="Заголовок 2 2 5" xfId="55349"/>
    <cellStyle name="Заголовок 2 2 6" xfId="55350"/>
    <cellStyle name="Заголовок 2 2 7" xfId="55351"/>
    <cellStyle name="Заголовок 2 2 8" xfId="55352"/>
    <cellStyle name="Заголовок 2 2 9" xfId="55353"/>
    <cellStyle name="Заголовок 2 20" xfId="55354"/>
    <cellStyle name="Заголовок 2 21" xfId="55355"/>
    <cellStyle name="Заголовок 2 22" xfId="55356"/>
    <cellStyle name="Заголовок 2 23" xfId="55357"/>
    <cellStyle name="Заголовок 2 24" xfId="55358"/>
    <cellStyle name="Заголовок 2 25" xfId="55359"/>
    <cellStyle name="Заголовок 2 26" xfId="55360"/>
    <cellStyle name="Заголовок 2 27" xfId="55361"/>
    <cellStyle name="Заголовок 2 28" xfId="55362"/>
    <cellStyle name="Заголовок 2 29" xfId="55363"/>
    <cellStyle name="Заголовок 2 3" xfId="55364"/>
    <cellStyle name="Заголовок 2 30" xfId="55365"/>
    <cellStyle name="Заголовок 2 31" xfId="55366"/>
    <cellStyle name="Заголовок 2 32" xfId="55367"/>
    <cellStyle name="Заголовок 2 33" xfId="55368"/>
    <cellStyle name="Заголовок 2 34" xfId="55369"/>
    <cellStyle name="Заголовок 2 35" xfId="55370"/>
    <cellStyle name="Заголовок 2 36" xfId="55371"/>
    <cellStyle name="Заголовок 2 37" xfId="55372"/>
    <cellStyle name="Заголовок 2 38" xfId="55373"/>
    <cellStyle name="Заголовок 2 39" xfId="55374"/>
    <cellStyle name="Заголовок 2 4" xfId="55375"/>
    <cellStyle name="Заголовок 2 40" xfId="55376"/>
    <cellStyle name="Заголовок 2 41" xfId="55377"/>
    <cellStyle name="Заголовок 2 42" xfId="55378"/>
    <cellStyle name="Заголовок 2 43" xfId="55379"/>
    <cellStyle name="Заголовок 2 44" xfId="55380"/>
    <cellStyle name="Заголовок 2 45" xfId="55381"/>
    <cellStyle name="Заголовок 2 46" xfId="55382"/>
    <cellStyle name="Заголовок 2 47" xfId="55383"/>
    <cellStyle name="Заголовок 2 48" xfId="55384"/>
    <cellStyle name="Заголовок 2 49" xfId="55385"/>
    <cellStyle name="Заголовок 2 5" xfId="55386"/>
    <cellStyle name="Заголовок 2 50" xfId="55387"/>
    <cellStyle name="Заголовок 2 51" xfId="55388"/>
    <cellStyle name="Заголовок 2 52" xfId="55389"/>
    <cellStyle name="Заголовок 2 53" xfId="55390"/>
    <cellStyle name="Заголовок 2 54" xfId="55391"/>
    <cellStyle name="Заголовок 2 55" xfId="55392"/>
    <cellStyle name="Заголовок 2 56" xfId="55393"/>
    <cellStyle name="Заголовок 2 57" xfId="55394"/>
    <cellStyle name="Заголовок 2 58" xfId="55395"/>
    <cellStyle name="Заголовок 2 59" xfId="55396"/>
    <cellStyle name="Заголовок 2 6" xfId="55397"/>
    <cellStyle name="Заголовок 2 60" xfId="55398"/>
    <cellStyle name="Заголовок 2 61" xfId="55399"/>
    <cellStyle name="Заголовок 2 62" xfId="55400"/>
    <cellStyle name="Заголовок 2 63" xfId="55401"/>
    <cellStyle name="Заголовок 2 64" xfId="55402"/>
    <cellStyle name="Заголовок 2 65" xfId="55403"/>
    <cellStyle name="Заголовок 2 66" xfId="55404"/>
    <cellStyle name="Заголовок 2 67" xfId="55405"/>
    <cellStyle name="Заголовок 2 68" xfId="55406"/>
    <cellStyle name="Заголовок 2 69" xfId="55407"/>
    <cellStyle name="Заголовок 2 7" xfId="55408"/>
    <cellStyle name="Заголовок 2 70" xfId="55409"/>
    <cellStyle name="Заголовок 2 71" xfId="55410"/>
    <cellStyle name="Заголовок 2 72" xfId="55411"/>
    <cellStyle name="Заголовок 2 73" xfId="55412"/>
    <cellStyle name="Заголовок 2 74" xfId="55413"/>
    <cellStyle name="Заголовок 2 75" xfId="55414"/>
    <cellStyle name="Заголовок 2 76" xfId="55415"/>
    <cellStyle name="Заголовок 2 77" xfId="55416"/>
    <cellStyle name="Заголовок 2 78" xfId="55417"/>
    <cellStyle name="Заголовок 2 79" xfId="55418"/>
    <cellStyle name="Заголовок 2 8" xfId="55419"/>
    <cellStyle name="Заголовок 2 80" xfId="55420"/>
    <cellStyle name="Заголовок 2 81" xfId="55421"/>
    <cellStyle name="Заголовок 2 82" xfId="55422"/>
    <cellStyle name="Заголовок 2 83" xfId="55423"/>
    <cellStyle name="Заголовок 2 84" xfId="55424"/>
    <cellStyle name="Заголовок 2 85" xfId="55425"/>
    <cellStyle name="Заголовок 2 86" xfId="55426"/>
    <cellStyle name="Заголовок 2 87" xfId="55427"/>
    <cellStyle name="Заголовок 2 88" xfId="55428"/>
    <cellStyle name="Заголовок 2 89" xfId="55429"/>
    <cellStyle name="Заголовок 2 9" xfId="55430"/>
    <cellStyle name="Заголовок 2 90" xfId="55431"/>
    <cellStyle name="Заголовок 2 91" xfId="55432"/>
    <cellStyle name="Заголовок 2 92" xfId="55433"/>
    <cellStyle name="Заголовок 2 93" xfId="55434"/>
    <cellStyle name="Заголовок 2 94" xfId="55435"/>
    <cellStyle name="Заголовок 2 95" xfId="55436"/>
    <cellStyle name="Заголовок 2 96" xfId="55437"/>
    <cellStyle name="Заголовок 2 97" xfId="55438"/>
    <cellStyle name="Заголовок 2 98" xfId="55439"/>
    <cellStyle name="Заголовок 2 99" xfId="55440"/>
    <cellStyle name="Заголовок 3 10" xfId="55441"/>
    <cellStyle name="Заголовок 3 100" xfId="55442"/>
    <cellStyle name="Заголовок 3 101" xfId="55443"/>
    <cellStyle name="Заголовок 3 102" xfId="55444"/>
    <cellStyle name="Заголовок 3 103" xfId="55445"/>
    <cellStyle name="Заголовок 3 104" xfId="55446"/>
    <cellStyle name="Заголовок 3 105" xfId="55447"/>
    <cellStyle name="Заголовок 3 106" xfId="55448"/>
    <cellStyle name="Заголовок 3 107" xfId="55449"/>
    <cellStyle name="Заголовок 3 108" xfId="55450"/>
    <cellStyle name="Заголовок 3 109" xfId="55451"/>
    <cellStyle name="Заголовок 3 11" xfId="55452"/>
    <cellStyle name="Заголовок 3 110" xfId="55453"/>
    <cellStyle name="Заголовок 3 111" xfId="55454"/>
    <cellStyle name="Заголовок 3 112" xfId="55455"/>
    <cellStyle name="Заголовок 3 113" xfId="55456"/>
    <cellStyle name="Заголовок 3 114" xfId="55457"/>
    <cellStyle name="Заголовок 3 115" xfId="55458"/>
    <cellStyle name="Заголовок 3 116" xfId="55459"/>
    <cellStyle name="Заголовок 3 117" xfId="55460"/>
    <cellStyle name="Заголовок 3 118" xfId="55461"/>
    <cellStyle name="Заголовок 3 119" xfId="55462"/>
    <cellStyle name="Заголовок 3 12" xfId="55463"/>
    <cellStyle name="Заголовок 3 120" xfId="55464"/>
    <cellStyle name="Заголовок 3 121" xfId="55465"/>
    <cellStyle name="Заголовок 3 122" xfId="55466"/>
    <cellStyle name="Заголовок 3 123" xfId="55467"/>
    <cellStyle name="Заголовок 3 124" xfId="55468"/>
    <cellStyle name="Заголовок 3 125" xfId="55469"/>
    <cellStyle name="Заголовок 3 126" xfId="55470"/>
    <cellStyle name="Заголовок 3 127" xfId="55471"/>
    <cellStyle name="Заголовок 3 128" xfId="55472"/>
    <cellStyle name="Заголовок 3 129" xfId="55473"/>
    <cellStyle name="Заголовок 3 13" xfId="55474"/>
    <cellStyle name="Заголовок 3 130" xfId="55475"/>
    <cellStyle name="Заголовок 3 131" xfId="55476"/>
    <cellStyle name="Заголовок 3 132" xfId="55477"/>
    <cellStyle name="Заголовок 3 133" xfId="55478"/>
    <cellStyle name="Заголовок 3 134" xfId="55479"/>
    <cellStyle name="Заголовок 3 135" xfId="55480"/>
    <cellStyle name="Заголовок 3 136" xfId="55481"/>
    <cellStyle name="Заголовок 3 137" xfId="55482"/>
    <cellStyle name="Заголовок 3 138" xfId="55483"/>
    <cellStyle name="Заголовок 3 139" xfId="55484"/>
    <cellStyle name="Заголовок 3 14" xfId="55485"/>
    <cellStyle name="Заголовок 3 140" xfId="55486"/>
    <cellStyle name="Заголовок 3 141" xfId="55487"/>
    <cellStyle name="Заголовок 3 142" xfId="55488"/>
    <cellStyle name="Заголовок 3 143" xfId="55489"/>
    <cellStyle name="Заголовок 3 144" xfId="55490"/>
    <cellStyle name="Заголовок 3 145" xfId="55491"/>
    <cellStyle name="Заголовок 3 146" xfId="55492"/>
    <cellStyle name="Заголовок 3 147" xfId="55493"/>
    <cellStyle name="Заголовок 3 148" xfId="55494"/>
    <cellStyle name="Заголовок 3 149" xfId="55495"/>
    <cellStyle name="Заголовок 3 15" xfId="55496"/>
    <cellStyle name="Заголовок 3 150" xfId="55497"/>
    <cellStyle name="Заголовок 3 151" xfId="55498"/>
    <cellStyle name="Заголовок 3 152" xfId="55499"/>
    <cellStyle name="Заголовок 3 153" xfId="55500"/>
    <cellStyle name="Заголовок 3 16" xfId="55501"/>
    <cellStyle name="Заголовок 3 17" xfId="55502"/>
    <cellStyle name="Заголовок 3 18" xfId="55503"/>
    <cellStyle name="Заголовок 3 19" xfId="55504"/>
    <cellStyle name="Заголовок 3 2" xfId="55505"/>
    <cellStyle name="Заголовок 3 2 2" xfId="55506"/>
    <cellStyle name="Заголовок 3 2 2 10" xfId="55507"/>
    <cellStyle name="Заголовок 3 2 2 11" xfId="55508"/>
    <cellStyle name="Заголовок 3 2 2 12" xfId="55509"/>
    <cellStyle name="Заголовок 3 2 2 13" xfId="55510"/>
    <cellStyle name="Заголовок 3 2 2 2" xfId="55511"/>
    <cellStyle name="Заголовок 3 2 2 3" xfId="55512"/>
    <cellStyle name="Заголовок 3 2 2 4" xfId="55513"/>
    <cellStyle name="Заголовок 3 2 2 5" xfId="55514"/>
    <cellStyle name="Заголовок 3 2 2 6" xfId="55515"/>
    <cellStyle name="Заголовок 3 2 2 7" xfId="55516"/>
    <cellStyle name="Заголовок 3 2 2 8" xfId="55517"/>
    <cellStyle name="Заголовок 3 2 2 9" xfId="55518"/>
    <cellStyle name="Заголовок 3 2 3" xfId="55519"/>
    <cellStyle name="Заголовок 3 20" xfId="55520"/>
    <cellStyle name="Заголовок 3 21" xfId="55521"/>
    <cellStyle name="Заголовок 3 22" xfId="55522"/>
    <cellStyle name="Заголовок 3 23" xfId="55523"/>
    <cellStyle name="Заголовок 3 24" xfId="55524"/>
    <cellStyle name="Заголовок 3 25" xfId="55525"/>
    <cellStyle name="Заголовок 3 26" xfId="55526"/>
    <cellStyle name="Заголовок 3 27" xfId="55527"/>
    <cellStyle name="Заголовок 3 28" xfId="55528"/>
    <cellStyle name="Заголовок 3 29" xfId="55529"/>
    <cellStyle name="Заголовок 3 3" xfId="55530"/>
    <cellStyle name="Заголовок 3 30" xfId="55531"/>
    <cellStyle name="Заголовок 3 31" xfId="55532"/>
    <cellStyle name="Заголовок 3 32" xfId="55533"/>
    <cellStyle name="Заголовок 3 33" xfId="55534"/>
    <cellStyle name="Заголовок 3 34" xfId="55535"/>
    <cellStyle name="Заголовок 3 35" xfId="55536"/>
    <cellStyle name="Заголовок 3 36" xfId="55537"/>
    <cellStyle name="Заголовок 3 37" xfId="55538"/>
    <cellStyle name="Заголовок 3 38" xfId="55539"/>
    <cellStyle name="Заголовок 3 39" xfId="55540"/>
    <cellStyle name="Заголовок 3 4" xfId="55541"/>
    <cellStyle name="Заголовок 3 40" xfId="55542"/>
    <cellStyle name="Заголовок 3 41" xfId="55543"/>
    <cellStyle name="Заголовок 3 42" xfId="55544"/>
    <cellStyle name="Заголовок 3 43" xfId="55545"/>
    <cellStyle name="Заголовок 3 44" xfId="55546"/>
    <cellStyle name="Заголовок 3 45" xfId="55547"/>
    <cellStyle name="Заголовок 3 46" xfId="55548"/>
    <cellStyle name="Заголовок 3 47" xfId="55549"/>
    <cellStyle name="Заголовок 3 48" xfId="55550"/>
    <cellStyle name="Заголовок 3 49" xfId="55551"/>
    <cellStyle name="Заголовок 3 5" xfId="55552"/>
    <cellStyle name="Заголовок 3 50" xfId="55553"/>
    <cellStyle name="Заголовок 3 51" xfId="55554"/>
    <cellStyle name="Заголовок 3 52" xfId="55555"/>
    <cellStyle name="Заголовок 3 53" xfId="55556"/>
    <cellStyle name="Заголовок 3 54" xfId="55557"/>
    <cellStyle name="Заголовок 3 55" xfId="55558"/>
    <cellStyle name="Заголовок 3 56" xfId="55559"/>
    <cellStyle name="Заголовок 3 57" xfId="55560"/>
    <cellStyle name="Заголовок 3 58" xfId="55561"/>
    <cellStyle name="Заголовок 3 59" xfId="55562"/>
    <cellStyle name="Заголовок 3 6" xfId="55563"/>
    <cellStyle name="Заголовок 3 60" xfId="55564"/>
    <cellStyle name="Заголовок 3 61" xfId="55565"/>
    <cellStyle name="Заголовок 3 62" xfId="55566"/>
    <cellStyle name="Заголовок 3 63" xfId="55567"/>
    <cellStyle name="Заголовок 3 64" xfId="55568"/>
    <cellStyle name="Заголовок 3 65" xfId="55569"/>
    <cellStyle name="Заголовок 3 66" xfId="55570"/>
    <cellStyle name="Заголовок 3 67" xfId="55571"/>
    <cellStyle name="Заголовок 3 68" xfId="55572"/>
    <cellStyle name="Заголовок 3 69" xfId="55573"/>
    <cellStyle name="Заголовок 3 7" xfId="55574"/>
    <cellStyle name="Заголовок 3 70" xfId="55575"/>
    <cellStyle name="Заголовок 3 71" xfId="55576"/>
    <cellStyle name="Заголовок 3 72" xfId="55577"/>
    <cellStyle name="Заголовок 3 73" xfId="55578"/>
    <cellStyle name="Заголовок 3 74" xfId="55579"/>
    <cellStyle name="Заголовок 3 75" xfId="55580"/>
    <cellStyle name="Заголовок 3 76" xfId="55581"/>
    <cellStyle name="Заголовок 3 77" xfId="55582"/>
    <cellStyle name="Заголовок 3 78" xfId="55583"/>
    <cellStyle name="Заголовок 3 79" xfId="55584"/>
    <cellStyle name="Заголовок 3 8" xfId="55585"/>
    <cellStyle name="Заголовок 3 80" xfId="55586"/>
    <cellStyle name="Заголовок 3 81" xfId="55587"/>
    <cellStyle name="Заголовок 3 82" xfId="55588"/>
    <cellStyle name="Заголовок 3 83" xfId="55589"/>
    <cellStyle name="Заголовок 3 84" xfId="55590"/>
    <cellStyle name="Заголовок 3 85" xfId="55591"/>
    <cellStyle name="Заголовок 3 86" xfId="55592"/>
    <cellStyle name="Заголовок 3 87" xfId="55593"/>
    <cellStyle name="Заголовок 3 88" xfId="55594"/>
    <cellStyle name="Заголовок 3 89" xfId="55595"/>
    <cellStyle name="Заголовок 3 9" xfId="55596"/>
    <cellStyle name="Заголовок 3 90" xfId="55597"/>
    <cellStyle name="Заголовок 3 91" xfId="55598"/>
    <cellStyle name="Заголовок 3 92" xfId="55599"/>
    <cellStyle name="Заголовок 3 93" xfId="55600"/>
    <cellStyle name="Заголовок 3 94" xfId="55601"/>
    <cellStyle name="Заголовок 3 95" xfId="55602"/>
    <cellStyle name="Заголовок 3 96" xfId="55603"/>
    <cellStyle name="Заголовок 3 97" xfId="55604"/>
    <cellStyle name="Заголовок 3 98" xfId="55605"/>
    <cellStyle name="Заголовок 3 99" xfId="55606"/>
    <cellStyle name="Заголовок 4 10" xfId="55607"/>
    <cellStyle name="Заголовок 4 100" xfId="55608"/>
    <cellStyle name="Заголовок 4 101" xfId="55609"/>
    <cellStyle name="Заголовок 4 101 2" xfId="55610"/>
    <cellStyle name="Заголовок 4 101 3" xfId="55611"/>
    <cellStyle name="Заголовок 4 101 3 2" xfId="55612"/>
    <cellStyle name="Заголовок 4 101 3 2 2" xfId="55613"/>
    <cellStyle name="Заголовок 4 101 3 3" xfId="55614"/>
    <cellStyle name="Заголовок 4 101 4" xfId="55615"/>
    <cellStyle name="Заголовок 4 101 4 2" xfId="55616"/>
    <cellStyle name="Заголовок 4 101 5" xfId="55617"/>
    <cellStyle name="Заголовок 4 102" xfId="55618"/>
    <cellStyle name="Заголовок 4 102 2" xfId="55619"/>
    <cellStyle name="Заголовок 4 102 3" xfId="55620"/>
    <cellStyle name="Заголовок 4 102 3 2" xfId="55621"/>
    <cellStyle name="Заголовок 4 102 3 2 2" xfId="55622"/>
    <cellStyle name="Заголовок 4 102 3 3" xfId="55623"/>
    <cellStyle name="Заголовок 4 102 4" xfId="55624"/>
    <cellStyle name="Заголовок 4 102 4 2" xfId="55625"/>
    <cellStyle name="Заголовок 4 102 5" xfId="55626"/>
    <cellStyle name="Заголовок 4 103" xfId="55627"/>
    <cellStyle name="Заголовок 4 103 2" xfId="55628"/>
    <cellStyle name="Заголовок 4 103 3" xfId="55629"/>
    <cellStyle name="Заголовок 4 103 3 2" xfId="55630"/>
    <cellStyle name="Заголовок 4 103 3 2 2" xfId="55631"/>
    <cellStyle name="Заголовок 4 103 3 3" xfId="55632"/>
    <cellStyle name="Заголовок 4 103 4" xfId="55633"/>
    <cellStyle name="Заголовок 4 103 4 2" xfId="55634"/>
    <cellStyle name="Заголовок 4 103 5" xfId="55635"/>
    <cellStyle name="Заголовок 4 104" xfId="55636"/>
    <cellStyle name="Заголовок 4 104 2" xfId="55637"/>
    <cellStyle name="Заголовок 4 104 3" xfId="55638"/>
    <cellStyle name="Заголовок 4 104 3 2" xfId="55639"/>
    <cellStyle name="Заголовок 4 104 3 2 2" xfId="55640"/>
    <cellStyle name="Заголовок 4 104 3 3" xfId="55641"/>
    <cellStyle name="Заголовок 4 104 4" xfId="55642"/>
    <cellStyle name="Заголовок 4 104 4 2" xfId="55643"/>
    <cellStyle name="Заголовок 4 104 5" xfId="55644"/>
    <cellStyle name="Заголовок 4 105" xfId="55645"/>
    <cellStyle name="Заголовок 4 105 2" xfId="55646"/>
    <cellStyle name="Заголовок 4 105 3" xfId="55647"/>
    <cellStyle name="Заголовок 4 105 3 2" xfId="55648"/>
    <cellStyle name="Заголовок 4 105 3 2 2" xfId="55649"/>
    <cellStyle name="Заголовок 4 105 3 3" xfId="55650"/>
    <cellStyle name="Заголовок 4 105 4" xfId="55651"/>
    <cellStyle name="Заголовок 4 105 4 2" xfId="55652"/>
    <cellStyle name="Заголовок 4 105 5" xfId="55653"/>
    <cellStyle name="Заголовок 4 106" xfId="55654"/>
    <cellStyle name="Заголовок 4 106 2" xfId="55655"/>
    <cellStyle name="Заголовок 4 106 3" xfId="55656"/>
    <cellStyle name="Заголовок 4 106 3 2" xfId="55657"/>
    <cellStyle name="Заголовок 4 106 3 2 2" xfId="55658"/>
    <cellStyle name="Заголовок 4 106 3 3" xfId="55659"/>
    <cellStyle name="Заголовок 4 106 4" xfId="55660"/>
    <cellStyle name="Заголовок 4 106 4 2" xfId="55661"/>
    <cellStyle name="Заголовок 4 106 5" xfId="55662"/>
    <cellStyle name="Заголовок 4 107" xfId="55663"/>
    <cellStyle name="Заголовок 4 107 2" xfId="55664"/>
    <cellStyle name="Заголовок 4 107 3" xfId="55665"/>
    <cellStyle name="Заголовок 4 107 3 2" xfId="55666"/>
    <cellStyle name="Заголовок 4 107 3 2 2" xfId="55667"/>
    <cellStyle name="Заголовок 4 107 3 3" xfId="55668"/>
    <cellStyle name="Заголовок 4 107 4" xfId="55669"/>
    <cellStyle name="Заголовок 4 107 4 2" xfId="55670"/>
    <cellStyle name="Заголовок 4 107 5" xfId="55671"/>
    <cellStyle name="Заголовок 4 108" xfId="55672"/>
    <cellStyle name="Заголовок 4 108 2" xfId="55673"/>
    <cellStyle name="Заголовок 4 108 3" xfId="55674"/>
    <cellStyle name="Заголовок 4 108 3 2" xfId="55675"/>
    <cellStyle name="Заголовок 4 108 3 2 2" xfId="55676"/>
    <cellStyle name="Заголовок 4 108 3 3" xfId="55677"/>
    <cellStyle name="Заголовок 4 108 4" xfId="55678"/>
    <cellStyle name="Заголовок 4 108 4 2" xfId="55679"/>
    <cellStyle name="Заголовок 4 108 5" xfId="55680"/>
    <cellStyle name="Заголовок 4 109" xfId="55681"/>
    <cellStyle name="Заголовок 4 109 2" xfId="55682"/>
    <cellStyle name="Заголовок 4 109 3" xfId="55683"/>
    <cellStyle name="Заголовок 4 109 3 2" xfId="55684"/>
    <cellStyle name="Заголовок 4 109 3 2 2" xfId="55685"/>
    <cellStyle name="Заголовок 4 109 3 3" xfId="55686"/>
    <cellStyle name="Заголовок 4 109 4" xfId="55687"/>
    <cellStyle name="Заголовок 4 109 4 2" xfId="55688"/>
    <cellStyle name="Заголовок 4 109 5" xfId="55689"/>
    <cellStyle name="Заголовок 4 11" xfId="55690"/>
    <cellStyle name="Заголовок 4 11 2" xfId="55691"/>
    <cellStyle name="Заголовок 4 11 3" xfId="55692"/>
    <cellStyle name="Заголовок 4 11 3 2" xfId="55693"/>
    <cellStyle name="Заголовок 4 11 3 2 2" xfId="55694"/>
    <cellStyle name="Заголовок 4 11 3 3" xfId="55695"/>
    <cellStyle name="Заголовок 4 11 4" xfId="55696"/>
    <cellStyle name="Заголовок 4 11 4 2" xfId="55697"/>
    <cellStyle name="Заголовок 4 11 5" xfId="55698"/>
    <cellStyle name="Заголовок 4 110" xfId="55699"/>
    <cellStyle name="Заголовок 4 110 2" xfId="55700"/>
    <cellStyle name="Заголовок 4 110 3" xfId="55701"/>
    <cellStyle name="Заголовок 4 110 3 2" xfId="55702"/>
    <cellStyle name="Заголовок 4 110 3 2 2" xfId="55703"/>
    <cellStyle name="Заголовок 4 110 3 3" xfId="55704"/>
    <cellStyle name="Заголовок 4 110 4" xfId="55705"/>
    <cellStyle name="Заголовок 4 110 4 2" xfId="55706"/>
    <cellStyle name="Заголовок 4 110 5" xfId="55707"/>
    <cellStyle name="Заголовок 4 111" xfId="55708"/>
    <cellStyle name="Заголовок 4 111 2" xfId="55709"/>
    <cellStyle name="Заголовок 4 111 3" xfId="55710"/>
    <cellStyle name="Заголовок 4 111 3 2" xfId="55711"/>
    <cellStyle name="Заголовок 4 111 3 2 2" xfId="55712"/>
    <cellStyle name="Заголовок 4 111 3 3" xfId="55713"/>
    <cellStyle name="Заголовок 4 111 4" xfId="55714"/>
    <cellStyle name="Заголовок 4 111 4 2" xfId="55715"/>
    <cellStyle name="Заголовок 4 111 5" xfId="55716"/>
    <cellStyle name="Заголовок 4 112" xfId="55717"/>
    <cellStyle name="Заголовок 4 112 2" xfId="55718"/>
    <cellStyle name="Заголовок 4 112 3" xfId="55719"/>
    <cellStyle name="Заголовок 4 112 3 2" xfId="55720"/>
    <cellStyle name="Заголовок 4 112 3 2 2" xfId="55721"/>
    <cellStyle name="Заголовок 4 112 3 3" xfId="55722"/>
    <cellStyle name="Заголовок 4 112 4" xfId="55723"/>
    <cellStyle name="Заголовок 4 112 4 2" xfId="55724"/>
    <cellStyle name="Заголовок 4 112 5" xfId="55725"/>
    <cellStyle name="Заголовок 4 113" xfId="55726"/>
    <cellStyle name="Заголовок 4 113 2" xfId="55727"/>
    <cellStyle name="Заголовок 4 113 3" xfId="55728"/>
    <cellStyle name="Заголовок 4 113 3 2" xfId="55729"/>
    <cellStyle name="Заголовок 4 113 3 2 2" xfId="55730"/>
    <cellStyle name="Заголовок 4 113 3 3" xfId="55731"/>
    <cellStyle name="Заголовок 4 113 4" xfId="55732"/>
    <cellStyle name="Заголовок 4 113 4 2" xfId="55733"/>
    <cellStyle name="Заголовок 4 113 5" xfId="55734"/>
    <cellStyle name="Заголовок 4 114" xfId="55735"/>
    <cellStyle name="Заголовок 4 114 2" xfId="55736"/>
    <cellStyle name="Заголовок 4 114 3" xfId="55737"/>
    <cellStyle name="Заголовок 4 114 3 2" xfId="55738"/>
    <cellStyle name="Заголовок 4 114 3 2 2" xfId="55739"/>
    <cellStyle name="Заголовок 4 114 3 3" xfId="55740"/>
    <cellStyle name="Заголовок 4 114 4" xfId="55741"/>
    <cellStyle name="Заголовок 4 114 4 2" xfId="55742"/>
    <cellStyle name="Заголовок 4 114 5" xfId="55743"/>
    <cellStyle name="Заголовок 4 115" xfId="55744"/>
    <cellStyle name="Заголовок 4 115 2" xfId="55745"/>
    <cellStyle name="Заголовок 4 115 3" xfId="55746"/>
    <cellStyle name="Заголовок 4 115 3 2" xfId="55747"/>
    <cellStyle name="Заголовок 4 115 3 2 2" xfId="55748"/>
    <cellStyle name="Заголовок 4 115 3 3" xfId="55749"/>
    <cellStyle name="Заголовок 4 115 4" xfId="55750"/>
    <cellStyle name="Заголовок 4 115 4 2" xfId="55751"/>
    <cellStyle name="Заголовок 4 115 5" xfId="55752"/>
    <cellStyle name="Заголовок 4 116" xfId="55753"/>
    <cellStyle name="Заголовок 4 116 2" xfId="55754"/>
    <cellStyle name="Заголовок 4 116 3" xfId="55755"/>
    <cellStyle name="Заголовок 4 116 3 2" xfId="55756"/>
    <cellStyle name="Заголовок 4 116 3 2 2" xfId="55757"/>
    <cellStyle name="Заголовок 4 116 3 3" xfId="55758"/>
    <cellStyle name="Заголовок 4 116 4" xfId="55759"/>
    <cellStyle name="Заголовок 4 116 4 2" xfId="55760"/>
    <cellStyle name="Заголовок 4 116 5" xfId="55761"/>
    <cellStyle name="Заголовок 4 117" xfId="55762"/>
    <cellStyle name="Заголовок 4 117 2" xfId="55763"/>
    <cellStyle name="Заголовок 4 117 3" xfId="55764"/>
    <cellStyle name="Заголовок 4 117 3 2" xfId="55765"/>
    <cellStyle name="Заголовок 4 117 3 2 2" xfId="55766"/>
    <cellStyle name="Заголовок 4 117 3 3" xfId="55767"/>
    <cellStyle name="Заголовок 4 117 4" xfId="55768"/>
    <cellStyle name="Заголовок 4 117 4 2" xfId="55769"/>
    <cellStyle name="Заголовок 4 117 5" xfId="55770"/>
    <cellStyle name="Заголовок 4 118" xfId="55771"/>
    <cellStyle name="Заголовок 4 118 2" xfId="55772"/>
    <cellStyle name="Заголовок 4 118 3" xfId="55773"/>
    <cellStyle name="Заголовок 4 118 3 2" xfId="55774"/>
    <cellStyle name="Заголовок 4 118 3 2 2" xfId="55775"/>
    <cellStyle name="Заголовок 4 118 3 3" xfId="55776"/>
    <cellStyle name="Заголовок 4 118 4" xfId="55777"/>
    <cellStyle name="Заголовок 4 118 4 2" xfId="55778"/>
    <cellStyle name="Заголовок 4 118 5" xfId="55779"/>
    <cellStyle name="Заголовок 4 119" xfId="55780"/>
    <cellStyle name="Заголовок 4 119 2" xfId="55781"/>
    <cellStyle name="Заголовок 4 119 3" xfId="55782"/>
    <cellStyle name="Заголовок 4 119 3 2" xfId="55783"/>
    <cellStyle name="Заголовок 4 119 3 2 2" xfId="55784"/>
    <cellStyle name="Заголовок 4 119 3 3" xfId="55785"/>
    <cellStyle name="Заголовок 4 119 4" xfId="55786"/>
    <cellStyle name="Заголовок 4 119 4 2" xfId="55787"/>
    <cellStyle name="Заголовок 4 119 5" xfId="55788"/>
    <cellStyle name="Заголовок 4 12" xfId="55789"/>
    <cellStyle name="Заголовок 4 12 2" xfId="55790"/>
    <cellStyle name="Заголовок 4 12 3" xfId="55791"/>
    <cellStyle name="Заголовок 4 12 3 2" xfId="55792"/>
    <cellStyle name="Заголовок 4 12 3 2 2" xfId="55793"/>
    <cellStyle name="Заголовок 4 12 3 3" xfId="55794"/>
    <cellStyle name="Заголовок 4 12 4" xfId="55795"/>
    <cellStyle name="Заголовок 4 12 4 2" xfId="55796"/>
    <cellStyle name="Заголовок 4 12 5" xfId="55797"/>
    <cellStyle name="Заголовок 4 120" xfId="55798"/>
    <cellStyle name="Заголовок 4 120 2" xfId="55799"/>
    <cellStyle name="Заголовок 4 120 3" xfId="55800"/>
    <cellStyle name="Заголовок 4 120 3 2" xfId="55801"/>
    <cellStyle name="Заголовок 4 120 3 2 2" xfId="55802"/>
    <cellStyle name="Заголовок 4 120 3 3" xfId="55803"/>
    <cellStyle name="Заголовок 4 120 4" xfId="55804"/>
    <cellStyle name="Заголовок 4 120 4 2" xfId="55805"/>
    <cellStyle name="Заголовок 4 120 5" xfId="55806"/>
    <cellStyle name="Заголовок 4 121" xfId="55807"/>
    <cellStyle name="Заголовок 4 121 2" xfId="55808"/>
    <cellStyle name="Заголовок 4 121 3" xfId="55809"/>
    <cellStyle name="Заголовок 4 121 3 2" xfId="55810"/>
    <cellStyle name="Заголовок 4 121 3 2 2" xfId="55811"/>
    <cellStyle name="Заголовок 4 121 3 3" xfId="55812"/>
    <cellStyle name="Заголовок 4 121 4" xfId="55813"/>
    <cellStyle name="Заголовок 4 121 4 2" xfId="55814"/>
    <cellStyle name="Заголовок 4 121 5" xfId="55815"/>
    <cellStyle name="Заголовок 4 122" xfId="55816"/>
    <cellStyle name="Заголовок 4 122 2" xfId="55817"/>
    <cellStyle name="Заголовок 4 122 3" xfId="55818"/>
    <cellStyle name="Заголовок 4 122 3 2" xfId="55819"/>
    <cellStyle name="Заголовок 4 122 3 2 2" xfId="55820"/>
    <cellStyle name="Заголовок 4 122 3 3" xfId="55821"/>
    <cellStyle name="Заголовок 4 122 4" xfId="55822"/>
    <cellStyle name="Заголовок 4 122 4 2" xfId="55823"/>
    <cellStyle name="Заголовок 4 122 5" xfId="55824"/>
    <cellStyle name="Заголовок 4 123" xfId="55825"/>
    <cellStyle name="Заголовок 4 123 2" xfId="55826"/>
    <cellStyle name="Заголовок 4 123 3" xfId="55827"/>
    <cellStyle name="Заголовок 4 123 3 2" xfId="55828"/>
    <cellStyle name="Заголовок 4 123 3 2 2" xfId="55829"/>
    <cellStyle name="Заголовок 4 123 3 3" xfId="55830"/>
    <cellStyle name="Заголовок 4 123 4" xfId="55831"/>
    <cellStyle name="Заголовок 4 123 4 2" xfId="55832"/>
    <cellStyle name="Заголовок 4 123 5" xfId="55833"/>
    <cellStyle name="Заголовок 4 124" xfId="55834"/>
    <cellStyle name="Заголовок 4 124 2" xfId="55835"/>
    <cellStyle name="Заголовок 4 124 3" xfId="55836"/>
    <cellStyle name="Заголовок 4 124 3 2" xfId="55837"/>
    <cellStyle name="Заголовок 4 124 3 2 2" xfId="55838"/>
    <cellStyle name="Заголовок 4 124 3 3" xfId="55839"/>
    <cellStyle name="Заголовок 4 124 4" xfId="55840"/>
    <cellStyle name="Заголовок 4 124 4 2" xfId="55841"/>
    <cellStyle name="Заголовок 4 124 5" xfId="55842"/>
    <cellStyle name="Заголовок 4 125" xfId="55843"/>
    <cellStyle name="Заголовок 4 125 2" xfId="55844"/>
    <cellStyle name="Заголовок 4 125 3" xfId="55845"/>
    <cellStyle name="Заголовок 4 125 3 2" xfId="55846"/>
    <cellStyle name="Заголовок 4 125 3 2 2" xfId="55847"/>
    <cellStyle name="Заголовок 4 125 3 3" xfId="55848"/>
    <cellStyle name="Заголовок 4 125 4" xfId="55849"/>
    <cellStyle name="Заголовок 4 125 4 2" xfId="55850"/>
    <cellStyle name="Заголовок 4 125 5" xfId="55851"/>
    <cellStyle name="Заголовок 4 126" xfId="55852"/>
    <cellStyle name="Заголовок 4 126 2" xfId="55853"/>
    <cellStyle name="Заголовок 4 126 3" xfId="55854"/>
    <cellStyle name="Заголовок 4 126 3 2" xfId="55855"/>
    <cellStyle name="Заголовок 4 126 3 2 2" xfId="55856"/>
    <cellStyle name="Заголовок 4 126 3 3" xfId="55857"/>
    <cellStyle name="Заголовок 4 126 4" xfId="55858"/>
    <cellStyle name="Заголовок 4 126 4 2" xfId="55859"/>
    <cellStyle name="Заголовок 4 126 5" xfId="55860"/>
    <cellStyle name="Заголовок 4 127" xfId="55861"/>
    <cellStyle name="Заголовок 4 127 2" xfId="55862"/>
    <cellStyle name="Заголовок 4 127 3" xfId="55863"/>
    <cellStyle name="Заголовок 4 127 3 2" xfId="55864"/>
    <cellStyle name="Заголовок 4 127 3 2 2" xfId="55865"/>
    <cellStyle name="Заголовок 4 127 3 3" xfId="55866"/>
    <cellStyle name="Заголовок 4 127 4" xfId="55867"/>
    <cellStyle name="Заголовок 4 127 4 2" xfId="55868"/>
    <cellStyle name="Заголовок 4 127 5" xfId="55869"/>
    <cellStyle name="Заголовок 4 128" xfId="55870"/>
    <cellStyle name="Заголовок 4 128 2" xfId="55871"/>
    <cellStyle name="Заголовок 4 128 3" xfId="55872"/>
    <cellStyle name="Заголовок 4 128 3 2" xfId="55873"/>
    <cellStyle name="Заголовок 4 128 3 2 2" xfId="55874"/>
    <cellStyle name="Заголовок 4 128 3 3" xfId="55875"/>
    <cellStyle name="Заголовок 4 128 4" xfId="55876"/>
    <cellStyle name="Заголовок 4 128 4 2" xfId="55877"/>
    <cellStyle name="Заголовок 4 128 5" xfId="55878"/>
    <cellStyle name="Заголовок 4 129" xfId="55879"/>
    <cellStyle name="Заголовок 4 129 2" xfId="55880"/>
    <cellStyle name="Заголовок 4 129 3" xfId="55881"/>
    <cellStyle name="Заголовок 4 129 3 2" xfId="55882"/>
    <cellStyle name="Заголовок 4 129 3 2 2" xfId="55883"/>
    <cellStyle name="Заголовок 4 129 3 3" xfId="55884"/>
    <cellStyle name="Заголовок 4 129 4" xfId="55885"/>
    <cellStyle name="Заголовок 4 129 4 2" xfId="55886"/>
    <cellStyle name="Заголовок 4 129 5" xfId="55887"/>
    <cellStyle name="Заголовок 4 13" xfId="55888"/>
    <cellStyle name="Заголовок 4 13 2" xfId="55889"/>
    <cellStyle name="Заголовок 4 13 3" xfId="55890"/>
    <cellStyle name="Заголовок 4 13 3 2" xfId="55891"/>
    <cellStyle name="Заголовок 4 13 3 2 2" xfId="55892"/>
    <cellStyle name="Заголовок 4 13 3 3" xfId="55893"/>
    <cellStyle name="Заголовок 4 13 4" xfId="55894"/>
    <cellStyle name="Заголовок 4 13 4 2" xfId="55895"/>
    <cellStyle name="Заголовок 4 13 5" xfId="55896"/>
    <cellStyle name="Заголовок 4 130" xfId="55897"/>
    <cellStyle name="Заголовок 4 130 2" xfId="55898"/>
    <cellStyle name="Заголовок 4 130 3" xfId="55899"/>
    <cellStyle name="Заголовок 4 130 3 2" xfId="55900"/>
    <cellStyle name="Заголовок 4 130 3 2 2" xfId="55901"/>
    <cellStyle name="Заголовок 4 130 3 3" xfId="55902"/>
    <cellStyle name="Заголовок 4 130 4" xfId="55903"/>
    <cellStyle name="Заголовок 4 130 4 2" xfId="55904"/>
    <cellStyle name="Заголовок 4 130 5" xfId="55905"/>
    <cellStyle name="Заголовок 4 131" xfId="55906"/>
    <cellStyle name="Заголовок 4 131 2" xfId="55907"/>
    <cellStyle name="Заголовок 4 131 3" xfId="55908"/>
    <cellStyle name="Заголовок 4 131 3 2" xfId="55909"/>
    <cellStyle name="Заголовок 4 131 3 2 2" xfId="55910"/>
    <cellStyle name="Заголовок 4 131 3 3" xfId="55911"/>
    <cellStyle name="Заголовок 4 131 4" xfId="55912"/>
    <cellStyle name="Заголовок 4 131 4 2" xfId="55913"/>
    <cellStyle name="Заголовок 4 131 5" xfId="55914"/>
    <cellStyle name="Заголовок 4 132" xfId="55915"/>
    <cellStyle name="Заголовок 4 132 2" xfId="55916"/>
    <cellStyle name="Заголовок 4 132 3" xfId="55917"/>
    <cellStyle name="Заголовок 4 132 3 2" xfId="55918"/>
    <cellStyle name="Заголовок 4 132 3 2 2" xfId="55919"/>
    <cellStyle name="Заголовок 4 132 3 3" xfId="55920"/>
    <cellStyle name="Заголовок 4 132 4" xfId="55921"/>
    <cellStyle name="Заголовок 4 132 4 2" xfId="55922"/>
    <cellStyle name="Заголовок 4 132 5" xfId="55923"/>
    <cellStyle name="Заголовок 4 133" xfId="55924"/>
    <cellStyle name="Заголовок 4 133 2" xfId="55925"/>
    <cellStyle name="Заголовок 4 133 3" xfId="55926"/>
    <cellStyle name="Заголовок 4 133 3 2" xfId="55927"/>
    <cellStyle name="Заголовок 4 133 3 2 2" xfId="55928"/>
    <cellStyle name="Заголовок 4 133 3 3" xfId="55929"/>
    <cellStyle name="Заголовок 4 133 4" xfId="55930"/>
    <cellStyle name="Заголовок 4 133 4 2" xfId="55931"/>
    <cellStyle name="Заголовок 4 133 5" xfId="55932"/>
    <cellStyle name="Заголовок 4 134" xfId="55933"/>
    <cellStyle name="Заголовок 4 134 2" xfId="55934"/>
    <cellStyle name="Заголовок 4 134 3" xfId="55935"/>
    <cellStyle name="Заголовок 4 134 3 2" xfId="55936"/>
    <cellStyle name="Заголовок 4 134 3 2 2" xfId="55937"/>
    <cellStyle name="Заголовок 4 134 3 3" xfId="55938"/>
    <cellStyle name="Заголовок 4 134 4" xfId="55939"/>
    <cellStyle name="Заголовок 4 134 4 2" xfId="55940"/>
    <cellStyle name="Заголовок 4 134 5" xfId="55941"/>
    <cellStyle name="Заголовок 4 135" xfId="55942"/>
    <cellStyle name="Заголовок 4 135 2" xfId="55943"/>
    <cellStyle name="Заголовок 4 135 3" xfId="55944"/>
    <cellStyle name="Заголовок 4 135 3 2" xfId="55945"/>
    <cellStyle name="Заголовок 4 135 3 2 2" xfId="55946"/>
    <cellStyle name="Заголовок 4 135 3 3" xfId="55947"/>
    <cellStyle name="Заголовок 4 135 4" xfId="55948"/>
    <cellStyle name="Заголовок 4 135 4 2" xfId="55949"/>
    <cellStyle name="Заголовок 4 135 5" xfId="55950"/>
    <cellStyle name="Заголовок 4 136" xfId="55951"/>
    <cellStyle name="Заголовок 4 136 2" xfId="55952"/>
    <cellStyle name="Заголовок 4 136 3" xfId="55953"/>
    <cellStyle name="Заголовок 4 136 3 2" xfId="55954"/>
    <cellStyle name="Заголовок 4 136 3 2 2" xfId="55955"/>
    <cellStyle name="Заголовок 4 136 3 3" xfId="55956"/>
    <cellStyle name="Заголовок 4 136 4" xfId="55957"/>
    <cellStyle name="Заголовок 4 136 4 2" xfId="55958"/>
    <cellStyle name="Заголовок 4 136 5" xfId="55959"/>
    <cellStyle name="Заголовок 4 137" xfId="55960"/>
    <cellStyle name="Заголовок 4 137 2" xfId="55961"/>
    <cellStyle name="Заголовок 4 137 3" xfId="55962"/>
    <cellStyle name="Заголовок 4 137 3 2" xfId="55963"/>
    <cellStyle name="Заголовок 4 137 3 2 2" xfId="55964"/>
    <cellStyle name="Заголовок 4 137 3 3" xfId="55965"/>
    <cellStyle name="Заголовок 4 137 4" xfId="55966"/>
    <cellStyle name="Заголовок 4 137 4 2" xfId="55967"/>
    <cellStyle name="Заголовок 4 137 5" xfId="55968"/>
    <cellStyle name="Заголовок 4 138" xfId="55969"/>
    <cellStyle name="Заголовок 4 138 2" xfId="55970"/>
    <cellStyle name="Заголовок 4 138 3" xfId="55971"/>
    <cellStyle name="Заголовок 4 138 3 2" xfId="55972"/>
    <cellStyle name="Заголовок 4 138 3 2 2" xfId="55973"/>
    <cellStyle name="Заголовок 4 138 3 3" xfId="55974"/>
    <cellStyle name="Заголовок 4 138 4" xfId="55975"/>
    <cellStyle name="Заголовок 4 138 4 2" xfId="55976"/>
    <cellStyle name="Заголовок 4 138 5" xfId="55977"/>
    <cellStyle name="Заголовок 4 139" xfId="55978"/>
    <cellStyle name="Заголовок 4 139 2" xfId="55979"/>
    <cellStyle name="Заголовок 4 139 3" xfId="55980"/>
    <cellStyle name="Заголовок 4 139 3 2" xfId="55981"/>
    <cellStyle name="Заголовок 4 139 3 2 2" xfId="55982"/>
    <cellStyle name="Заголовок 4 139 3 3" xfId="55983"/>
    <cellStyle name="Заголовок 4 139 4" xfId="55984"/>
    <cellStyle name="Заголовок 4 139 4 2" xfId="55985"/>
    <cellStyle name="Заголовок 4 139 5" xfId="55986"/>
    <cellStyle name="Заголовок 4 14" xfId="55987"/>
    <cellStyle name="Заголовок 4 14 2" xfId="55988"/>
    <cellStyle name="Заголовок 4 14 3" xfId="55989"/>
    <cellStyle name="Заголовок 4 14 3 2" xfId="55990"/>
    <cellStyle name="Заголовок 4 14 3 2 2" xfId="55991"/>
    <cellStyle name="Заголовок 4 14 3 3" xfId="55992"/>
    <cellStyle name="Заголовок 4 14 4" xfId="55993"/>
    <cellStyle name="Заголовок 4 14 4 2" xfId="55994"/>
    <cellStyle name="Заголовок 4 14 5" xfId="55995"/>
    <cellStyle name="Заголовок 4 140" xfId="55996"/>
    <cellStyle name="Заголовок 4 140 2" xfId="55997"/>
    <cellStyle name="Заголовок 4 140 3" xfId="55998"/>
    <cellStyle name="Заголовок 4 140 3 2" xfId="55999"/>
    <cellStyle name="Заголовок 4 140 3 2 2" xfId="56000"/>
    <cellStyle name="Заголовок 4 140 3 3" xfId="56001"/>
    <cellStyle name="Заголовок 4 140 4" xfId="56002"/>
    <cellStyle name="Заголовок 4 140 4 2" xfId="56003"/>
    <cellStyle name="Заголовок 4 140 5" xfId="56004"/>
    <cellStyle name="Заголовок 4 141" xfId="56005"/>
    <cellStyle name="Заголовок 4 141 2" xfId="56006"/>
    <cellStyle name="Заголовок 4 141 3" xfId="56007"/>
    <cellStyle name="Заголовок 4 141 3 2" xfId="56008"/>
    <cellStyle name="Заголовок 4 141 3 2 2" xfId="56009"/>
    <cellStyle name="Заголовок 4 141 3 3" xfId="56010"/>
    <cellStyle name="Заголовок 4 141 4" xfId="56011"/>
    <cellStyle name="Заголовок 4 141 4 2" xfId="56012"/>
    <cellStyle name="Заголовок 4 141 5" xfId="56013"/>
    <cellStyle name="Заголовок 4 142" xfId="56014"/>
    <cellStyle name="Заголовок 4 142 2" xfId="56015"/>
    <cellStyle name="Заголовок 4 142 3" xfId="56016"/>
    <cellStyle name="Заголовок 4 142 3 2" xfId="56017"/>
    <cellStyle name="Заголовок 4 142 3 2 2" xfId="56018"/>
    <cellStyle name="Заголовок 4 142 3 3" xfId="56019"/>
    <cellStyle name="Заголовок 4 142 4" xfId="56020"/>
    <cellStyle name="Заголовок 4 142 4 2" xfId="56021"/>
    <cellStyle name="Заголовок 4 142 5" xfId="56022"/>
    <cellStyle name="Заголовок 4 143" xfId="56023"/>
    <cellStyle name="Заголовок 4 143 2" xfId="56024"/>
    <cellStyle name="Заголовок 4 143 3" xfId="56025"/>
    <cellStyle name="Заголовок 4 143 3 2" xfId="56026"/>
    <cellStyle name="Заголовок 4 143 3 2 2" xfId="56027"/>
    <cellStyle name="Заголовок 4 143 3 3" xfId="56028"/>
    <cellStyle name="Заголовок 4 143 4" xfId="56029"/>
    <cellStyle name="Заголовок 4 143 4 2" xfId="56030"/>
    <cellStyle name="Заголовок 4 143 5" xfId="56031"/>
    <cellStyle name="Заголовок 4 144" xfId="56032"/>
    <cellStyle name="Заголовок 4 144 2" xfId="56033"/>
    <cellStyle name="Заголовок 4 144 3" xfId="56034"/>
    <cellStyle name="Заголовок 4 144 3 2" xfId="56035"/>
    <cellStyle name="Заголовок 4 144 3 2 2" xfId="56036"/>
    <cellStyle name="Заголовок 4 144 3 3" xfId="56037"/>
    <cellStyle name="Заголовок 4 144 4" xfId="56038"/>
    <cellStyle name="Заголовок 4 144 4 2" xfId="56039"/>
    <cellStyle name="Заголовок 4 144 5" xfId="56040"/>
    <cellStyle name="Заголовок 4 145" xfId="56041"/>
    <cellStyle name="Заголовок 4 145 2" xfId="56042"/>
    <cellStyle name="Заголовок 4 145 3" xfId="56043"/>
    <cellStyle name="Заголовок 4 145 3 2" xfId="56044"/>
    <cellStyle name="Заголовок 4 145 3 2 2" xfId="56045"/>
    <cellStyle name="Заголовок 4 145 3 3" xfId="56046"/>
    <cellStyle name="Заголовок 4 145 4" xfId="56047"/>
    <cellStyle name="Заголовок 4 145 4 2" xfId="56048"/>
    <cellStyle name="Заголовок 4 145 5" xfId="56049"/>
    <cellStyle name="Заголовок 4 146" xfId="56050"/>
    <cellStyle name="Заголовок 4 146 2" xfId="56051"/>
    <cellStyle name="Заголовок 4 146 3" xfId="56052"/>
    <cellStyle name="Заголовок 4 146 3 2" xfId="56053"/>
    <cellStyle name="Заголовок 4 146 3 2 2" xfId="56054"/>
    <cellStyle name="Заголовок 4 146 3 3" xfId="56055"/>
    <cellStyle name="Заголовок 4 146 4" xfId="56056"/>
    <cellStyle name="Заголовок 4 146 4 2" xfId="56057"/>
    <cellStyle name="Заголовок 4 146 5" xfId="56058"/>
    <cellStyle name="Заголовок 4 147" xfId="56059"/>
    <cellStyle name="Заголовок 4 147 2" xfId="56060"/>
    <cellStyle name="Заголовок 4 147 3" xfId="56061"/>
    <cellStyle name="Заголовок 4 147 3 2" xfId="56062"/>
    <cellStyle name="Заголовок 4 147 3 2 2" xfId="56063"/>
    <cellStyle name="Заголовок 4 147 3 3" xfId="56064"/>
    <cellStyle name="Заголовок 4 147 4" xfId="56065"/>
    <cellStyle name="Заголовок 4 147 4 2" xfId="56066"/>
    <cellStyle name="Заголовок 4 147 5" xfId="56067"/>
    <cellStyle name="Заголовок 4 148" xfId="56068"/>
    <cellStyle name="Заголовок 4 148 2" xfId="56069"/>
    <cellStyle name="Заголовок 4 148 3" xfId="56070"/>
    <cellStyle name="Заголовок 4 148 3 2" xfId="56071"/>
    <cellStyle name="Заголовок 4 148 3 2 2" xfId="56072"/>
    <cellStyle name="Заголовок 4 148 3 3" xfId="56073"/>
    <cellStyle name="Заголовок 4 148 4" xfId="56074"/>
    <cellStyle name="Заголовок 4 148 4 2" xfId="56075"/>
    <cellStyle name="Заголовок 4 148 5" xfId="56076"/>
    <cellStyle name="Заголовок 4 149" xfId="56077"/>
    <cellStyle name="Заголовок 4 149 2" xfId="56078"/>
    <cellStyle name="Заголовок 4 149 3" xfId="56079"/>
    <cellStyle name="Заголовок 4 149 3 2" xfId="56080"/>
    <cellStyle name="Заголовок 4 149 3 2 2" xfId="56081"/>
    <cellStyle name="Заголовок 4 149 3 3" xfId="56082"/>
    <cellStyle name="Заголовок 4 149 4" xfId="56083"/>
    <cellStyle name="Заголовок 4 149 4 2" xfId="56084"/>
    <cellStyle name="Заголовок 4 149 5" xfId="56085"/>
    <cellStyle name="Заголовок 4 15" xfId="56086"/>
    <cellStyle name="Заголовок 4 15 2" xfId="56087"/>
    <cellStyle name="Заголовок 4 15 3" xfId="56088"/>
    <cellStyle name="Заголовок 4 15 3 2" xfId="56089"/>
    <cellStyle name="Заголовок 4 15 3 2 2" xfId="56090"/>
    <cellStyle name="Заголовок 4 15 3 3" xfId="56091"/>
    <cellStyle name="Заголовок 4 15 4" xfId="56092"/>
    <cellStyle name="Заголовок 4 15 4 2" xfId="56093"/>
    <cellStyle name="Заголовок 4 15 5" xfId="56094"/>
    <cellStyle name="Заголовок 4 150" xfId="56095"/>
    <cellStyle name="Заголовок 4 150 2" xfId="56096"/>
    <cellStyle name="Заголовок 4 150 3" xfId="56097"/>
    <cellStyle name="Заголовок 4 150 3 2" xfId="56098"/>
    <cellStyle name="Заголовок 4 150 3 2 2" xfId="56099"/>
    <cellStyle name="Заголовок 4 150 3 3" xfId="56100"/>
    <cellStyle name="Заголовок 4 150 4" xfId="56101"/>
    <cellStyle name="Заголовок 4 150 4 2" xfId="56102"/>
    <cellStyle name="Заголовок 4 150 5" xfId="56103"/>
    <cellStyle name="Заголовок 4 151" xfId="56104"/>
    <cellStyle name="Заголовок 4 151 2" xfId="56105"/>
    <cellStyle name="Заголовок 4 151 3" xfId="56106"/>
    <cellStyle name="Заголовок 4 151 3 2" xfId="56107"/>
    <cellStyle name="Заголовок 4 151 3 2 2" xfId="56108"/>
    <cellStyle name="Заголовок 4 151 3 3" xfId="56109"/>
    <cellStyle name="Заголовок 4 151 4" xfId="56110"/>
    <cellStyle name="Заголовок 4 151 4 2" xfId="56111"/>
    <cellStyle name="Заголовок 4 151 5" xfId="56112"/>
    <cellStyle name="Заголовок 4 152" xfId="56113"/>
    <cellStyle name="Заголовок 4 152 2" xfId="56114"/>
    <cellStyle name="Заголовок 4 152 3" xfId="56115"/>
    <cellStyle name="Заголовок 4 152 3 2" xfId="56116"/>
    <cellStyle name="Заголовок 4 152 3 2 2" xfId="56117"/>
    <cellStyle name="Заголовок 4 152 3 3" xfId="56118"/>
    <cellStyle name="Заголовок 4 152 4" xfId="56119"/>
    <cellStyle name="Заголовок 4 152 4 2" xfId="56120"/>
    <cellStyle name="Заголовок 4 152 5" xfId="56121"/>
    <cellStyle name="Заголовок 4 153" xfId="56122"/>
    <cellStyle name="Заголовок 4 16" xfId="56123"/>
    <cellStyle name="Заголовок 4 16 2" xfId="56124"/>
    <cellStyle name="Заголовок 4 16 3" xfId="56125"/>
    <cellStyle name="Заголовок 4 16 3 2" xfId="56126"/>
    <cellStyle name="Заголовок 4 16 3 2 2" xfId="56127"/>
    <cellStyle name="Заголовок 4 16 3 3" xfId="56128"/>
    <cellStyle name="Заголовок 4 16 4" xfId="56129"/>
    <cellStyle name="Заголовок 4 16 4 2" xfId="56130"/>
    <cellStyle name="Заголовок 4 16 5" xfId="56131"/>
    <cellStyle name="Заголовок 4 17" xfId="56132"/>
    <cellStyle name="Заголовок 4 17 2" xfId="56133"/>
    <cellStyle name="Заголовок 4 17 3" xfId="56134"/>
    <cellStyle name="Заголовок 4 17 3 2" xfId="56135"/>
    <cellStyle name="Заголовок 4 17 3 2 2" xfId="56136"/>
    <cellStyle name="Заголовок 4 17 3 3" xfId="56137"/>
    <cellStyle name="Заголовок 4 17 4" xfId="56138"/>
    <cellStyle name="Заголовок 4 17 4 2" xfId="56139"/>
    <cellStyle name="Заголовок 4 17 5" xfId="56140"/>
    <cellStyle name="Заголовок 4 18" xfId="56141"/>
    <cellStyle name="Заголовок 4 18 2" xfId="56142"/>
    <cellStyle name="Заголовок 4 18 3" xfId="56143"/>
    <cellStyle name="Заголовок 4 18 3 2" xfId="56144"/>
    <cellStyle name="Заголовок 4 18 3 2 2" xfId="56145"/>
    <cellStyle name="Заголовок 4 18 3 3" xfId="56146"/>
    <cellStyle name="Заголовок 4 18 4" xfId="56147"/>
    <cellStyle name="Заголовок 4 18 4 2" xfId="56148"/>
    <cellStyle name="Заголовок 4 18 5" xfId="56149"/>
    <cellStyle name="Заголовок 4 19" xfId="56150"/>
    <cellStyle name="Заголовок 4 19 2" xfId="56151"/>
    <cellStyle name="Заголовок 4 19 3" xfId="56152"/>
    <cellStyle name="Заголовок 4 19 3 2" xfId="56153"/>
    <cellStyle name="Заголовок 4 19 3 2 2" xfId="56154"/>
    <cellStyle name="Заголовок 4 19 3 3" xfId="56155"/>
    <cellStyle name="Заголовок 4 19 4" xfId="56156"/>
    <cellStyle name="Заголовок 4 19 4 2" xfId="56157"/>
    <cellStyle name="Заголовок 4 19 5" xfId="56158"/>
    <cellStyle name="Заголовок 4 2" xfId="56159"/>
    <cellStyle name="Заголовок 4 2 2" xfId="56160"/>
    <cellStyle name="Заголовок 4 2 2 10" xfId="56161"/>
    <cellStyle name="Заголовок 4 2 2 10 2" xfId="56162"/>
    <cellStyle name="Заголовок 4 2 2 10 3" xfId="56163"/>
    <cellStyle name="Заголовок 4 2 2 10 3 2" xfId="56164"/>
    <cellStyle name="Заголовок 4 2 2 10 3 2 2" xfId="56165"/>
    <cellStyle name="Заголовок 4 2 2 10 3 3" xfId="56166"/>
    <cellStyle name="Заголовок 4 2 2 10 4" xfId="56167"/>
    <cellStyle name="Заголовок 4 2 2 10 4 2" xfId="56168"/>
    <cellStyle name="Заголовок 4 2 2 10 5" xfId="56169"/>
    <cellStyle name="Заголовок 4 2 2 11" xfId="56170"/>
    <cellStyle name="Заголовок 4 2 2 11 2" xfId="56171"/>
    <cellStyle name="Заголовок 4 2 2 11 3" xfId="56172"/>
    <cellStyle name="Заголовок 4 2 2 11 3 2" xfId="56173"/>
    <cellStyle name="Заголовок 4 2 2 11 3 2 2" xfId="56174"/>
    <cellStyle name="Заголовок 4 2 2 11 3 3" xfId="56175"/>
    <cellStyle name="Заголовок 4 2 2 11 4" xfId="56176"/>
    <cellStyle name="Заголовок 4 2 2 11 4 2" xfId="56177"/>
    <cellStyle name="Заголовок 4 2 2 11 5" xfId="56178"/>
    <cellStyle name="Заголовок 4 2 2 12" xfId="56179"/>
    <cellStyle name="Заголовок 4 2 2 12 2" xfId="56180"/>
    <cellStyle name="Заголовок 4 2 2 12 3" xfId="56181"/>
    <cellStyle name="Заголовок 4 2 2 12 3 2" xfId="56182"/>
    <cellStyle name="Заголовок 4 2 2 12 3 2 2" xfId="56183"/>
    <cellStyle name="Заголовок 4 2 2 12 3 3" xfId="56184"/>
    <cellStyle name="Заголовок 4 2 2 12 4" xfId="56185"/>
    <cellStyle name="Заголовок 4 2 2 12 4 2" xfId="56186"/>
    <cellStyle name="Заголовок 4 2 2 12 5" xfId="56187"/>
    <cellStyle name="Заголовок 4 2 2 13" xfId="56188"/>
    <cellStyle name="Заголовок 4 2 2 13 2" xfId="56189"/>
    <cellStyle name="Заголовок 4 2 2 13 3" xfId="56190"/>
    <cellStyle name="Заголовок 4 2 2 13 3 2" xfId="56191"/>
    <cellStyle name="Заголовок 4 2 2 13 3 2 2" xfId="56192"/>
    <cellStyle name="Заголовок 4 2 2 13 3 3" xfId="56193"/>
    <cellStyle name="Заголовок 4 2 2 13 4" xfId="56194"/>
    <cellStyle name="Заголовок 4 2 2 13 4 2" xfId="56195"/>
    <cellStyle name="Заголовок 4 2 2 13 5" xfId="56196"/>
    <cellStyle name="Заголовок 4 2 2 14" xfId="56197"/>
    <cellStyle name="Заголовок 4 2 2 15" xfId="56198"/>
    <cellStyle name="Заголовок 4 2 2 15 2" xfId="56199"/>
    <cellStyle name="Заголовок 4 2 2 15 2 2" xfId="56200"/>
    <cellStyle name="Заголовок 4 2 2 15 3" xfId="56201"/>
    <cellStyle name="Заголовок 4 2 2 16" xfId="56202"/>
    <cellStyle name="Заголовок 4 2 2 16 2" xfId="56203"/>
    <cellStyle name="Заголовок 4 2 2 17" xfId="56204"/>
    <cellStyle name="Заголовок 4 2 2 2" xfId="56205"/>
    <cellStyle name="Заголовок 4 2 2 2 2" xfId="56206"/>
    <cellStyle name="Заголовок 4 2 2 2 3" xfId="56207"/>
    <cellStyle name="Заголовок 4 2 2 2 3 2" xfId="56208"/>
    <cellStyle name="Заголовок 4 2 2 2 3 2 2" xfId="56209"/>
    <cellStyle name="Заголовок 4 2 2 2 3 3" xfId="56210"/>
    <cellStyle name="Заголовок 4 2 2 2 4" xfId="56211"/>
    <cellStyle name="Заголовок 4 2 2 2 4 2" xfId="56212"/>
    <cellStyle name="Заголовок 4 2 2 2 5" xfId="56213"/>
    <cellStyle name="Заголовок 4 2 2 3" xfId="56214"/>
    <cellStyle name="Заголовок 4 2 2 3 2" xfId="56215"/>
    <cellStyle name="Заголовок 4 2 2 3 3" xfId="56216"/>
    <cellStyle name="Заголовок 4 2 2 3 3 2" xfId="56217"/>
    <cellStyle name="Заголовок 4 2 2 3 3 2 2" xfId="56218"/>
    <cellStyle name="Заголовок 4 2 2 3 3 3" xfId="56219"/>
    <cellStyle name="Заголовок 4 2 2 3 4" xfId="56220"/>
    <cellStyle name="Заголовок 4 2 2 3 4 2" xfId="56221"/>
    <cellStyle name="Заголовок 4 2 2 3 5" xfId="56222"/>
    <cellStyle name="Заголовок 4 2 2 4" xfId="56223"/>
    <cellStyle name="Заголовок 4 2 2 4 2" xfId="56224"/>
    <cellStyle name="Заголовок 4 2 2 4 3" xfId="56225"/>
    <cellStyle name="Заголовок 4 2 2 4 3 2" xfId="56226"/>
    <cellStyle name="Заголовок 4 2 2 4 3 2 2" xfId="56227"/>
    <cellStyle name="Заголовок 4 2 2 4 3 3" xfId="56228"/>
    <cellStyle name="Заголовок 4 2 2 4 4" xfId="56229"/>
    <cellStyle name="Заголовок 4 2 2 4 4 2" xfId="56230"/>
    <cellStyle name="Заголовок 4 2 2 4 5" xfId="56231"/>
    <cellStyle name="Заголовок 4 2 2 5" xfId="56232"/>
    <cellStyle name="Заголовок 4 2 2 5 2" xfId="56233"/>
    <cellStyle name="Заголовок 4 2 2 5 3" xfId="56234"/>
    <cellStyle name="Заголовок 4 2 2 5 3 2" xfId="56235"/>
    <cellStyle name="Заголовок 4 2 2 5 3 2 2" xfId="56236"/>
    <cellStyle name="Заголовок 4 2 2 5 3 3" xfId="56237"/>
    <cellStyle name="Заголовок 4 2 2 5 4" xfId="56238"/>
    <cellStyle name="Заголовок 4 2 2 5 4 2" xfId="56239"/>
    <cellStyle name="Заголовок 4 2 2 5 5" xfId="56240"/>
    <cellStyle name="Заголовок 4 2 2 6" xfId="56241"/>
    <cellStyle name="Заголовок 4 2 2 6 2" xfId="56242"/>
    <cellStyle name="Заголовок 4 2 2 6 3" xfId="56243"/>
    <cellStyle name="Заголовок 4 2 2 6 3 2" xfId="56244"/>
    <cellStyle name="Заголовок 4 2 2 6 3 2 2" xfId="56245"/>
    <cellStyle name="Заголовок 4 2 2 6 3 3" xfId="56246"/>
    <cellStyle name="Заголовок 4 2 2 6 4" xfId="56247"/>
    <cellStyle name="Заголовок 4 2 2 6 4 2" xfId="56248"/>
    <cellStyle name="Заголовок 4 2 2 6 5" xfId="56249"/>
    <cellStyle name="Заголовок 4 2 2 7" xfId="56250"/>
    <cellStyle name="Заголовок 4 2 2 7 2" xfId="56251"/>
    <cellStyle name="Заголовок 4 2 2 7 3" xfId="56252"/>
    <cellStyle name="Заголовок 4 2 2 7 3 2" xfId="56253"/>
    <cellStyle name="Заголовок 4 2 2 7 3 2 2" xfId="56254"/>
    <cellStyle name="Заголовок 4 2 2 7 3 3" xfId="56255"/>
    <cellStyle name="Заголовок 4 2 2 7 4" xfId="56256"/>
    <cellStyle name="Заголовок 4 2 2 7 4 2" xfId="56257"/>
    <cellStyle name="Заголовок 4 2 2 7 5" xfId="56258"/>
    <cellStyle name="Заголовок 4 2 2 8" xfId="56259"/>
    <cellStyle name="Заголовок 4 2 2 8 2" xfId="56260"/>
    <cellStyle name="Заголовок 4 2 2 8 3" xfId="56261"/>
    <cellStyle name="Заголовок 4 2 2 8 3 2" xfId="56262"/>
    <cellStyle name="Заголовок 4 2 2 8 3 2 2" xfId="56263"/>
    <cellStyle name="Заголовок 4 2 2 8 3 3" xfId="56264"/>
    <cellStyle name="Заголовок 4 2 2 8 4" xfId="56265"/>
    <cellStyle name="Заголовок 4 2 2 8 4 2" xfId="56266"/>
    <cellStyle name="Заголовок 4 2 2 8 5" xfId="56267"/>
    <cellStyle name="Заголовок 4 2 2 9" xfId="56268"/>
    <cellStyle name="Заголовок 4 2 2 9 2" xfId="56269"/>
    <cellStyle name="Заголовок 4 2 2 9 3" xfId="56270"/>
    <cellStyle name="Заголовок 4 2 2 9 3 2" xfId="56271"/>
    <cellStyle name="Заголовок 4 2 2 9 3 2 2" xfId="56272"/>
    <cellStyle name="Заголовок 4 2 2 9 3 3" xfId="56273"/>
    <cellStyle name="Заголовок 4 2 2 9 4" xfId="56274"/>
    <cellStyle name="Заголовок 4 2 2 9 4 2" xfId="56275"/>
    <cellStyle name="Заголовок 4 2 2 9 5" xfId="56276"/>
    <cellStyle name="Заголовок 4 2 3" xfId="56277"/>
    <cellStyle name="Заголовок 4 2 3 2" xfId="56278"/>
    <cellStyle name="Заголовок 4 2 3 3" xfId="56279"/>
    <cellStyle name="Заголовок 4 2 3 3 2" xfId="56280"/>
    <cellStyle name="Заголовок 4 2 3 3 2 2" xfId="56281"/>
    <cellStyle name="Заголовок 4 2 3 3 3" xfId="56282"/>
    <cellStyle name="Заголовок 4 2 3 4" xfId="56283"/>
    <cellStyle name="Заголовок 4 2 3 4 2" xfId="56284"/>
    <cellStyle name="Заголовок 4 2 3 5" xfId="56285"/>
    <cellStyle name="Заголовок 4 2 4" xfId="56286"/>
    <cellStyle name="Заголовок 4 2 5" xfId="56287"/>
    <cellStyle name="Заголовок 4 2 5 2" xfId="56288"/>
    <cellStyle name="Заголовок 4 2 5 2 2" xfId="56289"/>
    <cellStyle name="Заголовок 4 2 5 3" xfId="56290"/>
    <cellStyle name="Заголовок 4 2 6" xfId="56291"/>
    <cellStyle name="Заголовок 4 2 6 2" xfId="56292"/>
    <cellStyle name="Заголовок 4 2 7" xfId="56293"/>
    <cellStyle name="Заголовок 4 20" xfId="56294"/>
    <cellStyle name="Заголовок 4 20 2" xfId="56295"/>
    <cellStyle name="Заголовок 4 20 3" xfId="56296"/>
    <cellStyle name="Заголовок 4 20 3 2" xfId="56297"/>
    <cellStyle name="Заголовок 4 20 3 2 2" xfId="56298"/>
    <cellStyle name="Заголовок 4 20 3 3" xfId="56299"/>
    <cellStyle name="Заголовок 4 20 4" xfId="56300"/>
    <cellStyle name="Заголовок 4 20 4 2" xfId="56301"/>
    <cellStyle name="Заголовок 4 20 5" xfId="56302"/>
    <cellStyle name="Заголовок 4 21" xfId="56303"/>
    <cellStyle name="Заголовок 4 21 2" xfId="56304"/>
    <cellStyle name="Заголовок 4 21 3" xfId="56305"/>
    <cellStyle name="Заголовок 4 21 3 2" xfId="56306"/>
    <cellStyle name="Заголовок 4 21 3 2 2" xfId="56307"/>
    <cellStyle name="Заголовок 4 21 3 3" xfId="56308"/>
    <cellStyle name="Заголовок 4 21 4" xfId="56309"/>
    <cellStyle name="Заголовок 4 21 4 2" xfId="56310"/>
    <cellStyle name="Заголовок 4 21 5" xfId="56311"/>
    <cellStyle name="Заголовок 4 22" xfId="56312"/>
    <cellStyle name="Заголовок 4 22 2" xfId="56313"/>
    <cellStyle name="Заголовок 4 22 3" xfId="56314"/>
    <cellStyle name="Заголовок 4 22 3 2" xfId="56315"/>
    <cellStyle name="Заголовок 4 22 3 2 2" xfId="56316"/>
    <cellStyle name="Заголовок 4 22 3 3" xfId="56317"/>
    <cellStyle name="Заголовок 4 22 4" xfId="56318"/>
    <cellStyle name="Заголовок 4 22 4 2" xfId="56319"/>
    <cellStyle name="Заголовок 4 22 5" xfId="56320"/>
    <cellStyle name="Заголовок 4 23" xfId="56321"/>
    <cellStyle name="Заголовок 4 23 2" xfId="56322"/>
    <cellStyle name="Заголовок 4 23 3" xfId="56323"/>
    <cellStyle name="Заголовок 4 23 3 2" xfId="56324"/>
    <cellStyle name="Заголовок 4 23 3 2 2" xfId="56325"/>
    <cellStyle name="Заголовок 4 23 3 3" xfId="56326"/>
    <cellStyle name="Заголовок 4 23 4" xfId="56327"/>
    <cellStyle name="Заголовок 4 23 4 2" xfId="56328"/>
    <cellStyle name="Заголовок 4 23 5" xfId="56329"/>
    <cellStyle name="Заголовок 4 24" xfId="56330"/>
    <cellStyle name="Заголовок 4 24 2" xfId="56331"/>
    <cellStyle name="Заголовок 4 24 3" xfId="56332"/>
    <cellStyle name="Заголовок 4 24 3 2" xfId="56333"/>
    <cellStyle name="Заголовок 4 24 3 2 2" xfId="56334"/>
    <cellStyle name="Заголовок 4 24 3 3" xfId="56335"/>
    <cellStyle name="Заголовок 4 24 4" xfId="56336"/>
    <cellStyle name="Заголовок 4 24 4 2" xfId="56337"/>
    <cellStyle name="Заголовок 4 24 5" xfId="56338"/>
    <cellStyle name="Заголовок 4 25" xfId="56339"/>
    <cellStyle name="Заголовок 4 25 2" xfId="56340"/>
    <cellStyle name="Заголовок 4 25 3" xfId="56341"/>
    <cellStyle name="Заголовок 4 25 3 2" xfId="56342"/>
    <cellStyle name="Заголовок 4 25 3 2 2" xfId="56343"/>
    <cellStyle name="Заголовок 4 25 3 3" xfId="56344"/>
    <cellStyle name="Заголовок 4 25 4" xfId="56345"/>
    <cellStyle name="Заголовок 4 25 4 2" xfId="56346"/>
    <cellStyle name="Заголовок 4 25 5" xfId="56347"/>
    <cellStyle name="Заголовок 4 26" xfId="56348"/>
    <cellStyle name="Заголовок 4 26 2" xfId="56349"/>
    <cellStyle name="Заголовок 4 26 3" xfId="56350"/>
    <cellStyle name="Заголовок 4 26 3 2" xfId="56351"/>
    <cellStyle name="Заголовок 4 26 3 2 2" xfId="56352"/>
    <cellStyle name="Заголовок 4 26 3 3" xfId="56353"/>
    <cellStyle name="Заголовок 4 26 4" xfId="56354"/>
    <cellStyle name="Заголовок 4 26 4 2" xfId="56355"/>
    <cellStyle name="Заголовок 4 26 5" xfId="56356"/>
    <cellStyle name="Заголовок 4 27" xfId="56357"/>
    <cellStyle name="Заголовок 4 27 2" xfId="56358"/>
    <cellStyle name="Заголовок 4 27 3" xfId="56359"/>
    <cellStyle name="Заголовок 4 27 3 2" xfId="56360"/>
    <cellStyle name="Заголовок 4 27 3 2 2" xfId="56361"/>
    <cellStyle name="Заголовок 4 27 3 3" xfId="56362"/>
    <cellStyle name="Заголовок 4 27 4" xfId="56363"/>
    <cellStyle name="Заголовок 4 27 4 2" xfId="56364"/>
    <cellStyle name="Заголовок 4 27 5" xfId="56365"/>
    <cellStyle name="Заголовок 4 28" xfId="56366"/>
    <cellStyle name="Заголовок 4 28 2" xfId="56367"/>
    <cellStyle name="Заголовок 4 28 3" xfId="56368"/>
    <cellStyle name="Заголовок 4 28 3 2" xfId="56369"/>
    <cellStyle name="Заголовок 4 28 3 2 2" xfId="56370"/>
    <cellStyle name="Заголовок 4 28 3 3" xfId="56371"/>
    <cellStyle name="Заголовок 4 28 4" xfId="56372"/>
    <cellStyle name="Заголовок 4 28 4 2" xfId="56373"/>
    <cellStyle name="Заголовок 4 28 5" xfId="56374"/>
    <cellStyle name="Заголовок 4 29" xfId="56375"/>
    <cellStyle name="Заголовок 4 29 2" xfId="56376"/>
    <cellStyle name="Заголовок 4 29 3" xfId="56377"/>
    <cellStyle name="Заголовок 4 29 3 2" xfId="56378"/>
    <cellStyle name="Заголовок 4 29 3 2 2" xfId="56379"/>
    <cellStyle name="Заголовок 4 29 3 3" xfId="56380"/>
    <cellStyle name="Заголовок 4 29 4" xfId="56381"/>
    <cellStyle name="Заголовок 4 29 4 2" xfId="56382"/>
    <cellStyle name="Заголовок 4 29 5" xfId="56383"/>
    <cellStyle name="Заголовок 4 3" xfId="56384"/>
    <cellStyle name="Заголовок 4 3 2" xfId="56385"/>
    <cellStyle name="Заголовок 4 3 3" xfId="56386"/>
    <cellStyle name="Заголовок 4 3 3 2" xfId="56387"/>
    <cellStyle name="Заголовок 4 3 3 2 2" xfId="56388"/>
    <cellStyle name="Заголовок 4 3 3 3" xfId="56389"/>
    <cellStyle name="Заголовок 4 3 4" xfId="56390"/>
    <cellStyle name="Заголовок 4 3 4 2" xfId="56391"/>
    <cellStyle name="Заголовок 4 3 5" xfId="56392"/>
    <cellStyle name="Заголовок 4 30" xfId="56393"/>
    <cellStyle name="Заголовок 4 30 2" xfId="56394"/>
    <cellStyle name="Заголовок 4 30 3" xfId="56395"/>
    <cellStyle name="Заголовок 4 30 3 2" xfId="56396"/>
    <cellStyle name="Заголовок 4 30 3 2 2" xfId="56397"/>
    <cellStyle name="Заголовок 4 30 3 3" xfId="56398"/>
    <cellStyle name="Заголовок 4 30 4" xfId="56399"/>
    <cellStyle name="Заголовок 4 30 4 2" xfId="56400"/>
    <cellStyle name="Заголовок 4 30 5" xfId="56401"/>
    <cellStyle name="Заголовок 4 31" xfId="56402"/>
    <cellStyle name="Заголовок 4 31 2" xfId="56403"/>
    <cellStyle name="Заголовок 4 31 3" xfId="56404"/>
    <cellStyle name="Заголовок 4 31 3 2" xfId="56405"/>
    <cellStyle name="Заголовок 4 31 3 2 2" xfId="56406"/>
    <cellStyle name="Заголовок 4 31 3 3" xfId="56407"/>
    <cellStyle name="Заголовок 4 31 4" xfId="56408"/>
    <cellStyle name="Заголовок 4 31 4 2" xfId="56409"/>
    <cellStyle name="Заголовок 4 31 5" xfId="56410"/>
    <cellStyle name="Заголовок 4 32" xfId="56411"/>
    <cellStyle name="Заголовок 4 32 2" xfId="56412"/>
    <cellStyle name="Заголовок 4 32 3" xfId="56413"/>
    <cellStyle name="Заголовок 4 32 3 2" xfId="56414"/>
    <cellStyle name="Заголовок 4 32 3 2 2" xfId="56415"/>
    <cellStyle name="Заголовок 4 32 3 3" xfId="56416"/>
    <cellStyle name="Заголовок 4 32 4" xfId="56417"/>
    <cellStyle name="Заголовок 4 32 4 2" xfId="56418"/>
    <cellStyle name="Заголовок 4 32 5" xfId="56419"/>
    <cellStyle name="Заголовок 4 33" xfId="56420"/>
    <cellStyle name="Заголовок 4 33 2" xfId="56421"/>
    <cellStyle name="Заголовок 4 33 3" xfId="56422"/>
    <cellStyle name="Заголовок 4 33 3 2" xfId="56423"/>
    <cellStyle name="Заголовок 4 33 3 2 2" xfId="56424"/>
    <cellStyle name="Заголовок 4 33 3 3" xfId="56425"/>
    <cellStyle name="Заголовок 4 33 4" xfId="56426"/>
    <cellStyle name="Заголовок 4 33 4 2" xfId="56427"/>
    <cellStyle name="Заголовок 4 33 5" xfId="56428"/>
    <cellStyle name="Заголовок 4 34" xfId="56429"/>
    <cellStyle name="Заголовок 4 34 2" xfId="56430"/>
    <cellStyle name="Заголовок 4 34 3" xfId="56431"/>
    <cellStyle name="Заголовок 4 34 3 2" xfId="56432"/>
    <cellStyle name="Заголовок 4 34 3 2 2" xfId="56433"/>
    <cellStyle name="Заголовок 4 34 3 3" xfId="56434"/>
    <cellStyle name="Заголовок 4 34 4" xfId="56435"/>
    <cellStyle name="Заголовок 4 34 4 2" xfId="56436"/>
    <cellStyle name="Заголовок 4 34 5" xfId="56437"/>
    <cellStyle name="Заголовок 4 35" xfId="56438"/>
    <cellStyle name="Заголовок 4 35 2" xfId="56439"/>
    <cellStyle name="Заголовок 4 35 3" xfId="56440"/>
    <cellStyle name="Заголовок 4 35 3 2" xfId="56441"/>
    <cellStyle name="Заголовок 4 35 3 2 2" xfId="56442"/>
    <cellStyle name="Заголовок 4 35 3 3" xfId="56443"/>
    <cellStyle name="Заголовок 4 35 4" xfId="56444"/>
    <cellStyle name="Заголовок 4 35 4 2" xfId="56445"/>
    <cellStyle name="Заголовок 4 35 5" xfId="56446"/>
    <cellStyle name="Заголовок 4 36" xfId="56447"/>
    <cellStyle name="Заголовок 4 36 2" xfId="56448"/>
    <cellStyle name="Заголовок 4 36 3" xfId="56449"/>
    <cellStyle name="Заголовок 4 36 3 2" xfId="56450"/>
    <cellStyle name="Заголовок 4 36 3 2 2" xfId="56451"/>
    <cellStyle name="Заголовок 4 36 3 3" xfId="56452"/>
    <cellStyle name="Заголовок 4 36 4" xfId="56453"/>
    <cellStyle name="Заголовок 4 36 4 2" xfId="56454"/>
    <cellStyle name="Заголовок 4 36 5" xfId="56455"/>
    <cellStyle name="Заголовок 4 37" xfId="56456"/>
    <cellStyle name="Заголовок 4 37 2" xfId="56457"/>
    <cellStyle name="Заголовок 4 37 3" xfId="56458"/>
    <cellStyle name="Заголовок 4 37 3 2" xfId="56459"/>
    <cellStyle name="Заголовок 4 37 3 2 2" xfId="56460"/>
    <cellStyle name="Заголовок 4 37 3 3" xfId="56461"/>
    <cellStyle name="Заголовок 4 37 4" xfId="56462"/>
    <cellStyle name="Заголовок 4 37 4 2" xfId="56463"/>
    <cellStyle name="Заголовок 4 37 5" xfId="56464"/>
    <cellStyle name="Заголовок 4 38" xfId="56465"/>
    <cellStyle name="Заголовок 4 38 2" xfId="56466"/>
    <cellStyle name="Заголовок 4 38 3" xfId="56467"/>
    <cellStyle name="Заголовок 4 38 3 2" xfId="56468"/>
    <cellStyle name="Заголовок 4 38 3 2 2" xfId="56469"/>
    <cellStyle name="Заголовок 4 38 3 3" xfId="56470"/>
    <cellStyle name="Заголовок 4 38 4" xfId="56471"/>
    <cellStyle name="Заголовок 4 38 4 2" xfId="56472"/>
    <cellStyle name="Заголовок 4 38 5" xfId="56473"/>
    <cellStyle name="Заголовок 4 39" xfId="56474"/>
    <cellStyle name="Заголовок 4 39 2" xfId="56475"/>
    <cellStyle name="Заголовок 4 39 3" xfId="56476"/>
    <cellStyle name="Заголовок 4 39 3 2" xfId="56477"/>
    <cellStyle name="Заголовок 4 39 3 2 2" xfId="56478"/>
    <cellStyle name="Заголовок 4 39 3 3" xfId="56479"/>
    <cellStyle name="Заголовок 4 39 4" xfId="56480"/>
    <cellStyle name="Заголовок 4 39 4 2" xfId="56481"/>
    <cellStyle name="Заголовок 4 39 5" xfId="56482"/>
    <cellStyle name="Заголовок 4 4" xfId="56483"/>
    <cellStyle name="Заголовок 4 4 2" xfId="56484"/>
    <cellStyle name="Заголовок 4 4 3" xfId="56485"/>
    <cellStyle name="Заголовок 4 4 3 2" xfId="56486"/>
    <cellStyle name="Заголовок 4 4 3 2 2" xfId="56487"/>
    <cellStyle name="Заголовок 4 4 3 3" xfId="56488"/>
    <cellStyle name="Заголовок 4 4 4" xfId="56489"/>
    <cellStyle name="Заголовок 4 4 4 2" xfId="56490"/>
    <cellStyle name="Заголовок 4 4 5" xfId="56491"/>
    <cellStyle name="Заголовок 4 40" xfId="56492"/>
    <cellStyle name="Заголовок 4 40 2" xfId="56493"/>
    <cellStyle name="Заголовок 4 40 3" xfId="56494"/>
    <cellStyle name="Заголовок 4 40 3 2" xfId="56495"/>
    <cellStyle name="Заголовок 4 40 3 2 2" xfId="56496"/>
    <cellStyle name="Заголовок 4 40 3 3" xfId="56497"/>
    <cellStyle name="Заголовок 4 40 4" xfId="56498"/>
    <cellStyle name="Заголовок 4 40 4 2" xfId="56499"/>
    <cellStyle name="Заголовок 4 40 5" xfId="56500"/>
    <cellStyle name="Заголовок 4 41" xfId="56501"/>
    <cellStyle name="Заголовок 4 41 2" xfId="56502"/>
    <cellStyle name="Заголовок 4 41 3" xfId="56503"/>
    <cellStyle name="Заголовок 4 41 3 2" xfId="56504"/>
    <cellStyle name="Заголовок 4 41 3 2 2" xfId="56505"/>
    <cellStyle name="Заголовок 4 41 3 3" xfId="56506"/>
    <cellStyle name="Заголовок 4 41 4" xfId="56507"/>
    <cellStyle name="Заголовок 4 41 4 2" xfId="56508"/>
    <cellStyle name="Заголовок 4 41 5" xfId="56509"/>
    <cellStyle name="Заголовок 4 42" xfId="56510"/>
    <cellStyle name="Заголовок 4 42 2" xfId="56511"/>
    <cellStyle name="Заголовок 4 42 3" xfId="56512"/>
    <cellStyle name="Заголовок 4 42 3 2" xfId="56513"/>
    <cellStyle name="Заголовок 4 42 3 2 2" xfId="56514"/>
    <cellStyle name="Заголовок 4 42 3 3" xfId="56515"/>
    <cellStyle name="Заголовок 4 42 4" xfId="56516"/>
    <cellStyle name="Заголовок 4 42 4 2" xfId="56517"/>
    <cellStyle name="Заголовок 4 42 5" xfId="56518"/>
    <cellStyle name="Заголовок 4 43" xfId="56519"/>
    <cellStyle name="Заголовок 4 43 2" xfId="56520"/>
    <cellStyle name="Заголовок 4 43 3" xfId="56521"/>
    <cellStyle name="Заголовок 4 43 3 2" xfId="56522"/>
    <cellStyle name="Заголовок 4 43 3 2 2" xfId="56523"/>
    <cellStyle name="Заголовок 4 43 3 3" xfId="56524"/>
    <cellStyle name="Заголовок 4 43 4" xfId="56525"/>
    <cellStyle name="Заголовок 4 43 4 2" xfId="56526"/>
    <cellStyle name="Заголовок 4 43 5" xfId="56527"/>
    <cellStyle name="Заголовок 4 44" xfId="56528"/>
    <cellStyle name="Заголовок 4 44 2" xfId="56529"/>
    <cellStyle name="Заголовок 4 44 3" xfId="56530"/>
    <cellStyle name="Заголовок 4 44 3 2" xfId="56531"/>
    <cellStyle name="Заголовок 4 44 3 2 2" xfId="56532"/>
    <cellStyle name="Заголовок 4 44 3 3" xfId="56533"/>
    <cellStyle name="Заголовок 4 44 4" xfId="56534"/>
    <cellStyle name="Заголовок 4 44 4 2" xfId="56535"/>
    <cellStyle name="Заголовок 4 44 5" xfId="56536"/>
    <cellStyle name="Заголовок 4 45" xfId="56537"/>
    <cellStyle name="Заголовок 4 45 2" xfId="56538"/>
    <cellStyle name="Заголовок 4 45 3" xfId="56539"/>
    <cellStyle name="Заголовок 4 45 3 2" xfId="56540"/>
    <cellStyle name="Заголовок 4 45 3 2 2" xfId="56541"/>
    <cellStyle name="Заголовок 4 45 3 3" xfId="56542"/>
    <cellStyle name="Заголовок 4 45 4" xfId="56543"/>
    <cellStyle name="Заголовок 4 45 4 2" xfId="56544"/>
    <cellStyle name="Заголовок 4 45 5" xfId="56545"/>
    <cellStyle name="Заголовок 4 46" xfId="56546"/>
    <cellStyle name="Заголовок 4 46 2" xfId="56547"/>
    <cellStyle name="Заголовок 4 46 3" xfId="56548"/>
    <cellStyle name="Заголовок 4 46 3 2" xfId="56549"/>
    <cellStyle name="Заголовок 4 46 3 2 2" xfId="56550"/>
    <cellStyle name="Заголовок 4 46 3 3" xfId="56551"/>
    <cellStyle name="Заголовок 4 46 4" xfId="56552"/>
    <cellStyle name="Заголовок 4 46 4 2" xfId="56553"/>
    <cellStyle name="Заголовок 4 46 5" xfId="56554"/>
    <cellStyle name="Заголовок 4 47" xfId="56555"/>
    <cellStyle name="Заголовок 4 47 2" xfId="56556"/>
    <cellStyle name="Заголовок 4 47 3" xfId="56557"/>
    <cellStyle name="Заголовок 4 47 3 2" xfId="56558"/>
    <cellStyle name="Заголовок 4 47 3 2 2" xfId="56559"/>
    <cellStyle name="Заголовок 4 47 3 3" xfId="56560"/>
    <cellStyle name="Заголовок 4 47 4" xfId="56561"/>
    <cellStyle name="Заголовок 4 47 4 2" xfId="56562"/>
    <cellStyle name="Заголовок 4 47 5" xfId="56563"/>
    <cellStyle name="Заголовок 4 48" xfId="56564"/>
    <cellStyle name="Заголовок 4 48 2" xfId="56565"/>
    <cellStyle name="Заголовок 4 48 3" xfId="56566"/>
    <cellStyle name="Заголовок 4 48 3 2" xfId="56567"/>
    <cellStyle name="Заголовок 4 48 3 2 2" xfId="56568"/>
    <cellStyle name="Заголовок 4 48 3 3" xfId="56569"/>
    <cellStyle name="Заголовок 4 48 4" xfId="56570"/>
    <cellStyle name="Заголовок 4 48 4 2" xfId="56571"/>
    <cellStyle name="Заголовок 4 48 5" xfId="56572"/>
    <cellStyle name="Заголовок 4 49" xfId="56573"/>
    <cellStyle name="Заголовок 4 49 2" xfId="56574"/>
    <cellStyle name="Заголовок 4 49 3" xfId="56575"/>
    <cellStyle name="Заголовок 4 49 3 2" xfId="56576"/>
    <cellStyle name="Заголовок 4 49 3 2 2" xfId="56577"/>
    <cellStyle name="Заголовок 4 49 3 3" xfId="56578"/>
    <cellStyle name="Заголовок 4 49 4" xfId="56579"/>
    <cellStyle name="Заголовок 4 49 4 2" xfId="56580"/>
    <cellStyle name="Заголовок 4 49 5" xfId="56581"/>
    <cellStyle name="Заголовок 4 5" xfId="56582"/>
    <cellStyle name="Заголовок 4 5 2" xfId="56583"/>
    <cellStyle name="Заголовок 4 5 3" xfId="56584"/>
    <cellStyle name="Заголовок 4 5 3 2" xfId="56585"/>
    <cellStyle name="Заголовок 4 5 3 2 2" xfId="56586"/>
    <cellStyle name="Заголовок 4 5 3 3" xfId="56587"/>
    <cellStyle name="Заголовок 4 5 4" xfId="56588"/>
    <cellStyle name="Заголовок 4 5 4 2" xfId="56589"/>
    <cellStyle name="Заголовок 4 5 5" xfId="56590"/>
    <cellStyle name="Заголовок 4 50" xfId="56591"/>
    <cellStyle name="Заголовок 4 50 2" xfId="56592"/>
    <cellStyle name="Заголовок 4 50 3" xfId="56593"/>
    <cellStyle name="Заголовок 4 50 3 2" xfId="56594"/>
    <cellStyle name="Заголовок 4 50 3 2 2" xfId="56595"/>
    <cellStyle name="Заголовок 4 50 3 3" xfId="56596"/>
    <cellStyle name="Заголовок 4 50 4" xfId="56597"/>
    <cellStyle name="Заголовок 4 50 4 2" xfId="56598"/>
    <cellStyle name="Заголовок 4 50 5" xfId="56599"/>
    <cellStyle name="Заголовок 4 51" xfId="56600"/>
    <cellStyle name="Заголовок 4 51 2" xfId="56601"/>
    <cellStyle name="Заголовок 4 51 3" xfId="56602"/>
    <cellStyle name="Заголовок 4 51 3 2" xfId="56603"/>
    <cellStyle name="Заголовок 4 51 3 2 2" xfId="56604"/>
    <cellStyle name="Заголовок 4 51 3 3" xfId="56605"/>
    <cellStyle name="Заголовок 4 51 4" xfId="56606"/>
    <cellStyle name="Заголовок 4 51 4 2" xfId="56607"/>
    <cellStyle name="Заголовок 4 51 5" xfId="56608"/>
    <cellStyle name="Заголовок 4 52" xfId="56609"/>
    <cellStyle name="Заголовок 4 52 2" xfId="56610"/>
    <cellStyle name="Заголовок 4 52 3" xfId="56611"/>
    <cellStyle name="Заголовок 4 52 3 2" xfId="56612"/>
    <cellStyle name="Заголовок 4 52 3 2 2" xfId="56613"/>
    <cellStyle name="Заголовок 4 52 3 3" xfId="56614"/>
    <cellStyle name="Заголовок 4 52 4" xfId="56615"/>
    <cellStyle name="Заголовок 4 52 4 2" xfId="56616"/>
    <cellStyle name="Заголовок 4 52 5" xfId="56617"/>
    <cellStyle name="Заголовок 4 53" xfId="56618"/>
    <cellStyle name="Заголовок 4 53 2" xfId="56619"/>
    <cellStyle name="Заголовок 4 53 3" xfId="56620"/>
    <cellStyle name="Заголовок 4 53 3 2" xfId="56621"/>
    <cellStyle name="Заголовок 4 53 3 2 2" xfId="56622"/>
    <cellStyle name="Заголовок 4 53 3 3" xfId="56623"/>
    <cellStyle name="Заголовок 4 53 4" xfId="56624"/>
    <cellStyle name="Заголовок 4 53 4 2" xfId="56625"/>
    <cellStyle name="Заголовок 4 53 5" xfId="56626"/>
    <cellStyle name="Заголовок 4 54" xfId="56627"/>
    <cellStyle name="Заголовок 4 54 2" xfId="56628"/>
    <cellStyle name="Заголовок 4 54 3" xfId="56629"/>
    <cellStyle name="Заголовок 4 54 3 2" xfId="56630"/>
    <cellStyle name="Заголовок 4 54 3 2 2" xfId="56631"/>
    <cellStyle name="Заголовок 4 54 3 3" xfId="56632"/>
    <cellStyle name="Заголовок 4 54 4" xfId="56633"/>
    <cellStyle name="Заголовок 4 54 4 2" xfId="56634"/>
    <cellStyle name="Заголовок 4 54 5" xfId="56635"/>
    <cellStyle name="Заголовок 4 55" xfId="56636"/>
    <cellStyle name="Заголовок 4 55 2" xfId="56637"/>
    <cellStyle name="Заголовок 4 55 3" xfId="56638"/>
    <cellStyle name="Заголовок 4 55 3 2" xfId="56639"/>
    <cellStyle name="Заголовок 4 55 3 2 2" xfId="56640"/>
    <cellStyle name="Заголовок 4 55 3 3" xfId="56641"/>
    <cellStyle name="Заголовок 4 55 4" xfId="56642"/>
    <cellStyle name="Заголовок 4 55 4 2" xfId="56643"/>
    <cellStyle name="Заголовок 4 55 5" xfId="56644"/>
    <cellStyle name="Заголовок 4 56" xfId="56645"/>
    <cellStyle name="Заголовок 4 56 2" xfId="56646"/>
    <cellStyle name="Заголовок 4 56 3" xfId="56647"/>
    <cellStyle name="Заголовок 4 56 3 2" xfId="56648"/>
    <cellStyle name="Заголовок 4 56 3 2 2" xfId="56649"/>
    <cellStyle name="Заголовок 4 56 3 3" xfId="56650"/>
    <cellStyle name="Заголовок 4 56 4" xfId="56651"/>
    <cellStyle name="Заголовок 4 56 4 2" xfId="56652"/>
    <cellStyle name="Заголовок 4 56 5" xfId="56653"/>
    <cellStyle name="Заголовок 4 57" xfId="56654"/>
    <cellStyle name="Заголовок 4 57 2" xfId="56655"/>
    <cellStyle name="Заголовок 4 57 3" xfId="56656"/>
    <cellStyle name="Заголовок 4 57 3 2" xfId="56657"/>
    <cellStyle name="Заголовок 4 57 3 2 2" xfId="56658"/>
    <cellStyle name="Заголовок 4 57 3 3" xfId="56659"/>
    <cellStyle name="Заголовок 4 57 4" xfId="56660"/>
    <cellStyle name="Заголовок 4 57 4 2" xfId="56661"/>
    <cellStyle name="Заголовок 4 57 5" xfId="56662"/>
    <cellStyle name="Заголовок 4 58" xfId="56663"/>
    <cellStyle name="Заголовок 4 58 2" xfId="56664"/>
    <cellStyle name="Заголовок 4 58 3" xfId="56665"/>
    <cellStyle name="Заголовок 4 58 3 2" xfId="56666"/>
    <cellStyle name="Заголовок 4 58 3 2 2" xfId="56667"/>
    <cellStyle name="Заголовок 4 58 3 3" xfId="56668"/>
    <cellStyle name="Заголовок 4 58 4" xfId="56669"/>
    <cellStyle name="Заголовок 4 58 4 2" xfId="56670"/>
    <cellStyle name="Заголовок 4 58 5" xfId="56671"/>
    <cellStyle name="Заголовок 4 59" xfId="56672"/>
    <cellStyle name="Заголовок 4 59 2" xfId="56673"/>
    <cellStyle name="Заголовок 4 59 3" xfId="56674"/>
    <cellStyle name="Заголовок 4 59 3 2" xfId="56675"/>
    <cellStyle name="Заголовок 4 59 3 2 2" xfId="56676"/>
    <cellStyle name="Заголовок 4 59 3 3" xfId="56677"/>
    <cellStyle name="Заголовок 4 59 4" xfId="56678"/>
    <cellStyle name="Заголовок 4 59 4 2" xfId="56679"/>
    <cellStyle name="Заголовок 4 59 5" xfId="56680"/>
    <cellStyle name="Заголовок 4 6" xfId="56681"/>
    <cellStyle name="Заголовок 4 6 2" xfId="56682"/>
    <cellStyle name="Заголовок 4 6 3" xfId="56683"/>
    <cellStyle name="Заголовок 4 6 3 2" xfId="56684"/>
    <cellStyle name="Заголовок 4 6 3 2 2" xfId="56685"/>
    <cellStyle name="Заголовок 4 6 3 3" xfId="56686"/>
    <cellStyle name="Заголовок 4 6 4" xfId="56687"/>
    <cellStyle name="Заголовок 4 6 4 2" xfId="56688"/>
    <cellStyle name="Заголовок 4 6 5" xfId="56689"/>
    <cellStyle name="Заголовок 4 60" xfId="56690"/>
    <cellStyle name="Заголовок 4 60 2" xfId="56691"/>
    <cellStyle name="Заголовок 4 60 3" xfId="56692"/>
    <cellStyle name="Заголовок 4 60 3 2" xfId="56693"/>
    <cellStyle name="Заголовок 4 60 3 2 2" xfId="56694"/>
    <cellStyle name="Заголовок 4 60 3 3" xfId="56695"/>
    <cellStyle name="Заголовок 4 60 4" xfId="56696"/>
    <cellStyle name="Заголовок 4 60 4 2" xfId="56697"/>
    <cellStyle name="Заголовок 4 60 5" xfId="56698"/>
    <cellStyle name="Заголовок 4 61" xfId="56699"/>
    <cellStyle name="Заголовок 4 61 2" xfId="56700"/>
    <cellStyle name="Заголовок 4 61 3" xfId="56701"/>
    <cellStyle name="Заголовок 4 61 3 2" xfId="56702"/>
    <cellStyle name="Заголовок 4 61 3 2 2" xfId="56703"/>
    <cellStyle name="Заголовок 4 61 3 3" xfId="56704"/>
    <cellStyle name="Заголовок 4 61 4" xfId="56705"/>
    <cellStyle name="Заголовок 4 61 4 2" xfId="56706"/>
    <cellStyle name="Заголовок 4 61 5" xfId="56707"/>
    <cellStyle name="Заголовок 4 62" xfId="56708"/>
    <cellStyle name="Заголовок 4 62 2" xfId="56709"/>
    <cellStyle name="Заголовок 4 62 3" xfId="56710"/>
    <cellStyle name="Заголовок 4 62 3 2" xfId="56711"/>
    <cellStyle name="Заголовок 4 62 3 2 2" xfId="56712"/>
    <cellStyle name="Заголовок 4 62 3 3" xfId="56713"/>
    <cellStyle name="Заголовок 4 62 4" xfId="56714"/>
    <cellStyle name="Заголовок 4 62 4 2" xfId="56715"/>
    <cellStyle name="Заголовок 4 62 5" xfId="56716"/>
    <cellStyle name="Заголовок 4 63" xfId="56717"/>
    <cellStyle name="Заголовок 4 63 2" xfId="56718"/>
    <cellStyle name="Заголовок 4 63 3" xfId="56719"/>
    <cellStyle name="Заголовок 4 63 3 2" xfId="56720"/>
    <cellStyle name="Заголовок 4 63 3 2 2" xfId="56721"/>
    <cellStyle name="Заголовок 4 63 3 3" xfId="56722"/>
    <cellStyle name="Заголовок 4 63 4" xfId="56723"/>
    <cellStyle name="Заголовок 4 63 4 2" xfId="56724"/>
    <cellStyle name="Заголовок 4 63 5" xfId="56725"/>
    <cellStyle name="Заголовок 4 64" xfId="56726"/>
    <cellStyle name="Заголовок 4 64 2" xfId="56727"/>
    <cellStyle name="Заголовок 4 64 3" xfId="56728"/>
    <cellStyle name="Заголовок 4 64 3 2" xfId="56729"/>
    <cellStyle name="Заголовок 4 64 3 2 2" xfId="56730"/>
    <cellStyle name="Заголовок 4 64 3 3" xfId="56731"/>
    <cellStyle name="Заголовок 4 64 4" xfId="56732"/>
    <cellStyle name="Заголовок 4 64 4 2" xfId="56733"/>
    <cellStyle name="Заголовок 4 64 5" xfId="56734"/>
    <cellStyle name="Заголовок 4 65" xfId="56735"/>
    <cellStyle name="Заголовок 4 65 2" xfId="56736"/>
    <cellStyle name="Заголовок 4 65 3" xfId="56737"/>
    <cellStyle name="Заголовок 4 65 3 2" xfId="56738"/>
    <cellStyle name="Заголовок 4 65 3 2 2" xfId="56739"/>
    <cellStyle name="Заголовок 4 65 3 3" xfId="56740"/>
    <cellStyle name="Заголовок 4 65 4" xfId="56741"/>
    <cellStyle name="Заголовок 4 65 4 2" xfId="56742"/>
    <cellStyle name="Заголовок 4 65 5" xfId="56743"/>
    <cellStyle name="Заголовок 4 66" xfId="56744"/>
    <cellStyle name="Заголовок 4 66 2" xfId="56745"/>
    <cellStyle name="Заголовок 4 66 3" xfId="56746"/>
    <cellStyle name="Заголовок 4 66 3 2" xfId="56747"/>
    <cellStyle name="Заголовок 4 66 3 2 2" xfId="56748"/>
    <cellStyle name="Заголовок 4 66 3 3" xfId="56749"/>
    <cellStyle name="Заголовок 4 66 4" xfId="56750"/>
    <cellStyle name="Заголовок 4 66 4 2" xfId="56751"/>
    <cellStyle name="Заголовок 4 66 5" xfId="56752"/>
    <cellStyle name="Заголовок 4 67" xfId="56753"/>
    <cellStyle name="Заголовок 4 67 2" xfId="56754"/>
    <cellStyle name="Заголовок 4 67 3" xfId="56755"/>
    <cellStyle name="Заголовок 4 67 3 2" xfId="56756"/>
    <cellStyle name="Заголовок 4 67 3 2 2" xfId="56757"/>
    <cellStyle name="Заголовок 4 67 3 3" xfId="56758"/>
    <cellStyle name="Заголовок 4 67 4" xfId="56759"/>
    <cellStyle name="Заголовок 4 67 4 2" xfId="56760"/>
    <cellStyle name="Заголовок 4 67 5" xfId="56761"/>
    <cellStyle name="Заголовок 4 68" xfId="56762"/>
    <cellStyle name="Заголовок 4 68 2" xfId="56763"/>
    <cellStyle name="Заголовок 4 68 3" xfId="56764"/>
    <cellStyle name="Заголовок 4 68 3 2" xfId="56765"/>
    <cellStyle name="Заголовок 4 68 3 2 2" xfId="56766"/>
    <cellStyle name="Заголовок 4 68 3 3" xfId="56767"/>
    <cellStyle name="Заголовок 4 68 4" xfId="56768"/>
    <cellStyle name="Заголовок 4 68 4 2" xfId="56769"/>
    <cellStyle name="Заголовок 4 68 5" xfId="56770"/>
    <cellStyle name="Заголовок 4 69" xfId="56771"/>
    <cellStyle name="Заголовок 4 69 2" xfId="56772"/>
    <cellStyle name="Заголовок 4 69 3" xfId="56773"/>
    <cellStyle name="Заголовок 4 69 3 2" xfId="56774"/>
    <cellStyle name="Заголовок 4 69 3 2 2" xfId="56775"/>
    <cellStyle name="Заголовок 4 69 3 3" xfId="56776"/>
    <cellStyle name="Заголовок 4 69 4" xfId="56777"/>
    <cellStyle name="Заголовок 4 69 4 2" xfId="56778"/>
    <cellStyle name="Заголовок 4 69 5" xfId="56779"/>
    <cellStyle name="Заголовок 4 7" xfId="56780"/>
    <cellStyle name="Заголовок 4 7 2" xfId="56781"/>
    <cellStyle name="Заголовок 4 7 3" xfId="56782"/>
    <cellStyle name="Заголовок 4 7 3 2" xfId="56783"/>
    <cellStyle name="Заголовок 4 7 3 2 2" xfId="56784"/>
    <cellStyle name="Заголовок 4 7 3 3" xfId="56785"/>
    <cellStyle name="Заголовок 4 7 4" xfId="56786"/>
    <cellStyle name="Заголовок 4 7 4 2" xfId="56787"/>
    <cellStyle name="Заголовок 4 7 5" xfId="56788"/>
    <cellStyle name="Заголовок 4 70" xfId="56789"/>
    <cellStyle name="Заголовок 4 70 2" xfId="56790"/>
    <cellStyle name="Заголовок 4 70 3" xfId="56791"/>
    <cellStyle name="Заголовок 4 70 3 2" xfId="56792"/>
    <cellStyle name="Заголовок 4 70 3 2 2" xfId="56793"/>
    <cellStyle name="Заголовок 4 70 3 3" xfId="56794"/>
    <cellStyle name="Заголовок 4 70 4" xfId="56795"/>
    <cellStyle name="Заголовок 4 70 4 2" xfId="56796"/>
    <cellStyle name="Заголовок 4 70 5" xfId="56797"/>
    <cellStyle name="Заголовок 4 71" xfId="56798"/>
    <cellStyle name="Заголовок 4 71 2" xfId="56799"/>
    <cellStyle name="Заголовок 4 71 3" xfId="56800"/>
    <cellStyle name="Заголовок 4 71 3 2" xfId="56801"/>
    <cellStyle name="Заголовок 4 71 3 2 2" xfId="56802"/>
    <cellStyle name="Заголовок 4 71 3 3" xfId="56803"/>
    <cellStyle name="Заголовок 4 71 4" xfId="56804"/>
    <cellStyle name="Заголовок 4 71 4 2" xfId="56805"/>
    <cellStyle name="Заголовок 4 71 5" xfId="56806"/>
    <cellStyle name="Заголовок 4 72" xfId="56807"/>
    <cellStyle name="Заголовок 4 72 2" xfId="56808"/>
    <cellStyle name="Заголовок 4 72 3" xfId="56809"/>
    <cellStyle name="Заголовок 4 72 3 2" xfId="56810"/>
    <cellStyle name="Заголовок 4 72 3 2 2" xfId="56811"/>
    <cellStyle name="Заголовок 4 72 3 3" xfId="56812"/>
    <cellStyle name="Заголовок 4 72 4" xfId="56813"/>
    <cellStyle name="Заголовок 4 72 4 2" xfId="56814"/>
    <cellStyle name="Заголовок 4 72 5" xfId="56815"/>
    <cellStyle name="Заголовок 4 73" xfId="56816"/>
    <cellStyle name="Заголовок 4 73 2" xfId="56817"/>
    <cellStyle name="Заголовок 4 73 3" xfId="56818"/>
    <cellStyle name="Заголовок 4 73 3 2" xfId="56819"/>
    <cellStyle name="Заголовок 4 73 3 2 2" xfId="56820"/>
    <cellStyle name="Заголовок 4 73 3 3" xfId="56821"/>
    <cellStyle name="Заголовок 4 73 4" xfId="56822"/>
    <cellStyle name="Заголовок 4 73 4 2" xfId="56823"/>
    <cellStyle name="Заголовок 4 73 5" xfId="56824"/>
    <cellStyle name="Заголовок 4 74" xfId="56825"/>
    <cellStyle name="Заголовок 4 74 2" xfId="56826"/>
    <cellStyle name="Заголовок 4 74 3" xfId="56827"/>
    <cellStyle name="Заголовок 4 74 3 2" xfId="56828"/>
    <cellStyle name="Заголовок 4 74 3 2 2" xfId="56829"/>
    <cellStyle name="Заголовок 4 74 3 3" xfId="56830"/>
    <cellStyle name="Заголовок 4 74 4" xfId="56831"/>
    <cellStyle name="Заголовок 4 74 4 2" xfId="56832"/>
    <cellStyle name="Заголовок 4 74 5" xfId="56833"/>
    <cellStyle name="Заголовок 4 75" xfId="56834"/>
    <cellStyle name="Заголовок 4 75 2" xfId="56835"/>
    <cellStyle name="Заголовок 4 75 3" xfId="56836"/>
    <cellStyle name="Заголовок 4 75 3 2" xfId="56837"/>
    <cellStyle name="Заголовок 4 75 3 2 2" xfId="56838"/>
    <cellStyle name="Заголовок 4 75 3 3" xfId="56839"/>
    <cellStyle name="Заголовок 4 75 4" xfId="56840"/>
    <cellStyle name="Заголовок 4 75 4 2" xfId="56841"/>
    <cellStyle name="Заголовок 4 75 5" xfId="56842"/>
    <cellStyle name="Заголовок 4 76" xfId="56843"/>
    <cellStyle name="Заголовок 4 76 2" xfId="56844"/>
    <cellStyle name="Заголовок 4 76 3" xfId="56845"/>
    <cellStyle name="Заголовок 4 76 3 2" xfId="56846"/>
    <cellStyle name="Заголовок 4 76 3 2 2" xfId="56847"/>
    <cellStyle name="Заголовок 4 76 3 3" xfId="56848"/>
    <cellStyle name="Заголовок 4 76 4" xfId="56849"/>
    <cellStyle name="Заголовок 4 76 4 2" xfId="56850"/>
    <cellStyle name="Заголовок 4 76 5" xfId="56851"/>
    <cellStyle name="Заголовок 4 77" xfId="56852"/>
    <cellStyle name="Заголовок 4 77 2" xfId="56853"/>
    <cellStyle name="Заголовок 4 77 3" xfId="56854"/>
    <cellStyle name="Заголовок 4 77 3 2" xfId="56855"/>
    <cellStyle name="Заголовок 4 77 3 2 2" xfId="56856"/>
    <cellStyle name="Заголовок 4 77 3 3" xfId="56857"/>
    <cellStyle name="Заголовок 4 77 4" xfId="56858"/>
    <cellStyle name="Заголовок 4 77 4 2" xfId="56859"/>
    <cellStyle name="Заголовок 4 77 5" xfId="56860"/>
    <cellStyle name="Заголовок 4 78" xfId="56861"/>
    <cellStyle name="Заголовок 4 78 2" xfId="56862"/>
    <cellStyle name="Заголовок 4 78 3" xfId="56863"/>
    <cellStyle name="Заголовок 4 78 3 2" xfId="56864"/>
    <cellStyle name="Заголовок 4 78 3 2 2" xfId="56865"/>
    <cellStyle name="Заголовок 4 78 3 3" xfId="56866"/>
    <cellStyle name="Заголовок 4 78 4" xfId="56867"/>
    <cellStyle name="Заголовок 4 78 4 2" xfId="56868"/>
    <cellStyle name="Заголовок 4 78 5" xfId="56869"/>
    <cellStyle name="Заголовок 4 79" xfId="56870"/>
    <cellStyle name="Заголовок 4 79 2" xfId="56871"/>
    <cellStyle name="Заголовок 4 79 3" xfId="56872"/>
    <cellStyle name="Заголовок 4 79 3 2" xfId="56873"/>
    <cellStyle name="Заголовок 4 79 3 2 2" xfId="56874"/>
    <cellStyle name="Заголовок 4 79 3 3" xfId="56875"/>
    <cellStyle name="Заголовок 4 79 4" xfId="56876"/>
    <cellStyle name="Заголовок 4 79 4 2" xfId="56877"/>
    <cellStyle name="Заголовок 4 79 5" xfId="56878"/>
    <cellStyle name="Заголовок 4 8" xfId="56879"/>
    <cellStyle name="Заголовок 4 8 2" xfId="56880"/>
    <cellStyle name="Заголовок 4 8 3" xfId="56881"/>
    <cellStyle name="Заголовок 4 8 3 2" xfId="56882"/>
    <cellStyle name="Заголовок 4 8 3 2 2" xfId="56883"/>
    <cellStyle name="Заголовок 4 8 3 3" xfId="56884"/>
    <cellStyle name="Заголовок 4 8 4" xfId="56885"/>
    <cellStyle name="Заголовок 4 8 4 2" xfId="56886"/>
    <cellStyle name="Заголовок 4 8 5" xfId="56887"/>
    <cellStyle name="Заголовок 4 80" xfId="56888"/>
    <cellStyle name="Заголовок 4 80 2" xfId="56889"/>
    <cellStyle name="Заголовок 4 80 3" xfId="56890"/>
    <cellStyle name="Заголовок 4 80 3 2" xfId="56891"/>
    <cellStyle name="Заголовок 4 80 3 2 2" xfId="56892"/>
    <cellStyle name="Заголовок 4 80 3 3" xfId="56893"/>
    <cellStyle name="Заголовок 4 80 4" xfId="56894"/>
    <cellStyle name="Заголовок 4 80 4 2" xfId="56895"/>
    <cellStyle name="Заголовок 4 80 5" xfId="56896"/>
    <cellStyle name="Заголовок 4 81" xfId="56897"/>
    <cellStyle name="Заголовок 4 81 2" xfId="56898"/>
    <cellStyle name="Заголовок 4 81 3" xfId="56899"/>
    <cellStyle name="Заголовок 4 81 3 2" xfId="56900"/>
    <cellStyle name="Заголовок 4 81 3 2 2" xfId="56901"/>
    <cellStyle name="Заголовок 4 81 3 3" xfId="56902"/>
    <cellStyle name="Заголовок 4 81 4" xfId="56903"/>
    <cellStyle name="Заголовок 4 81 4 2" xfId="56904"/>
    <cellStyle name="Заголовок 4 81 5" xfId="56905"/>
    <cellStyle name="Заголовок 4 82" xfId="56906"/>
    <cellStyle name="Заголовок 4 83" xfId="56907"/>
    <cellStyle name="Заголовок 4 84" xfId="56908"/>
    <cellStyle name="Заголовок 4 85" xfId="56909"/>
    <cellStyle name="Заголовок 4 86" xfId="56910"/>
    <cellStyle name="Заголовок 4 87" xfId="56911"/>
    <cellStyle name="Заголовок 4 88" xfId="56912"/>
    <cellStyle name="Заголовок 4 89" xfId="56913"/>
    <cellStyle name="Заголовок 4 9" xfId="56914"/>
    <cellStyle name="Заголовок 4 90" xfId="56915"/>
    <cellStyle name="Заголовок 4 91" xfId="56916"/>
    <cellStyle name="Заголовок 4 92" xfId="56917"/>
    <cellStyle name="Заголовок 4 93" xfId="56918"/>
    <cellStyle name="Заголовок 4 94" xfId="56919"/>
    <cellStyle name="Заголовок 4 95" xfId="56920"/>
    <cellStyle name="Заголовок 4 96" xfId="56921"/>
    <cellStyle name="Заголовок 4 97" xfId="56922"/>
    <cellStyle name="Заголовок 4 98" xfId="56923"/>
    <cellStyle name="Заголовок 4 99" xfId="56924"/>
    <cellStyle name="Итог 10" xfId="56925"/>
    <cellStyle name="Итог 100" xfId="56926"/>
    <cellStyle name="Итог 101" xfId="56927"/>
    <cellStyle name="Итог 102" xfId="56928"/>
    <cellStyle name="Итог 103" xfId="56929"/>
    <cellStyle name="Итог 104" xfId="56930"/>
    <cellStyle name="Итог 105" xfId="56931"/>
    <cellStyle name="Итог 106" xfId="56932"/>
    <cellStyle name="Итог 107" xfId="56933"/>
    <cellStyle name="Итог 108" xfId="56934"/>
    <cellStyle name="Итог 109" xfId="56935"/>
    <cellStyle name="Итог 11" xfId="56936"/>
    <cellStyle name="Итог 110" xfId="56937"/>
    <cellStyle name="Итог 111" xfId="56938"/>
    <cellStyle name="Итог 112" xfId="56939"/>
    <cellStyle name="Итог 113" xfId="56940"/>
    <cellStyle name="Итог 114" xfId="56941"/>
    <cellStyle name="Итог 115" xfId="56942"/>
    <cellStyle name="Итог 116" xfId="56943"/>
    <cellStyle name="Итог 117" xfId="56944"/>
    <cellStyle name="Итог 118" xfId="56945"/>
    <cellStyle name="Итог 119" xfId="56946"/>
    <cellStyle name="Итог 12" xfId="56947"/>
    <cellStyle name="Итог 120" xfId="56948"/>
    <cellStyle name="Итог 121" xfId="56949"/>
    <cellStyle name="Итог 122" xfId="56950"/>
    <cellStyle name="Итог 123" xfId="56951"/>
    <cellStyle name="Итог 124" xfId="56952"/>
    <cellStyle name="Итог 125" xfId="56953"/>
    <cellStyle name="Итог 126" xfId="56954"/>
    <cellStyle name="Итог 127" xfId="56955"/>
    <cellStyle name="Итог 128" xfId="56956"/>
    <cellStyle name="Итог 129" xfId="56957"/>
    <cellStyle name="Итог 13" xfId="56958"/>
    <cellStyle name="Итог 130" xfId="56959"/>
    <cellStyle name="Итог 131" xfId="56960"/>
    <cellStyle name="Итог 132" xfId="56961"/>
    <cellStyle name="Итог 133" xfId="56962"/>
    <cellStyle name="Итог 134" xfId="56963"/>
    <cellStyle name="Итог 135" xfId="56964"/>
    <cellStyle name="Итог 136" xfId="56965"/>
    <cellStyle name="Итог 137" xfId="56966"/>
    <cellStyle name="Итог 138" xfId="56967"/>
    <cellStyle name="Итог 139" xfId="56968"/>
    <cellStyle name="Итог 14" xfId="56969"/>
    <cellStyle name="Итог 140" xfId="56970"/>
    <cellStyle name="Итог 141" xfId="56971"/>
    <cellStyle name="Итог 142" xfId="56972"/>
    <cellStyle name="Итог 143" xfId="56973"/>
    <cellStyle name="Итог 144" xfId="56974"/>
    <cellStyle name="Итог 145" xfId="56975"/>
    <cellStyle name="Итог 146" xfId="56976"/>
    <cellStyle name="Итог 147" xfId="56977"/>
    <cellStyle name="Итог 148" xfId="56978"/>
    <cellStyle name="Итог 149" xfId="56979"/>
    <cellStyle name="Итог 15" xfId="56980"/>
    <cellStyle name="Итог 150" xfId="56981"/>
    <cellStyle name="Итог 151" xfId="56982"/>
    <cellStyle name="Итог 152" xfId="56983"/>
    <cellStyle name="Итог 153" xfId="56984"/>
    <cellStyle name="Итог 16" xfId="56985"/>
    <cellStyle name="Итог 17" xfId="56986"/>
    <cellStyle name="Итог 18" xfId="56987"/>
    <cellStyle name="Итог 19" xfId="56988"/>
    <cellStyle name="Итог 2" xfId="56989"/>
    <cellStyle name="Итог 2 2" xfId="56990"/>
    <cellStyle name="Итог 2 2 10" xfId="56991"/>
    <cellStyle name="Итог 2 2 11" xfId="56992"/>
    <cellStyle name="Итог 2 2 12" xfId="56993"/>
    <cellStyle name="Итог 2 2 13" xfId="56994"/>
    <cellStyle name="Итог 2 2 2" xfId="56995"/>
    <cellStyle name="Итог 2 2 3" xfId="56996"/>
    <cellStyle name="Итог 2 2 4" xfId="56997"/>
    <cellStyle name="Итог 2 2 5" xfId="56998"/>
    <cellStyle name="Итог 2 2 6" xfId="56999"/>
    <cellStyle name="Итог 2 2 7" xfId="57000"/>
    <cellStyle name="Итог 2 2 8" xfId="57001"/>
    <cellStyle name="Итог 2 2 9" xfId="57002"/>
    <cellStyle name="Итог 2 3" xfId="57003"/>
    <cellStyle name="Итог 20" xfId="57004"/>
    <cellStyle name="Итог 21" xfId="57005"/>
    <cellStyle name="Итог 22" xfId="57006"/>
    <cellStyle name="Итог 23" xfId="57007"/>
    <cellStyle name="Итог 24" xfId="57008"/>
    <cellStyle name="Итог 25" xfId="57009"/>
    <cellStyle name="Итог 26" xfId="57010"/>
    <cellStyle name="Итог 27" xfId="57011"/>
    <cellStyle name="Итог 28" xfId="57012"/>
    <cellStyle name="Итог 29" xfId="57013"/>
    <cellStyle name="Итог 3" xfId="57014"/>
    <cellStyle name="Итог 30" xfId="57015"/>
    <cellStyle name="Итог 31" xfId="57016"/>
    <cellStyle name="Итог 32" xfId="57017"/>
    <cellStyle name="Итог 33" xfId="57018"/>
    <cellStyle name="Итог 34" xfId="57019"/>
    <cellStyle name="Итог 35" xfId="57020"/>
    <cellStyle name="Итог 36" xfId="57021"/>
    <cellStyle name="Итог 37" xfId="57022"/>
    <cellStyle name="Итог 38" xfId="57023"/>
    <cellStyle name="Итог 39" xfId="57024"/>
    <cellStyle name="Итог 4" xfId="57025"/>
    <cellStyle name="Итог 40" xfId="57026"/>
    <cellStyle name="Итог 41" xfId="57027"/>
    <cellStyle name="Итог 42" xfId="57028"/>
    <cellStyle name="Итог 43" xfId="57029"/>
    <cellStyle name="Итог 44" xfId="57030"/>
    <cellStyle name="Итог 45" xfId="57031"/>
    <cellStyle name="Итог 46" xfId="57032"/>
    <cellStyle name="Итог 47" xfId="57033"/>
    <cellStyle name="Итог 48" xfId="57034"/>
    <cellStyle name="Итог 49" xfId="57035"/>
    <cellStyle name="Итог 5" xfId="57036"/>
    <cellStyle name="Итог 50" xfId="57037"/>
    <cellStyle name="Итог 51" xfId="57038"/>
    <cellStyle name="Итог 52" xfId="57039"/>
    <cellStyle name="Итог 53" xfId="57040"/>
    <cellStyle name="Итог 54" xfId="57041"/>
    <cellStyle name="Итог 55" xfId="57042"/>
    <cellStyle name="Итог 56" xfId="57043"/>
    <cellStyle name="Итог 57" xfId="57044"/>
    <cellStyle name="Итог 58" xfId="57045"/>
    <cellStyle name="Итог 59" xfId="57046"/>
    <cellStyle name="Итог 6" xfId="57047"/>
    <cellStyle name="Итог 60" xfId="57048"/>
    <cellStyle name="Итог 61" xfId="57049"/>
    <cellStyle name="Итог 62" xfId="57050"/>
    <cellStyle name="Итог 63" xfId="57051"/>
    <cellStyle name="Итог 64" xfId="57052"/>
    <cellStyle name="Итог 65" xfId="57053"/>
    <cellStyle name="Итог 66" xfId="57054"/>
    <cellStyle name="Итог 67" xfId="57055"/>
    <cellStyle name="Итог 68" xfId="57056"/>
    <cellStyle name="Итог 69" xfId="57057"/>
    <cellStyle name="Итог 7" xfId="57058"/>
    <cellStyle name="Итог 70" xfId="57059"/>
    <cellStyle name="Итог 71" xfId="57060"/>
    <cellStyle name="Итог 72" xfId="57061"/>
    <cellStyle name="Итог 73" xfId="57062"/>
    <cellStyle name="Итог 74" xfId="57063"/>
    <cellStyle name="Итог 75" xfId="57064"/>
    <cellStyle name="Итог 76" xfId="57065"/>
    <cellStyle name="Итог 77" xfId="57066"/>
    <cellStyle name="Итог 78" xfId="57067"/>
    <cellStyle name="Итог 79" xfId="57068"/>
    <cellStyle name="Итог 8" xfId="57069"/>
    <cellStyle name="Итог 80" xfId="57070"/>
    <cellStyle name="Итог 81" xfId="57071"/>
    <cellStyle name="Итог 82" xfId="57072"/>
    <cellStyle name="Итог 83" xfId="57073"/>
    <cellStyle name="Итог 84" xfId="57074"/>
    <cellStyle name="Итог 85" xfId="57075"/>
    <cellStyle name="Итог 86" xfId="57076"/>
    <cellStyle name="Итог 87" xfId="57077"/>
    <cellStyle name="Итог 88" xfId="57078"/>
    <cellStyle name="Итог 89" xfId="57079"/>
    <cellStyle name="Итог 9" xfId="57080"/>
    <cellStyle name="Итог 90" xfId="57081"/>
    <cellStyle name="Итог 91" xfId="57082"/>
    <cellStyle name="Итог 92" xfId="57083"/>
    <cellStyle name="Итог 93" xfId="57084"/>
    <cellStyle name="Итог 94" xfId="57085"/>
    <cellStyle name="Итог 95" xfId="57086"/>
    <cellStyle name="Итог 96" xfId="57087"/>
    <cellStyle name="Итог 97" xfId="57088"/>
    <cellStyle name="Итог 98" xfId="57089"/>
    <cellStyle name="Итог 99" xfId="57090"/>
    <cellStyle name="Контрольная ячейка 10" xfId="57091"/>
    <cellStyle name="Контрольная ячейка 100" xfId="57092"/>
    <cellStyle name="Контрольная ячейка 101" xfId="57093"/>
    <cellStyle name="Контрольная ячейка 102" xfId="57094"/>
    <cellStyle name="Контрольная ячейка 103" xfId="57095"/>
    <cellStyle name="Контрольная ячейка 104" xfId="57096"/>
    <cellStyle name="Контрольная ячейка 105" xfId="57097"/>
    <cellStyle name="Контрольная ячейка 106" xfId="57098"/>
    <cellStyle name="Контрольная ячейка 107" xfId="57099"/>
    <cellStyle name="Контрольная ячейка 108" xfId="57100"/>
    <cellStyle name="Контрольная ячейка 109" xfId="57101"/>
    <cellStyle name="Контрольная ячейка 11" xfId="57102"/>
    <cellStyle name="Контрольная ячейка 110" xfId="57103"/>
    <cellStyle name="Контрольная ячейка 111" xfId="57104"/>
    <cellStyle name="Контрольная ячейка 112" xfId="57105"/>
    <cellStyle name="Контрольная ячейка 113" xfId="57106"/>
    <cellStyle name="Контрольная ячейка 114" xfId="57107"/>
    <cellStyle name="Контрольная ячейка 115" xfId="57108"/>
    <cellStyle name="Контрольная ячейка 116" xfId="57109"/>
    <cellStyle name="Контрольная ячейка 117" xfId="57110"/>
    <cellStyle name="Контрольная ячейка 118" xfId="57111"/>
    <cellStyle name="Контрольная ячейка 119" xfId="57112"/>
    <cellStyle name="Контрольная ячейка 12" xfId="57113"/>
    <cellStyle name="Контрольная ячейка 120" xfId="57114"/>
    <cellStyle name="Контрольная ячейка 121" xfId="57115"/>
    <cellStyle name="Контрольная ячейка 122" xfId="57116"/>
    <cellStyle name="Контрольная ячейка 123" xfId="57117"/>
    <cellStyle name="Контрольная ячейка 124" xfId="57118"/>
    <cellStyle name="Контрольная ячейка 125" xfId="57119"/>
    <cellStyle name="Контрольная ячейка 126" xfId="57120"/>
    <cellStyle name="Контрольная ячейка 127" xfId="57121"/>
    <cellStyle name="Контрольная ячейка 128" xfId="57122"/>
    <cellStyle name="Контрольная ячейка 129" xfId="57123"/>
    <cellStyle name="Контрольная ячейка 13" xfId="57124"/>
    <cellStyle name="Контрольная ячейка 130" xfId="57125"/>
    <cellStyle name="Контрольная ячейка 131" xfId="57126"/>
    <cellStyle name="Контрольная ячейка 132" xfId="57127"/>
    <cellStyle name="Контрольная ячейка 133" xfId="57128"/>
    <cellStyle name="Контрольная ячейка 134" xfId="57129"/>
    <cellStyle name="Контрольная ячейка 135" xfId="57130"/>
    <cellStyle name="Контрольная ячейка 136" xfId="57131"/>
    <cellStyle name="Контрольная ячейка 137" xfId="57132"/>
    <cellStyle name="Контрольная ячейка 138" xfId="57133"/>
    <cellStyle name="Контрольная ячейка 139" xfId="57134"/>
    <cellStyle name="Контрольная ячейка 14" xfId="57135"/>
    <cellStyle name="Контрольная ячейка 140" xfId="57136"/>
    <cellStyle name="Контрольная ячейка 141" xfId="57137"/>
    <cellStyle name="Контрольная ячейка 142" xfId="57138"/>
    <cellStyle name="Контрольная ячейка 143" xfId="57139"/>
    <cellStyle name="Контрольная ячейка 144" xfId="57140"/>
    <cellStyle name="Контрольная ячейка 145" xfId="57141"/>
    <cellStyle name="Контрольная ячейка 146" xfId="57142"/>
    <cellStyle name="Контрольная ячейка 147" xfId="57143"/>
    <cellStyle name="Контрольная ячейка 148" xfId="57144"/>
    <cellStyle name="Контрольная ячейка 149" xfId="57145"/>
    <cellStyle name="Контрольная ячейка 15" xfId="57146"/>
    <cellStyle name="Контрольная ячейка 150" xfId="57147"/>
    <cellStyle name="Контрольная ячейка 151" xfId="57148"/>
    <cellStyle name="Контрольная ячейка 152" xfId="57149"/>
    <cellStyle name="Контрольная ячейка 153" xfId="57150"/>
    <cellStyle name="Контрольная ячейка 16" xfId="57151"/>
    <cellStyle name="Контрольная ячейка 17" xfId="57152"/>
    <cellStyle name="Контрольная ячейка 18" xfId="57153"/>
    <cellStyle name="Контрольная ячейка 19" xfId="57154"/>
    <cellStyle name="Контрольная ячейка 2" xfId="57155"/>
    <cellStyle name="Контрольная ячейка 2 2" xfId="57156"/>
    <cellStyle name="Контрольная ячейка 2 2 10" xfId="57157"/>
    <cellStyle name="Контрольная ячейка 2 2 11" xfId="57158"/>
    <cellStyle name="Контрольная ячейка 2 2 12" xfId="57159"/>
    <cellStyle name="Контрольная ячейка 2 2 13" xfId="57160"/>
    <cellStyle name="Контрольная ячейка 2 2 2" xfId="57161"/>
    <cellStyle name="Контрольная ячейка 2 2 3" xfId="57162"/>
    <cellStyle name="Контрольная ячейка 2 2 4" xfId="57163"/>
    <cellStyle name="Контрольная ячейка 2 2 5" xfId="57164"/>
    <cellStyle name="Контрольная ячейка 2 2 6" xfId="57165"/>
    <cellStyle name="Контрольная ячейка 2 2 7" xfId="57166"/>
    <cellStyle name="Контрольная ячейка 2 2 8" xfId="57167"/>
    <cellStyle name="Контрольная ячейка 2 2 9" xfId="57168"/>
    <cellStyle name="Контрольная ячейка 2 3" xfId="57169"/>
    <cellStyle name="Контрольная ячейка 20" xfId="57170"/>
    <cellStyle name="Контрольная ячейка 21" xfId="57171"/>
    <cellStyle name="Контрольная ячейка 22" xfId="57172"/>
    <cellStyle name="Контрольная ячейка 23" xfId="57173"/>
    <cellStyle name="Контрольная ячейка 24" xfId="57174"/>
    <cellStyle name="Контрольная ячейка 25" xfId="57175"/>
    <cellStyle name="Контрольная ячейка 26" xfId="57176"/>
    <cellStyle name="Контрольная ячейка 27" xfId="57177"/>
    <cellStyle name="Контрольная ячейка 28" xfId="57178"/>
    <cellStyle name="Контрольная ячейка 29" xfId="57179"/>
    <cellStyle name="Контрольная ячейка 3" xfId="57180"/>
    <cellStyle name="Контрольная ячейка 30" xfId="57181"/>
    <cellStyle name="Контрольная ячейка 31" xfId="57182"/>
    <cellStyle name="Контрольная ячейка 32" xfId="57183"/>
    <cellStyle name="Контрольная ячейка 33" xfId="57184"/>
    <cellStyle name="Контрольная ячейка 34" xfId="57185"/>
    <cellStyle name="Контрольная ячейка 35" xfId="57186"/>
    <cellStyle name="Контрольная ячейка 36" xfId="57187"/>
    <cellStyle name="Контрольная ячейка 37" xfId="57188"/>
    <cellStyle name="Контрольная ячейка 38" xfId="57189"/>
    <cellStyle name="Контрольная ячейка 39" xfId="57190"/>
    <cellStyle name="Контрольная ячейка 4" xfId="57191"/>
    <cellStyle name="Контрольная ячейка 40" xfId="57192"/>
    <cellStyle name="Контрольная ячейка 41" xfId="57193"/>
    <cellStyle name="Контрольная ячейка 42" xfId="57194"/>
    <cellStyle name="Контрольная ячейка 43" xfId="57195"/>
    <cellStyle name="Контрольная ячейка 44" xfId="57196"/>
    <cellStyle name="Контрольная ячейка 45" xfId="57197"/>
    <cellStyle name="Контрольная ячейка 46" xfId="57198"/>
    <cellStyle name="Контрольная ячейка 47" xfId="57199"/>
    <cellStyle name="Контрольная ячейка 48" xfId="57200"/>
    <cellStyle name="Контрольная ячейка 49" xfId="57201"/>
    <cellStyle name="Контрольная ячейка 5" xfId="57202"/>
    <cellStyle name="Контрольная ячейка 50" xfId="57203"/>
    <cellStyle name="Контрольная ячейка 51" xfId="57204"/>
    <cellStyle name="Контрольная ячейка 52" xfId="57205"/>
    <cellStyle name="Контрольная ячейка 53" xfId="57206"/>
    <cellStyle name="Контрольная ячейка 54" xfId="57207"/>
    <cellStyle name="Контрольная ячейка 55" xfId="57208"/>
    <cellStyle name="Контрольная ячейка 56" xfId="57209"/>
    <cellStyle name="Контрольная ячейка 57" xfId="57210"/>
    <cellStyle name="Контрольная ячейка 58" xfId="57211"/>
    <cellStyle name="Контрольная ячейка 59" xfId="57212"/>
    <cellStyle name="Контрольная ячейка 6" xfId="57213"/>
    <cellStyle name="Контрольная ячейка 60" xfId="57214"/>
    <cellStyle name="Контрольная ячейка 61" xfId="57215"/>
    <cellStyle name="Контрольная ячейка 62" xfId="57216"/>
    <cellStyle name="Контрольная ячейка 63" xfId="57217"/>
    <cellStyle name="Контрольная ячейка 64" xfId="57218"/>
    <cellStyle name="Контрольная ячейка 65" xfId="57219"/>
    <cellStyle name="Контрольная ячейка 66" xfId="57220"/>
    <cellStyle name="Контрольная ячейка 67" xfId="57221"/>
    <cellStyle name="Контрольная ячейка 68" xfId="57222"/>
    <cellStyle name="Контрольная ячейка 69" xfId="57223"/>
    <cellStyle name="Контрольная ячейка 7" xfId="57224"/>
    <cellStyle name="Контрольная ячейка 70" xfId="57225"/>
    <cellStyle name="Контрольная ячейка 71" xfId="57226"/>
    <cellStyle name="Контрольная ячейка 72" xfId="57227"/>
    <cellStyle name="Контрольная ячейка 73" xfId="57228"/>
    <cellStyle name="Контрольная ячейка 74" xfId="57229"/>
    <cellStyle name="Контрольная ячейка 75" xfId="57230"/>
    <cellStyle name="Контрольная ячейка 76" xfId="57231"/>
    <cellStyle name="Контрольная ячейка 77" xfId="57232"/>
    <cellStyle name="Контрольная ячейка 78" xfId="57233"/>
    <cellStyle name="Контрольная ячейка 79" xfId="57234"/>
    <cellStyle name="Контрольная ячейка 8" xfId="57235"/>
    <cellStyle name="Контрольная ячейка 80" xfId="57236"/>
    <cellStyle name="Контрольная ячейка 81" xfId="57237"/>
    <cellStyle name="Контрольная ячейка 82" xfId="57238"/>
    <cellStyle name="Контрольная ячейка 83" xfId="57239"/>
    <cellStyle name="Контрольная ячейка 84" xfId="57240"/>
    <cellStyle name="Контрольная ячейка 85" xfId="57241"/>
    <cellStyle name="Контрольная ячейка 86" xfId="57242"/>
    <cellStyle name="Контрольная ячейка 87" xfId="57243"/>
    <cellStyle name="Контрольная ячейка 88" xfId="57244"/>
    <cellStyle name="Контрольная ячейка 89" xfId="57245"/>
    <cellStyle name="Контрольная ячейка 9" xfId="57246"/>
    <cellStyle name="Контрольная ячейка 90" xfId="57247"/>
    <cellStyle name="Контрольная ячейка 91" xfId="57248"/>
    <cellStyle name="Контрольная ячейка 92" xfId="57249"/>
    <cellStyle name="Контрольная ячейка 93" xfId="57250"/>
    <cellStyle name="Контрольная ячейка 94" xfId="57251"/>
    <cellStyle name="Контрольная ячейка 95" xfId="57252"/>
    <cellStyle name="Контрольная ячейка 96" xfId="57253"/>
    <cellStyle name="Контрольная ячейка 97" xfId="57254"/>
    <cellStyle name="Контрольная ячейка 98" xfId="57255"/>
    <cellStyle name="Контрольная ячейка 99" xfId="57256"/>
    <cellStyle name="Название 10" xfId="57257"/>
    <cellStyle name="Название 100" xfId="57258"/>
    <cellStyle name="Название 101" xfId="57259"/>
    <cellStyle name="Название 102" xfId="57260"/>
    <cellStyle name="Название 103" xfId="57261"/>
    <cellStyle name="Название 104" xfId="57262"/>
    <cellStyle name="Название 105" xfId="57263"/>
    <cellStyle name="Название 106" xfId="57264"/>
    <cellStyle name="Название 107" xfId="57265"/>
    <cellStyle name="Название 108" xfId="57266"/>
    <cellStyle name="Название 109" xfId="57267"/>
    <cellStyle name="Название 11" xfId="57268"/>
    <cellStyle name="Название 110" xfId="57269"/>
    <cellStyle name="Название 111" xfId="57270"/>
    <cellStyle name="Название 112" xfId="57271"/>
    <cellStyle name="Название 113" xfId="57272"/>
    <cellStyle name="Название 114" xfId="57273"/>
    <cellStyle name="Название 115" xfId="57274"/>
    <cellStyle name="Название 116" xfId="57275"/>
    <cellStyle name="Название 117" xfId="57276"/>
    <cellStyle name="Название 118" xfId="57277"/>
    <cellStyle name="Название 119" xfId="57278"/>
    <cellStyle name="Название 12" xfId="57279"/>
    <cellStyle name="Название 120" xfId="57280"/>
    <cellStyle name="Название 121" xfId="57281"/>
    <cellStyle name="Название 122" xfId="57282"/>
    <cellStyle name="Название 123" xfId="57283"/>
    <cellStyle name="Название 124" xfId="57284"/>
    <cellStyle name="Название 125" xfId="57285"/>
    <cellStyle name="Название 126" xfId="57286"/>
    <cellStyle name="Название 127" xfId="57287"/>
    <cellStyle name="Название 128" xfId="57288"/>
    <cellStyle name="Название 129" xfId="57289"/>
    <cellStyle name="Название 13" xfId="57290"/>
    <cellStyle name="Название 130" xfId="57291"/>
    <cellStyle name="Название 131" xfId="57292"/>
    <cellStyle name="Название 132" xfId="57293"/>
    <cellStyle name="Название 133" xfId="57294"/>
    <cellStyle name="Название 134" xfId="57295"/>
    <cellStyle name="Название 135" xfId="57296"/>
    <cellStyle name="Название 136" xfId="57297"/>
    <cellStyle name="Название 137" xfId="57298"/>
    <cellStyle name="Название 138" xfId="57299"/>
    <cellStyle name="Название 139" xfId="57300"/>
    <cellStyle name="Название 14" xfId="57301"/>
    <cellStyle name="Название 140" xfId="57302"/>
    <cellStyle name="Название 141" xfId="57303"/>
    <cellStyle name="Название 142" xfId="57304"/>
    <cellStyle name="Название 143" xfId="57305"/>
    <cellStyle name="Название 144" xfId="57306"/>
    <cellStyle name="Название 145" xfId="57307"/>
    <cellStyle name="Название 146" xfId="57308"/>
    <cellStyle name="Название 147" xfId="57309"/>
    <cellStyle name="Название 148" xfId="57310"/>
    <cellStyle name="Название 149" xfId="57311"/>
    <cellStyle name="Название 15" xfId="57312"/>
    <cellStyle name="Название 150" xfId="57313"/>
    <cellStyle name="Название 151" xfId="57314"/>
    <cellStyle name="Название 152" xfId="57315"/>
    <cellStyle name="Название 153" xfId="57316"/>
    <cellStyle name="Название 16" xfId="57317"/>
    <cellStyle name="Название 17" xfId="57318"/>
    <cellStyle name="Название 18" xfId="57319"/>
    <cellStyle name="Название 19" xfId="57320"/>
    <cellStyle name="Название 2" xfId="57321"/>
    <cellStyle name="Название 2 2" xfId="57322"/>
    <cellStyle name="Название 2 2 10" xfId="57323"/>
    <cellStyle name="Название 2 2 11" xfId="57324"/>
    <cellStyle name="Название 2 2 12" xfId="57325"/>
    <cellStyle name="Название 2 2 13" xfId="57326"/>
    <cellStyle name="Название 2 2 2" xfId="57327"/>
    <cellStyle name="Название 2 2 3" xfId="57328"/>
    <cellStyle name="Название 2 2 4" xfId="57329"/>
    <cellStyle name="Название 2 2 5" xfId="57330"/>
    <cellStyle name="Название 2 2 6" xfId="57331"/>
    <cellStyle name="Название 2 2 7" xfId="57332"/>
    <cellStyle name="Название 2 2 8" xfId="57333"/>
    <cellStyle name="Название 2 2 9" xfId="57334"/>
    <cellStyle name="Название 2 3" xfId="57335"/>
    <cellStyle name="Название 20" xfId="57336"/>
    <cellStyle name="Название 21" xfId="57337"/>
    <cellStyle name="Название 22" xfId="57338"/>
    <cellStyle name="Название 23" xfId="57339"/>
    <cellStyle name="Название 24" xfId="57340"/>
    <cellStyle name="Название 25" xfId="57341"/>
    <cellStyle name="Название 26" xfId="57342"/>
    <cellStyle name="Название 27" xfId="57343"/>
    <cellStyle name="Название 28" xfId="57344"/>
    <cellStyle name="Название 29" xfId="57345"/>
    <cellStyle name="Название 3" xfId="57346"/>
    <cellStyle name="Название 30" xfId="57347"/>
    <cellStyle name="Название 31" xfId="57348"/>
    <cellStyle name="Название 32" xfId="57349"/>
    <cellStyle name="Название 33" xfId="57350"/>
    <cellStyle name="Название 34" xfId="57351"/>
    <cellStyle name="Название 35" xfId="57352"/>
    <cellStyle name="Название 36" xfId="57353"/>
    <cellStyle name="Название 37" xfId="57354"/>
    <cellStyle name="Название 38" xfId="57355"/>
    <cellStyle name="Название 39" xfId="57356"/>
    <cellStyle name="Название 4" xfId="57357"/>
    <cellStyle name="Название 40" xfId="57358"/>
    <cellStyle name="Название 41" xfId="57359"/>
    <cellStyle name="Название 42" xfId="57360"/>
    <cellStyle name="Название 43" xfId="57361"/>
    <cellStyle name="Название 44" xfId="57362"/>
    <cellStyle name="Название 45" xfId="57363"/>
    <cellStyle name="Название 46" xfId="57364"/>
    <cellStyle name="Название 47" xfId="57365"/>
    <cellStyle name="Название 48" xfId="57366"/>
    <cellStyle name="Название 49" xfId="57367"/>
    <cellStyle name="Название 5" xfId="57368"/>
    <cellStyle name="Название 50" xfId="57369"/>
    <cellStyle name="Название 51" xfId="57370"/>
    <cellStyle name="Название 52" xfId="57371"/>
    <cellStyle name="Название 53" xfId="57372"/>
    <cellStyle name="Название 54" xfId="57373"/>
    <cellStyle name="Название 55" xfId="57374"/>
    <cellStyle name="Название 56" xfId="57375"/>
    <cellStyle name="Название 57" xfId="57376"/>
    <cellStyle name="Название 58" xfId="57377"/>
    <cellStyle name="Название 59" xfId="57378"/>
    <cellStyle name="Название 6" xfId="57379"/>
    <cellStyle name="Название 60" xfId="57380"/>
    <cellStyle name="Название 61" xfId="57381"/>
    <cellStyle name="Название 62" xfId="57382"/>
    <cellStyle name="Название 63" xfId="57383"/>
    <cellStyle name="Название 64" xfId="57384"/>
    <cellStyle name="Название 65" xfId="57385"/>
    <cellStyle name="Название 66" xfId="57386"/>
    <cellStyle name="Название 67" xfId="57387"/>
    <cellStyle name="Название 68" xfId="57388"/>
    <cellStyle name="Название 69" xfId="57389"/>
    <cellStyle name="Название 7" xfId="57390"/>
    <cellStyle name="Название 70" xfId="57391"/>
    <cellStyle name="Название 71" xfId="57392"/>
    <cellStyle name="Название 72" xfId="57393"/>
    <cellStyle name="Название 73" xfId="57394"/>
    <cellStyle name="Название 74" xfId="57395"/>
    <cellStyle name="Название 75" xfId="57396"/>
    <cellStyle name="Название 76" xfId="57397"/>
    <cellStyle name="Название 77" xfId="57398"/>
    <cellStyle name="Название 78" xfId="57399"/>
    <cellStyle name="Название 79" xfId="57400"/>
    <cellStyle name="Название 8" xfId="57401"/>
    <cellStyle name="Название 80" xfId="57402"/>
    <cellStyle name="Название 81" xfId="57403"/>
    <cellStyle name="Название 82" xfId="57404"/>
    <cellStyle name="Название 83" xfId="57405"/>
    <cellStyle name="Название 84" xfId="57406"/>
    <cellStyle name="Название 85" xfId="57407"/>
    <cellStyle name="Название 86" xfId="57408"/>
    <cellStyle name="Название 87" xfId="57409"/>
    <cellStyle name="Название 88" xfId="57410"/>
    <cellStyle name="Название 89" xfId="57411"/>
    <cellStyle name="Название 9" xfId="57412"/>
    <cellStyle name="Название 90" xfId="57413"/>
    <cellStyle name="Название 91" xfId="57414"/>
    <cellStyle name="Название 92" xfId="57415"/>
    <cellStyle name="Название 93" xfId="57416"/>
    <cellStyle name="Название 94" xfId="57417"/>
    <cellStyle name="Название 95" xfId="57418"/>
    <cellStyle name="Название 96" xfId="57419"/>
    <cellStyle name="Название 97" xfId="57420"/>
    <cellStyle name="Название 98" xfId="57421"/>
    <cellStyle name="Название 99" xfId="57422"/>
    <cellStyle name="Нейтральный 10" xfId="57423"/>
    <cellStyle name="Нейтральный 100" xfId="57424"/>
    <cellStyle name="Нейтральный 101" xfId="57425"/>
    <cellStyle name="Нейтральный 102" xfId="57426"/>
    <cellStyle name="Нейтральный 103" xfId="57427"/>
    <cellStyle name="Нейтральный 104" xfId="57428"/>
    <cellStyle name="Нейтральный 105" xfId="57429"/>
    <cellStyle name="Нейтральный 106" xfId="57430"/>
    <cellStyle name="Нейтральный 107" xfId="57431"/>
    <cellStyle name="Нейтральный 108" xfId="57432"/>
    <cellStyle name="Нейтральный 109" xfId="57433"/>
    <cellStyle name="Нейтральный 11" xfId="57434"/>
    <cellStyle name="Нейтральный 110" xfId="57435"/>
    <cellStyle name="Нейтральный 111" xfId="57436"/>
    <cellStyle name="Нейтральный 112" xfId="57437"/>
    <cellStyle name="Нейтральный 113" xfId="57438"/>
    <cellStyle name="Нейтральный 114" xfId="57439"/>
    <cellStyle name="Нейтральный 115" xfId="57440"/>
    <cellStyle name="Нейтральный 116" xfId="57441"/>
    <cellStyle name="Нейтральный 117" xfId="57442"/>
    <cellStyle name="Нейтральный 118" xfId="57443"/>
    <cellStyle name="Нейтральный 119" xfId="57444"/>
    <cellStyle name="Нейтральный 12" xfId="57445"/>
    <cellStyle name="Нейтральный 120" xfId="57446"/>
    <cellStyle name="Нейтральный 121" xfId="57447"/>
    <cellStyle name="Нейтральный 122" xfId="57448"/>
    <cellStyle name="Нейтральный 123" xfId="57449"/>
    <cellStyle name="Нейтральный 124" xfId="57450"/>
    <cellStyle name="Нейтральный 125" xfId="57451"/>
    <cellStyle name="Нейтральный 126" xfId="57452"/>
    <cellStyle name="Нейтральный 127" xfId="57453"/>
    <cellStyle name="Нейтральный 128" xfId="57454"/>
    <cellStyle name="Нейтральный 129" xfId="57455"/>
    <cellStyle name="Нейтральный 13" xfId="57456"/>
    <cellStyle name="Нейтральный 130" xfId="57457"/>
    <cellStyle name="Нейтральный 131" xfId="57458"/>
    <cellStyle name="Нейтральный 132" xfId="57459"/>
    <cellStyle name="Нейтральный 133" xfId="57460"/>
    <cellStyle name="Нейтральный 134" xfId="57461"/>
    <cellStyle name="Нейтральный 135" xfId="57462"/>
    <cellStyle name="Нейтральный 136" xfId="57463"/>
    <cellStyle name="Нейтральный 137" xfId="57464"/>
    <cellStyle name="Нейтральный 138" xfId="57465"/>
    <cellStyle name="Нейтральный 139" xfId="57466"/>
    <cellStyle name="Нейтральный 14" xfId="57467"/>
    <cellStyle name="Нейтральный 140" xfId="57468"/>
    <cellStyle name="Нейтральный 141" xfId="57469"/>
    <cellStyle name="Нейтральный 142" xfId="57470"/>
    <cellStyle name="Нейтральный 143" xfId="57471"/>
    <cellStyle name="Нейтральный 144" xfId="57472"/>
    <cellStyle name="Нейтральный 145" xfId="57473"/>
    <cellStyle name="Нейтральный 146" xfId="57474"/>
    <cellStyle name="Нейтральный 147" xfId="57475"/>
    <cellStyle name="Нейтральный 148" xfId="57476"/>
    <cellStyle name="Нейтральный 149" xfId="57477"/>
    <cellStyle name="Нейтральный 15" xfId="57478"/>
    <cellStyle name="Нейтральный 150" xfId="57479"/>
    <cellStyle name="Нейтральный 151" xfId="57480"/>
    <cellStyle name="Нейтральный 152" xfId="57481"/>
    <cellStyle name="Нейтральный 153" xfId="57482"/>
    <cellStyle name="Нейтральный 16" xfId="57483"/>
    <cellStyle name="Нейтральный 17" xfId="57484"/>
    <cellStyle name="Нейтральный 18" xfId="57485"/>
    <cellStyle name="Нейтральный 19" xfId="57486"/>
    <cellStyle name="Нейтральный 2" xfId="57487"/>
    <cellStyle name="Нейтральный 2 2" xfId="57488"/>
    <cellStyle name="Нейтральный 2 2 10" xfId="57489"/>
    <cellStyle name="Нейтральный 2 2 11" xfId="57490"/>
    <cellStyle name="Нейтральный 2 2 12" xfId="57491"/>
    <cellStyle name="Нейтральный 2 2 13" xfId="57492"/>
    <cellStyle name="Нейтральный 2 2 2" xfId="57493"/>
    <cellStyle name="Нейтральный 2 2 3" xfId="57494"/>
    <cellStyle name="Нейтральный 2 2 4" xfId="57495"/>
    <cellStyle name="Нейтральный 2 2 5" xfId="57496"/>
    <cellStyle name="Нейтральный 2 2 6" xfId="57497"/>
    <cellStyle name="Нейтральный 2 2 7" xfId="57498"/>
    <cellStyle name="Нейтральный 2 2 8" xfId="57499"/>
    <cellStyle name="Нейтральный 2 2 9" xfId="57500"/>
    <cellStyle name="Нейтральный 2 3" xfId="57501"/>
    <cellStyle name="Нейтральный 20" xfId="57502"/>
    <cellStyle name="Нейтральный 21" xfId="57503"/>
    <cellStyle name="Нейтральный 22" xfId="57504"/>
    <cellStyle name="Нейтральный 23" xfId="57505"/>
    <cellStyle name="Нейтральный 24" xfId="57506"/>
    <cellStyle name="Нейтральный 25" xfId="57507"/>
    <cellStyle name="Нейтральный 26" xfId="57508"/>
    <cellStyle name="Нейтральный 27" xfId="57509"/>
    <cellStyle name="Нейтральный 28" xfId="57510"/>
    <cellStyle name="Нейтральный 29" xfId="57511"/>
    <cellStyle name="Нейтральный 3" xfId="57512"/>
    <cellStyle name="Нейтральный 30" xfId="57513"/>
    <cellStyle name="Нейтральный 31" xfId="57514"/>
    <cellStyle name="Нейтральный 32" xfId="57515"/>
    <cellStyle name="Нейтральный 33" xfId="57516"/>
    <cellStyle name="Нейтральный 34" xfId="57517"/>
    <cellStyle name="Нейтральный 35" xfId="57518"/>
    <cellStyle name="Нейтральный 36" xfId="57519"/>
    <cellStyle name="Нейтральный 37" xfId="57520"/>
    <cellStyle name="Нейтральный 38" xfId="57521"/>
    <cellStyle name="Нейтральный 39" xfId="57522"/>
    <cellStyle name="Нейтральный 4" xfId="57523"/>
    <cellStyle name="Нейтральный 40" xfId="57524"/>
    <cellStyle name="Нейтральный 41" xfId="57525"/>
    <cellStyle name="Нейтральный 42" xfId="57526"/>
    <cellStyle name="Нейтральный 43" xfId="57527"/>
    <cellStyle name="Нейтральный 44" xfId="57528"/>
    <cellStyle name="Нейтральный 45" xfId="57529"/>
    <cellStyle name="Нейтральный 46" xfId="57530"/>
    <cellStyle name="Нейтральный 47" xfId="57531"/>
    <cellStyle name="Нейтральный 48" xfId="57532"/>
    <cellStyle name="Нейтральный 49" xfId="57533"/>
    <cellStyle name="Нейтральный 5" xfId="57534"/>
    <cellStyle name="Нейтральный 50" xfId="57535"/>
    <cellStyle name="Нейтральный 51" xfId="57536"/>
    <cellStyle name="Нейтральный 52" xfId="57537"/>
    <cellStyle name="Нейтральный 53" xfId="57538"/>
    <cellStyle name="Нейтральный 54" xfId="57539"/>
    <cellStyle name="Нейтральный 55" xfId="57540"/>
    <cellStyle name="Нейтральный 56" xfId="57541"/>
    <cellStyle name="Нейтральный 57" xfId="57542"/>
    <cellStyle name="Нейтральный 58" xfId="57543"/>
    <cellStyle name="Нейтральный 59" xfId="57544"/>
    <cellStyle name="Нейтральный 6" xfId="57545"/>
    <cellStyle name="Нейтральный 60" xfId="57546"/>
    <cellStyle name="Нейтральный 61" xfId="57547"/>
    <cellStyle name="Нейтральный 62" xfId="57548"/>
    <cellStyle name="Нейтральный 63" xfId="57549"/>
    <cellStyle name="Нейтральный 64" xfId="57550"/>
    <cellStyle name="Нейтральный 65" xfId="57551"/>
    <cellStyle name="Нейтральный 66" xfId="57552"/>
    <cellStyle name="Нейтральный 67" xfId="57553"/>
    <cellStyle name="Нейтральный 68" xfId="57554"/>
    <cellStyle name="Нейтральный 69" xfId="57555"/>
    <cellStyle name="Нейтральный 7" xfId="57556"/>
    <cellStyle name="Нейтральный 70" xfId="57557"/>
    <cellStyle name="Нейтральный 71" xfId="57558"/>
    <cellStyle name="Нейтральный 72" xfId="57559"/>
    <cellStyle name="Нейтральный 73" xfId="57560"/>
    <cellStyle name="Нейтральный 74" xfId="57561"/>
    <cellStyle name="Нейтральный 75" xfId="57562"/>
    <cellStyle name="Нейтральный 76" xfId="57563"/>
    <cellStyle name="Нейтральный 77" xfId="57564"/>
    <cellStyle name="Нейтральный 78" xfId="57565"/>
    <cellStyle name="Нейтральный 79" xfId="57566"/>
    <cellStyle name="Нейтральный 8" xfId="57567"/>
    <cellStyle name="Нейтральный 80" xfId="57568"/>
    <cellStyle name="Нейтральный 81" xfId="57569"/>
    <cellStyle name="Нейтральный 82" xfId="57570"/>
    <cellStyle name="Нейтральный 83" xfId="57571"/>
    <cellStyle name="Нейтральный 84" xfId="57572"/>
    <cellStyle name="Нейтральный 85" xfId="57573"/>
    <cellStyle name="Нейтральный 86" xfId="57574"/>
    <cellStyle name="Нейтральный 87" xfId="57575"/>
    <cellStyle name="Нейтральный 88" xfId="57576"/>
    <cellStyle name="Нейтральный 89" xfId="57577"/>
    <cellStyle name="Нейтральный 9" xfId="57578"/>
    <cellStyle name="Нейтральный 90" xfId="57579"/>
    <cellStyle name="Нейтральный 91" xfId="57580"/>
    <cellStyle name="Нейтральный 92" xfId="57581"/>
    <cellStyle name="Нейтральный 93" xfId="57582"/>
    <cellStyle name="Нейтральный 94" xfId="57583"/>
    <cellStyle name="Нейтральный 95" xfId="57584"/>
    <cellStyle name="Нейтральный 96" xfId="57585"/>
    <cellStyle name="Нейтральный 97" xfId="57586"/>
    <cellStyle name="Нейтральный 98" xfId="57587"/>
    <cellStyle name="Нейтральный 99" xfId="57588"/>
    <cellStyle name="Обычный" xfId="0" builtinId="0"/>
    <cellStyle name="Обычный 10" xfId="57589"/>
    <cellStyle name="Обычный 10 10" xfId="57590"/>
    <cellStyle name="Обычный 10 10 10" xfId="61242"/>
    <cellStyle name="Обычный 10 10 10 2" xfId="61251"/>
    <cellStyle name="Обычный 10 10 2" xfId="57591"/>
    <cellStyle name="Обычный 10 10 2 2" xfId="57592"/>
    <cellStyle name="Обычный 10 10 2 3" xfId="57593"/>
    <cellStyle name="Обычный 10 10 3" xfId="57594"/>
    <cellStyle name="Обычный 10 10 3 2" xfId="57595"/>
    <cellStyle name="Обычный 10 10 3 3" xfId="60911"/>
    <cellStyle name="Обычный 10 10 3 3 2" xfId="61206"/>
    <cellStyle name="Обычный 10 10 3 3 3" xfId="61234"/>
    <cellStyle name="Обычный 10 10 4" xfId="57596"/>
    <cellStyle name="Обычный 10 10 5" xfId="57597"/>
    <cellStyle name="Обычный 10 10 6" xfId="57598"/>
    <cellStyle name="Обычный 10 10 7" xfId="61194"/>
    <cellStyle name="Обычный 10 10 8" xfId="61201"/>
    <cellStyle name="Обычный 10 10 9" xfId="61211"/>
    <cellStyle name="Обычный 10 10 9 2" xfId="61236"/>
    <cellStyle name="Обычный 10 11" xfId="57599"/>
    <cellStyle name="Обычный 10 11 2" xfId="57600"/>
    <cellStyle name="Обычный 10 11 2 2" xfId="57601"/>
    <cellStyle name="Обычный 10 11 2 3" xfId="57602"/>
    <cellStyle name="Обычный 10 11 3" xfId="57603"/>
    <cellStyle name="Обычный 10 11 3 2" xfId="57604"/>
    <cellStyle name="Обычный 10 11 3 3" xfId="60912"/>
    <cellStyle name="Обычный 10 11 4" xfId="57605"/>
    <cellStyle name="Обычный 10 11 5" xfId="57606"/>
    <cellStyle name="Обычный 10 12" xfId="57607"/>
    <cellStyle name="Обычный 10 12 2" xfId="57608"/>
    <cellStyle name="Обычный 10 12 2 2" xfId="57609"/>
    <cellStyle name="Обычный 10 12 2 3" xfId="57610"/>
    <cellStyle name="Обычный 10 12 3" xfId="57611"/>
    <cellStyle name="Обычный 10 12 3 2" xfId="57612"/>
    <cellStyle name="Обычный 10 12 3 3" xfId="60913"/>
    <cellStyle name="Обычный 10 12 4" xfId="57613"/>
    <cellStyle name="Обычный 10 12 5" xfId="57614"/>
    <cellStyle name="Обычный 10 13" xfId="57615"/>
    <cellStyle name="Обычный 10 13 2" xfId="57616"/>
    <cellStyle name="Обычный 10 13 2 2" xfId="57617"/>
    <cellStyle name="Обычный 10 13 2 3" xfId="57618"/>
    <cellStyle name="Обычный 10 13 3" xfId="57619"/>
    <cellStyle name="Обычный 10 13 3 2" xfId="57620"/>
    <cellStyle name="Обычный 10 13 3 3" xfId="60914"/>
    <cellStyle name="Обычный 10 13 4" xfId="57621"/>
    <cellStyle name="Обычный 10 13 5" xfId="57622"/>
    <cellStyle name="Обычный 10 14" xfId="57623"/>
    <cellStyle name="Обычный 10 14 2" xfId="57624"/>
    <cellStyle name="Обычный 10 14 2 2" xfId="57625"/>
    <cellStyle name="Обычный 10 14 2 3" xfId="57626"/>
    <cellStyle name="Обычный 10 14 3" xfId="57627"/>
    <cellStyle name="Обычный 10 14 3 2" xfId="57628"/>
    <cellStyle name="Обычный 10 14 3 3" xfId="60915"/>
    <cellStyle name="Обычный 10 14 4" xfId="57629"/>
    <cellStyle name="Обычный 10 14 5" xfId="57630"/>
    <cellStyle name="Обычный 10 15" xfId="57631"/>
    <cellStyle name="Обычный 10 15 2" xfId="57632"/>
    <cellStyle name="Обычный 10 15 2 2" xfId="57633"/>
    <cellStyle name="Обычный 10 15 2 3" xfId="57634"/>
    <cellStyle name="Обычный 10 15 3" xfId="57635"/>
    <cellStyle name="Обычный 10 15 3 2" xfId="57636"/>
    <cellStyle name="Обычный 10 15 3 3" xfId="60916"/>
    <cellStyle name="Обычный 10 15 4" xfId="57637"/>
    <cellStyle name="Обычный 10 15 5" xfId="57638"/>
    <cellStyle name="Обычный 10 16" xfId="57639"/>
    <cellStyle name="Обычный 10 16 2" xfId="57640"/>
    <cellStyle name="Обычный 10 16 2 2" xfId="57641"/>
    <cellStyle name="Обычный 10 16 2 3" xfId="57642"/>
    <cellStyle name="Обычный 10 16 3" xfId="57643"/>
    <cellStyle name="Обычный 10 16 3 2" xfId="57644"/>
    <cellStyle name="Обычный 10 16 3 3" xfId="60917"/>
    <cellStyle name="Обычный 10 16 4" xfId="57645"/>
    <cellStyle name="Обычный 10 16 5" xfId="57646"/>
    <cellStyle name="Обычный 10 17" xfId="57647"/>
    <cellStyle name="Обычный 10 17 2" xfId="57648"/>
    <cellStyle name="Обычный 10 17 2 2" xfId="57649"/>
    <cellStyle name="Обычный 10 17 2 3" xfId="57650"/>
    <cellStyle name="Обычный 10 17 3" xfId="57651"/>
    <cellStyle name="Обычный 10 17 3 2" xfId="57652"/>
    <cellStyle name="Обычный 10 17 3 3" xfId="60918"/>
    <cellStyle name="Обычный 10 17 4" xfId="57653"/>
    <cellStyle name="Обычный 10 17 5" xfId="57654"/>
    <cellStyle name="Обычный 10 18" xfId="57655"/>
    <cellStyle name="Обычный 10 18 2" xfId="57656"/>
    <cellStyle name="Обычный 10 18 3" xfId="57657"/>
    <cellStyle name="Обычный 10 19" xfId="57658"/>
    <cellStyle name="Обычный 10 19 2" xfId="57659"/>
    <cellStyle name="Обычный 10 19 3" xfId="60919"/>
    <cellStyle name="Обычный 10 2" xfId="13"/>
    <cellStyle name="Обычный 10 2 2" xfId="57660"/>
    <cellStyle name="Обычный 10 2 3" xfId="57661"/>
    <cellStyle name="Обычный 10 2 4" xfId="57662"/>
    <cellStyle name="Обычный 10 20" xfId="57663"/>
    <cellStyle name="Обычный 10 21" xfId="57664"/>
    <cellStyle name="Обычный 10 3" xfId="57665"/>
    <cellStyle name="Обычный 10 3 2" xfId="57666"/>
    <cellStyle name="Обычный 10 3 2 2" xfId="57667"/>
    <cellStyle name="Обычный 10 3 2 2 2" xfId="57668"/>
    <cellStyle name="Обычный 10 3 2 2 2 2" xfId="57669"/>
    <cellStyle name="Обычный 10 3 2 2 2 3" xfId="57670"/>
    <cellStyle name="Обычный 10 3 2 2 3" xfId="57671"/>
    <cellStyle name="Обычный 10 3 2 2 3 2" xfId="57672"/>
    <cellStyle name="Обычный 10 3 2 2 3 3" xfId="60920"/>
    <cellStyle name="Обычный 10 3 2 2 4" xfId="57673"/>
    <cellStyle name="Обычный 10 3 2 2 5" xfId="57674"/>
    <cellStyle name="Обычный 10 3 2 3" xfId="57675"/>
    <cellStyle name="Обычный 10 3 2 3 2" xfId="57676"/>
    <cellStyle name="Обычный 10 3 2 3 3" xfId="57677"/>
    <cellStyle name="Обычный 10 3 2 4" xfId="57678"/>
    <cellStyle name="Обычный 10 3 2 4 2" xfId="57679"/>
    <cellStyle name="Обычный 10 3 2 4 3" xfId="60921"/>
    <cellStyle name="Обычный 10 3 2 5" xfId="57680"/>
    <cellStyle name="Обычный 10 3 2 6" xfId="57681"/>
    <cellStyle name="Обычный 10 3 2_объемы 2018г111" xfId="60922"/>
    <cellStyle name="Обычный 10 3 3" xfId="57682"/>
    <cellStyle name="Обычный 10 3 3 2" xfId="57683"/>
    <cellStyle name="Обычный 10 3 3 2 2" xfId="57684"/>
    <cellStyle name="Обычный 10 3 3 2 3" xfId="57685"/>
    <cellStyle name="Обычный 10 3 3 3" xfId="57686"/>
    <cellStyle name="Обычный 10 3 3 3 2" xfId="57687"/>
    <cellStyle name="Обычный 10 3 3 3 3" xfId="60923"/>
    <cellStyle name="Обычный 10 3 3 4" xfId="57688"/>
    <cellStyle name="Обычный 10 3 3 5" xfId="57689"/>
    <cellStyle name="Обычный 10 3 4" xfId="57690"/>
    <cellStyle name="Обычный 10 3 4 2" xfId="57691"/>
    <cellStyle name="Обычный 10 3 4 3" xfId="57692"/>
    <cellStyle name="Обычный 10 3 5" xfId="57693"/>
    <cellStyle name="Обычный 10 3 5 2" xfId="57694"/>
    <cellStyle name="Обычный 10 3 5 3" xfId="60924"/>
    <cellStyle name="Обычный 10 3 6" xfId="57695"/>
    <cellStyle name="Обычный 10 3 7" xfId="57696"/>
    <cellStyle name="Обычный 10 3_объемы 2018г111" xfId="60925"/>
    <cellStyle name="Обычный 10 4" xfId="57697"/>
    <cellStyle name="Обычный 10 4 2" xfId="57698"/>
    <cellStyle name="Обычный 10 4 2 2" xfId="57699"/>
    <cellStyle name="Обычный 10 4 2 2 2" xfId="57700"/>
    <cellStyle name="Обычный 10 4 2 2 3" xfId="57701"/>
    <cellStyle name="Обычный 10 4 2 3" xfId="57702"/>
    <cellStyle name="Обычный 10 4 2 3 2" xfId="57703"/>
    <cellStyle name="Обычный 10 4 2 3 3" xfId="60926"/>
    <cellStyle name="Обычный 10 4 2 4" xfId="57704"/>
    <cellStyle name="Обычный 10 4 2 5" xfId="57705"/>
    <cellStyle name="Обычный 10 4 3" xfId="57706"/>
    <cellStyle name="Обычный 10 4 3 2" xfId="57707"/>
    <cellStyle name="Обычный 10 4 3 3" xfId="57708"/>
    <cellStyle name="Обычный 10 4 4" xfId="57709"/>
    <cellStyle name="Обычный 10 4 4 2" xfId="57710"/>
    <cellStyle name="Обычный 10 4 4 3" xfId="60927"/>
    <cellStyle name="Обычный 10 4 5" xfId="57711"/>
    <cellStyle name="Обычный 10 4 6" xfId="57712"/>
    <cellStyle name="Обычный 10 4_объемы 2018г111" xfId="60928"/>
    <cellStyle name="Обычный 10 5" xfId="57713"/>
    <cellStyle name="Обычный 10 5 2" xfId="57714"/>
    <cellStyle name="Обычный 10 5 2 2" xfId="57715"/>
    <cellStyle name="Обычный 10 5 2 3" xfId="57716"/>
    <cellStyle name="Обычный 10 5 3" xfId="57717"/>
    <cellStyle name="Обычный 10 5 3 2" xfId="57718"/>
    <cellStyle name="Обычный 10 5 3 3" xfId="60929"/>
    <cellStyle name="Обычный 10 5 4" xfId="57719"/>
    <cellStyle name="Обычный 10 5 5" xfId="57720"/>
    <cellStyle name="Обычный 10 6" xfId="57721"/>
    <cellStyle name="Обычный 10 6 2" xfId="57722"/>
    <cellStyle name="Обычный 10 6 2 2" xfId="57723"/>
    <cellStyle name="Обычный 10 6 2 3" xfId="57724"/>
    <cellStyle name="Обычный 10 6 3" xfId="57725"/>
    <cellStyle name="Обычный 10 6 3 2" xfId="57726"/>
    <cellStyle name="Обычный 10 6 3 3" xfId="60930"/>
    <cellStyle name="Обычный 10 6 4" xfId="57727"/>
    <cellStyle name="Обычный 10 6 5" xfId="57728"/>
    <cellStyle name="Обычный 10 7" xfId="57729"/>
    <cellStyle name="Обычный 10 7 2" xfId="57730"/>
    <cellStyle name="Обычный 10 7 2 2" xfId="57731"/>
    <cellStyle name="Обычный 10 7 2 3" xfId="57732"/>
    <cellStyle name="Обычный 10 7 3" xfId="57733"/>
    <cellStyle name="Обычный 10 7 3 2" xfId="57734"/>
    <cellStyle name="Обычный 10 7 3 3" xfId="60931"/>
    <cellStyle name="Обычный 10 7 4" xfId="57735"/>
    <cellStyle name="Обычный 10 7 5" xfId="57736"/>
    <cellStyle name="Обычный 10 8" xfId="57737"/>
    <cellStyle name="Обычный 10 8 2" xfId="57738"/>
    <cellStyle name="Обычный 10 8 2 2" xfId="57739"/>
    <cellStyle name="Обычный 10 8 2 3" xfId="57740"/>
    <cellStyle name="Обычный 10 8 3" xfId="57741"/>
    <cellStyle name="Обычный 10 8 3 2" xfId="57742"/>
    <cellStyle name="Обычный 10 8 3 3" xfId="60932"/>
    <cellStyle name="Обычный 10 8 4" xfId="57743"/>
    <cellStyle name="Обычный 10 8 5" xfId="57744"/>
    <cellStyle name="Обычный 10 9" xfId="57745"/>
    <cellStyle name="Обычный 10 9 2" xfId="57746"/>
    <cellStyle name="Обычный 10 9 2 2" xfId="57747"/>
    <cellStyle name="Обычный 10 9 2 3" xfId="57748"/>
    <cellStyle name="Обычный 10 9 3" xfId="57749"/>
    <cellStyle name="Обычный 10 9 3 2" xfId="57750"/>
    <cellStyle name="Обычный 10 9 3 3" xfId="60933"/>
    <cellStyle name="Обычный 10 9 4" xfId="57751"/>
    <cellStyle name="Обычный 10 9 5" xfId="57752"/>
    <cellStyle name="Обычный 10_объемы 2018г111" xfId="60934"/>
    <cellStyle name="Обычный 100" xfId="57753"/>
    <cellStyle name="Обычный 101" xfId="57754"/>
    <cellStyle name="Обычный 102" xfId="57755"/>
    <cellStyle name="Обычный 103" xfId="57756"/>
    <cellStyle name="Обычный 104" xfId="57757"/>
    <cellStyle name="Обычный 105" xfId="57758"/>
    <cellStyle name="Обычный 106" xfId="57759"/>
    <cellStyle name="Обычный 107" xfId="57760"/>
    <cellStyle name="Обычный 108" xfId="57761"/>
    <cellStyle name="Обычный 109" xfId="57762"/>
    <cellStyle name="Обычный 11" xfId="57763"/>
    <cellStyle name="Обычный 11 10" xfId="57764"/>
    <cellStyle name="Обычный 11 10 2" xfId="57765"/>
    <cellStyle name="Обычный 11 10 2 2" xfId="57766"/>
    <cellStyle name="Обычный 11 10 2 3" xfId="57767"/>
    <cellStyle name="Обычный 11 10 3" xfId="57768"/>
    <cellStyle name="Обычный 11 10 3 2" xfId="57769"/>
    <cellStyle name="Обычный 11 10 3 3" xfId="60935"/>
    <cellStyle name="Обычный 11 10 4" xfId="57770"/>
    <cellStyle name="Обычный 11 10 5" xfId="57771"/>
    <cellStyle name="Обычный 11 11" xfId="57772"/>
    <cellStyle name="Обычный 11 11 2" xfId="57773"/>
    <cellStyle name="Обычный 11 11 2 2" xfId="57774"/>
    <cellStyle name="Обычный 11 11 2 3" xfId="57775"/>
    <cellStyle name="Обычный 11 11 3" xfId="57776"/>
    <cellStyle name="Обычный 11 11 3 2" xfId="57777"/>
    <cellStyle name="Обычный 11 11 3 3" xfId="60936"/>
    <cellStyle name="Обычный 11 11 4" xfId="57778"/>
    <cellStyle name="Обычный 11 11 5" xfId="57779"/>
    <cellStyle name="Обычный 11 12" xfId="57780"/>
    <cellStyle name="Обычный 11 12 2" xfId="57781"/>
    <cellStyle name="Обычный 11 12 2 2" xfId="57782"/>
    <cellStyle name="Обычный 11 12 2 3" xfId="57783"/>
    <cellStyle name="Обычный 11 12 3" xfId="57784"/>
    <cellStyle name="Обычный 11 12 3 2" xfId="57785"/>
    <cellStyle name="Обычный 11 12 3 3" xfId="60937"/>
    <cellStyle name="Обычный 11 12 4" xfId="57786"/>
    <cellStyle name="Обычный 11 12 5" xfId="57787"/>
    <cellStyle name="Обычный 11 13" xfId="57788"/>
    <cellStyle name="Обычный 11 13 2" xfId="57789"/>
    <cellStyle name="Обычный 11 13 2 2" xfId="57790"/>
    <cellStyle name="Обычный 11 13 2 3" xfId="57791"/>
    <cellStyle name="Обычный 11 13 3" xfId="57792"/>
    <cellStyle name="Обычный 11 13 3 2" xfId="57793"/>
    <cellStyle name="Обычный 11 13 3 3" xfId="60938"/>
    <cellStyle name="Обычный 11 13 4" xfId="57794"/>
    <cellStyle name="Обычный 11 13 5" xfId="57795"/>
    <cellStyle name="Обычный 11 14" xfId="57796"/>
    <cellStyle name="Обычный 11 14 2" xfId="57797"/>
    <cellStyle name="Обычный 11 14 2 2" xfId="57798"/>
    <cellStyle name="Обычный 11 14 2 3" xfId="57799"/>
    <cellStyle name="Обычный 11 14 3" xfId="57800"/>
    <cellStyle name="Обычный 11 14 3 2" xfId="57801"/>
    <cellStyle name="Обычный 11 14 3 3" xfId="60939"/>
    <cellStyle name="Обычный 11 14 4" xfId="57802"/>
    <cellStyle name="Обычный 11 14 5" xfId="57803"/>
    <cellStyle name="Обычный 11 15" xfId="57804"/>
    <cellStyle name="Обычный 11 15 2" xfId="57805"/>
    <cellStyle name="Обычный 11 15 2 2" xfId="57806"/>
    <cellStyle name="Обычный 11 15 2 3" xfId="57807"/>
    <cellStyle name="Обычный 11 15 3" xfId="57808"/>
    <cellStyle name="Обычный 11 15 3 2" xfId="57809"/>
    <cellStyle name="Обычный 11 15 3 3" xfId="60940"/>
    <cellStyle name="Обычный 11 15 4" xfId="57810"/>
    <cellStyle name="Обычный 11 15 5" xfId="57811"/>
    <cellStyle name="Обычный 11 16" xfId="57812"/>
    <cellStyle name="Обычный 11 16 2" xfId="57813"/>
    <cellStyle name="Обычный 11 16 2 2" xfId="57814"/>
    <cellStyle name="Обычный 11 16 2 3" xfId="57815"/>
    <cellStyle name="Обычный 11 16 3" xfId="57816"/>
    <cellStyle name="Обычный 11 16 3 2" xfId="57817"/>
    <cellStyle name="Обычный 11 16 3 3" xfId="60941"/>
    <cellStyle name="Обычный 11 16 4" xfId="57818"/>
    <cellStyle name="Обычный 11 16 5" xfId="57819"/>
    <cellStyle name="Обычный 11 17" xfId="57820"/>
    <cellStyle name="Обычный 11 17 2" xfId="57821"/>
    <cellStyle name="Обычный 11 17 3" xfId="57822"/>
    <cellStyle name="Обычный 11 18" xfId="57823"/>
    <cellStyle name="Обычный 11 18 2" xfId="57824"/>
    <cellStyle name="Обычный 11 18 3" xfId="60942"/>
    <cellStyle name="Обычный 11 19" xfId="57825"/>
    <cellStyle name="Обычный 11 2" xfId="57826"/>
    <cellStyle name="Обычный 11 2 2" xfId="57827"/>
    <cellStyle name="Обычный 11 2 2 2" xfId="57828"/>
    <cellStyle name="Обычный 11 2 2 2 2" xfId="57829"/>
    <cellStyle name="Обычный 11 2 2 2 2 2" xfId="57830"/>
    <cellStyle name="Обычный 11 2 2 2 2 3" xfId="57831"/>
    <cellStyle name="Обычный 11 2 2 2 3" xfId="57832"/>
    <cellStyle name="Обычный 11 2 2 2 3 2" xfId="57833"/>
    <cellStyle name="Обычный 11 2 2 2 3 3" xfId="60943"/>
    <cellStyle name="Обычный 11 2 2 2 4" xfId="57834"/>
    <cellStyle name="Обычный 11 2 2 2 5" xfId="57835"/>
    <cellStyle name="Обычный 11 2 2 3" xfId="57836"/>
    <cellStyle name="Обычный 11 2 2 3 2" xfId="57837"/>
    <cellStyle name="Обычный 11 2 2 3 3" xfId="57838"/>
    <cellStyle name="Обычный 11 2 2 4" xfId="57839"/>
    <cellStyle name="Обычный 11 2 2 4 2" xfId="57840"/>
    <cellStyle name="Обычный 11 2 2 4 3" xfId="60944"/>
    <cellStyle name="Обычный 11 2 2 5" xfId="57841"/>
    <cellStyle name="Обычный 11 2 2 6" xfId="57842"/>
    <cellStyle name="Обычный 11 2 2_объемы 2018г111" xfId="60945"/>
    <cellStyle name="Обычный 11 2 3" xfId="57843"/>
    <cellStyle name="Обычный 11 2 3 2" xfId="57844"/>
    <cellStyle name="Обычный 11 2 3 2 2" xfId="57845"/>
    <cellStyle name="Обычный 11 2 3 2 3" xfId="57846"/>
    <cellStyle name="Обычный 11 2 3 3" xfId="57847"/>
    <cellStyle name="Обычный 11 2 3 3 2" xfId="57848"/>
    <cellStyle name="Обычный 11 2 3 3 3" xfId="60946"/>
    <cellStyle name="Обычный 11 2 3 4" xfId="57849"/>
    <cellStyle name="Обычный 11 2 3 5" xfId="57850"/>
    <cellStyle name="Обычный 11 2 4" xfId="57851"/>
    <cellStyle name="Обычный 11 2 4 2" xfId="57852"/>
    <cellStyle name="Обычный 11 2 4 3" xfId="57853"/>
    <cellStyle name="Обычный 11 2 5" xfId="57854"/>
    <cellStyle name="Обычный 11 2 5 2" xfId="57855"/>
    <cellStyle name="Обычный 11 2 5 3" xfId="60947"/>
    <cellStyle name="Обычный 11 2 6" xfId="57856"/>
    <cellStyle name="Обычный 11 2 7" xfId="57857"/>
    <cellStyle name="Обычный 11 2_объемы 2018г111" xfId="60948"/>
    <cellStyle name="Обычный 11 20" xfId="57858"/>
    <cellStyle name="Обычный 11 3" xfId="57859"/>
    <cellStyle name="Обычный 11 3 2" xfId="57860"/>
    <cellStyle name="Обычный 11 3 2 2" xfId="57861"/>
    <cellStyle name="Обычный 11 3 2 2 2" xfId="57862"/>
    <cellStyle name="Обычный 11 3 2 2 3" xfId="57863"/>
    <cellStyle name="Обычный 11 3 2 3" xfId="57864"/>
    <cellStyle name="Обычный 11 3 2 3 2" xfId="57865"/>
    <cellStyle name="Обычный 11 3 2 3 3" xfId="60949"/>
    <cellStyle name="Обычный 11 3 2 4" xfId="57866"/>
    <cellStyle name="Обычный 11 3 2 5" xfId="57867"/>
    <cellStyle name="Обычный 11 3 3" xfId="57868"/>
    <cellStyle name="Обычный 11 3 3 2" xfId="57869"/>
    <cellStyle name="Обычный 11 3 3 3" xfId="57870"/>
    <cellStyle name="Обычный 11 3 4" xfId="57871"/>
    <cellStyle name="Обычный 11 3 4 2" xfId="57872"/>
    <cellStyle name="Обычный 11 3 4 3" xfId="60950"/>
    <cellStyle name="Обычный 11 3 5" xfId="57873"/>
    <cellStyle name="Обычный 11 3 6" xfId="57874"/>
    <cellStyle name="Обычный 11 3_объемы 2018г111" xfId="60951"/>
    <cellStyle name="Обычный 11 4" xfId="57875"/>
    <cellStyle name="Обычный 11 4 2" xfId="57876"/>
    <cellStyle name="Обычный 11 4 2 2" xfId="57877"/>
    <cellStyle name="Обычный 11 4 2 3" xfId="57878"/>
    <cellStyle name="Обычный 11 4 3" xfId="57879"/>
    <cellStyle name="Обычный 11 4 3 2" xfId="57880"/>
    <cellStyle name="Обычный 11 4 3 3" xfId="60952"/>
    <cellStyle name="Обычный 11 4 4" xfId="57881"/>
    <cellStyle name="Обычный 11 4 5" xfId="57882"/>
    <cellStyle name="Обычный 11 5" xfId="57883"/>
    <cellStyle name="Обычный 11 5 2" xfId="57884"/>
    <cellStyle name="Обычный 11 5 2 2" xfId="57885"/>
    <cellStyle name="Обычный 11 5 2 3" xfId="57886"/>
    <cellStyle name="Обычный 11 5 3" xfId="57887"/>
    <cellStyle name="Обычный 11 5 3 2" xfId="57888"/>
    <cellStyle name="Обычный 11 5 3 3" xfId="60953"/>
    <cellStyle name="Обычный 11 5 4" xfId="57889"/>
    <cellStyle name="Обычный 11 5 5" xfId="57890"/>
    <cellStyle name="Обычный 11 6" xfId="57891"/>
    <cellStyle name="Обычный 11 6 2" xfId="57892"/>
    <cellStyle name="Обычный 11 6 2 2" xfId="57893"/>
    <cellStyle name="Обычный 11 6 2 3" xfId="57894"/>
    <cellStyle name="Обычный 11 6 3" xfId="57895"/>
    <cellStyle name="Обычный 11 6 3 2" xfId="57896"/>
    <cellStyle name="Обычный 11 6 3 3" xfId="60954"/>
    <cellStyle name="Обычный 11 6 4" xfId="57897"/>
    <cellStyle name="Обычный 11 6 5" xfId="57898"/>
    <cellStyle name="Обычный 11 7" xfId="57899"/>
    <cellStyle name="Обычный 11 7 2" xfId="57900"/>
    <cellStyle name="Обычный 11 7 2 2" xfId="57901"/>
    <cellStyle name="Обычный 11 7 2 3" xfId="57902"/>
    <cellStyle name="Обычный 11 7 3" xfId="57903"/>
    <cellStyle name="Обычный 11 7 3 2" xfId="57904"/>
    <cellStyle name="Обычный 11 7 3 3" xfId="60955"/>
    <cellStyle name="Обычный 11 7 4" xfId="57905"/>
    <cellStyle name="Обычный 11 7 5" xfId="57906"/>
    <cellStyle name="Обычный 11 8" xfId="57907"/>
    <cellStyle name="Обычный 11 8 2" xfId="57908"/>
    <cellStyle name="Обычный 11 8 2 2" xfId="57909"/>
    <cellStyle name="Обычный 11 8 2 3" xfId="57910"/>
    <cellStyle name="Обычный 11 8 3" xfId="57911"/>
    <cellStyle name="Обычный 11 8 3 2" xfId="57912"/>
    <cellStyle name="Обычный 11 8 3 3" xfId="60956"/>
    <cellStyle name="Обычный 11 8 4" xfId="57913"/>
    <cellStyle name="Обычный 11 8 5" xfId="57914"/>
    <cellStyle name="Обычный 11 9" xfId="57915"/>
    <cellStyle name="Обычный 11 9 2" xfId="57916"/>
    <cellStyle name="Обычный 11 9 2 2" xfId="57917"/>
    <cellStyle name="Обычный 11 9 2 3" xfId="57918"/>
    <cellStyle name="Обычный 11 9 3" xfId="57919"/>
    <cellStyle name="Обычный 11 9 3 2" xfId="57920"/>
    <cellStyle name="Обычный 11 9 3 3" xfId="60957"/>
    <cellStyle name="Обычный 11 9 4" xfId="57921"/>
    <cellStyle name="Обычный 11 9 5" xfId="57922"/>
    <cellStyle name="Обычный 11_объемы 2018г111" xfId="60958"/>
    <cellStyle name="Обычный 110" xfId="57923"/>
    <cellStyle name="Обычный 111" xfId="57924"/>
    <cellStyle name="Обычный 112" xfId="57925"/>
    <cellStyle name="Обычный 113" xfId="57926"/>
    <cellStyle name="Обычный 114" xfId="57927"/>
    <cellStyle name="Обычный 115" xfId="57928"/>
    <cellStyle name="Обычный 116" xfId="57929"/>
    <cellStyle name="Обычный 117" xfId="57930"/>
    <cellStyle name="Обычный 118" xfId="57931"/>
    <cellStyle name="Обычный 119" xfId="57932"/>
    <cellStyle name="Обычный 12" xfId="57933"/>
    <cellStyle name="Обычный 12 10" xfId="57934"/>
    <cellStyle name="Обычный 12 10 2" xfId="57935"/>
    <cellStyle name="Обычный 12 10 2 2" xfId="57936"/>
    <cellStyle name="Обычный 12 10 2 3" xfId="57937"/>
    <cellStyle name="Обычный 12 10 3" xfId="57938"/>
    <cellStyle name="Обычный 12 10 3 2" xfId="57939"/>
    <cellStyle name="Обычный 12 10 3 3" xfId="60959"/>
    <cellStyle name="Обычный 12 10 4" xfId="57940"/>
    <cellStyle name="Обычный 12 10 5" xfId="57941"/>
    <cellStyle name="Обычный 12 11" xfId="57942"/>
    <cellStyle name="Обычный 12 11 2" xfId="57943"/>
    <cellStyle name="Обычный 12 11 2 2" xfId="57944"/>
    <cellStyle name="Обычный 12 11 2 3" xfId="57945"/>
    <cellStyle name="Обычный 12 11 3" xfId="57946"/>
    <cellStyle name="Обычный 12 11 3 2" xfId="57947"/>
    <cellStyle name="Обычный 12 11 3 3" xfId="60960"/>
    <cellStyle name="Обычный 12 11 4" xfId="57948"/>
    <cellStyle name="Обычный 12 11 5" xfId="57949"/>
    <cellStyle name="Обычный 12 12" xfId="57950"/>
    <cellStyle name="Обычный 12 12 2" xfId="57951"/>
    <cellStyle name="Обычный 12 12 2 2" xfId="57952"/>
    <cellStyle name="Обычный 12 12 2 3" xfId="57953"/>
    <cellStyle name="Обычный 12 12 3" xfId="57954"/>
    <cellStyle name="Обычный 12 12 3 2" xfId="57955"/>
    <cellStyle name="Обычный 12 12 3 3" xfId="60961"/>
    <cellStyle name="Обычный 12 12 4" xfId="57956"/>
    <cellStyle name="Обычный 12 12 5" xfId="57957"/>
    <cellStyle name="Обычный 12 13" xfId="57958"/>
    <cellStyle name="Обычный 12 13 2" xfId="57959"/>
    <cellStyle name="Обычный 12 13 2 2" xfId="57960"/>
    <cellStyle name="Обычный 12 13 2 3" xfId="57961"/>
    <cellStyle name="Обычный 12 13 3" xfId="57962"/>
    <cellStyle name="Обычный 12 13 3 2" xfId="57963"/>
    <cellStyle name="Обычный 12 13 3 3" xfId="60962"/>
    <cellStyle name="Обычный 12 13 4" xfId="57964"/>
    <cellStyle name="Обычный 12 13 5" xfId="57965"/>
    <cellStyle name="Обычный 12 14" xfId="57966"/>
    <cellStyle name="Обычный 12 14 2" xfId="57967"/>
    <cellStyle name="Обычный 12 14 2 2" xfId="57968"/>
    <cellStyle name="Обычный 12 14 2 3" xfId="57969"/>
    <cellStyle name="Обычный 12 14 3" xfId="57970"/>
    <cellStyle name="Обычный 12 14 3 2" xfId="57971"/>
    <cellStyle name="Обычный 12 14 3 3" xfId="60963"/>
    <cellStyle name="Обычный 12 14 4" xfId="57972"/>
    <cellStyle name="Обычный 12 14 5" xfId="57973"/>
    <cellStyle name="Обычный 12 15" xfId="57974"/>
    <cellStyle name="Обычный 12 15 2" xfId="57975"/>
    <cellStyle name="Обычный 12 15 2 2" xfId="57976"/>
    <cellStyle name="Обычный 12 15 2 3" xfId="57977"/>
    <cellStyle name="Обычный 12 15 3" xfId="57978"/>
    <cellStyle name="Обычный 12 15 3 2" xfId="57979"/>
    <cellStyle name="Обычный 12 15 3 3" xfId="60964"/>
    <cellStyle name="Обычный 12 15 4" xfId="57980"/>
    <cellStyle name="Обычный 12 15 5" xfId="57981"/>
    <cellStyle name="Обычный 12 16" xfId="57982"/>
    <cellStyle name="Обычный 12 16 2" xfId="57983"/>
    <cellStyle name="Обычный 12 16 2 2" xfId="57984"/>
    <cellStyle name="Обычный 12 16 2 3" xfId="57985"/>
    <cellStyle name="Обычный 12 16 3" xfId="57986"/>
    <cellStyle name="Обычный 12 16 3 2" xfId="57987"/>
    <cellStyle name="Обычный 12 16 3 3" xfId="60965"/>
    <cellStyle name="Обычный 12 16 4" xfId="57988"/>
    <cellStyle name="Обычный 12 16 5" xfId="57989"/>
    <cellStyle name="Обычный 12 17" xfId="57990"/>
    <cellStyle name="Обычный 12 17 2" xfId="57991"/>
    <cellStyle name="Обычный 12 17 3" xfId="57992"/>
    <cellStyle name="Обычный 12 18" xfId="57993"/>
    <cellStyle name="Обычный 12 18 2" xfId="57994"/>
    <cellStyle name="Обычный 12 18 3" xfId="60966"/>
    <cellStyle name="Обычный 12 19" xfId="57995"/>
    <cellStyle name="Обычный 12 2" xfId="57996"/>
    <cellStyle name="Обычный 12 2 2" xfId="57997"/>
    <cellStyle name="Обычный 12 2 2 2" xfId="57998"/>
    <cellStyle name="Обычный 12 2 2 2 2" xfId="57999"/>
    <cellStyle name="Обычный 12 2 2 2 2 2" xfId="58000"/>
    <cellStyle name="Обычный 12 2 2 2 2 3" xfId="58001"/>
    <cellStyle name="Обычный 12 2 2 2 3" xfId="58002"/>
    <cellStyle name="Обычный 12 2 2 2 3 2" xfId="58003"/>
    <cellStyle name="Обычный 12 2 2 2 3 3" xfId="60967"/>
    <cellStyle name="Обычный 12 2 2 2 4" xfId="58004"/>
    <cellStyle name="Обычный 12 2 2 2 5" xfId="58005"/>
    <cellStyle name="Обычный 12 2 2 3" xfId="58006"/>
    <cellStyle name="Обычный 12 2 2 3 2" xfId="58007"/>
    <cellStyle name="Обычный 12 2 2 3 3" xfId="58008"/>
    <cellStyle name="Обычный 12 2 2 4" xfId="58009"/>
    <cellStyle name="Обычный 12 2 2 4 2" xfId="58010"/>
    <cellStyle name="Обычный 12 2 2 4 3" xfId="60968"/>
    <cellStyle name="Обычный 12 2 2 5" xfId="58011"/>
    <cellStyle name="Обычный 12 2 2 6" xfId="58012"/>
    <cellStyle name="Обычный 12 2 2_объемы 2018г111" xfId="60969"/>
    <cellStyle name="Обычный 12 2 3" xfId="58013"/>
    <cellStyle name="Обычный 12 2 3 2" xfId="58014"/>
    <cellStyle name="Обычный 12 2 3 2 2" xfId="58015"/>
    <cellStyle name="Обычный 12 2 3 2 3" xfId="58016"/>
    <cellStyle name="Обычный 12 2 3 3" xfId="58017"/>
    <cellStyle name="Обычный 12 2 3 3 2" xfId="58018"/>
    <cellStyle name="Обычный 12 2 3 3 3" xfId="60970"/>
    <cellStyle name="Обычный 12 2 3 4" xfId="58019"/>
    <cellStyle name="Обычный 12 2 3 5" xfId="58020"/>
    <cellStyle name="Обычный 12 2 4" xfId="58021"/>
    <cellStyle name="Обычный 12 2 4 2" xfId="58022"/>
    <cellStyle name="Обычный 12 2 4 3" xfId="58023"/>
    <cellStyle name="Обычный 12 2 5" xfId="58024"/>
    <cellStyle name="Обычный 12 2 5 2" xfId="58025"/>
    <cellStyle name="Обычный 12 2 5 3" xfId="60971"/>
    <cellStyle name="Обычный 12 2 6" xfId="58026"/>
    <cellStyle name="Обычный 12 2 7" xfId="58027"/>
    <cellStyle name="Обычный 12 2_объемы 2018г111" xfId="60972"/>
    <cellStyle name="Обычный 12 20" xfId="58028"/>
    <cellStyle name="Обычный 12 3" xfId="58029"/>
    <cellStyle name="Обычный 12 3 2" xfId="58030"/>
    <cellStyle name="Обычный 12 3 2 2" xfId="58031"/>
    <cellStyle name="Обычный 12 3 2 2 2" xfId="58032"/>
    <cellStyle name="Обычный 12 3 2 2 3" xfId="58033"/>
    <cellStyle name="Обычный 12 3 2 3" xfId="58034"/>
    <cellStyle name="Обычный 12 3 2 3 2" xfId="58035"/>
    <cellStyle name="Обычный 12 3 2 3 3" xfId="60973"/>
    <cellStyle name="Обычный 12 3 2 4" xfId="58036"/>
    <cellStyle name="Обычный 12 3 2 5" xfId="58037"/>
    <cellStyle name="Обычный 12 3 3" xfId="58038"/>
    <cellStyle name="Обычный 12 3 3 2" xfId="58039"/>
    <cellStyle name="Обычный 12 3 3 3" xfId="58040"/>
    <cellStyle name="Обычный 12 3 4" xfId="58041"/>
    <cellStyle name="Обычный 12 3 4 2" xfId="58042"/>
    <cellStyle name="Обычный 12 3 4 3" xfId="60974"/>
    <cellStyle name="Обычный 12 3 5" xfId="58043"/>
    <cellStyle name="Обычный 12 3 6" xfId="58044"/>
    <cellStyle name="Обычный 12 3_объемы 2018г111" xfId="60975"/>
    <cellStyle name="Обычный 12 4" xfId="58045"/>
    <cellStyle name="Обычный 12 4 2" xfId="58046"/>
    <cellStyle name="Обычный 12 4 2 2" xfId="58047"/>
    <cellStyle name="Обычный 12 4 2 3" xfId="58048"/>
    <cellStyle name="Обычный 12 4 3" xfId="58049"/>
    <cellStyle name="Обычный 12 4 3 2" xfId="58050"/>
    <cellStyle name="Обычный 12 4 3 3" xfId="60976"/>
    <cellStyle name="Обычный 12 4 4" xfId="58051"/>
    <cellStyle name="Обычный 12 4 5" xfId="58052"/>
    <cellStyle name="Обычный 12 5" xfId="58053"/>
    <cellStyle name="Обычный 12 5 2" xfId="58054"/>
    <cellStyle name="Обычный 12 5 2 2" xfId="58055"/>
    <cellStyle name="Обычный 12 5 2 3" xfId="58056"/>
    <cellStyle name="Обычный 12 5 3" xfId="58057"/>
    <cellStyle name="Обычный 12 5 3 2" xfId="58058"/>
    <cellStyle name="Обычный 12 5 3 3" xfId="60977"/>
    <cellStyle name="Обычный 12 5 4" xfId="58059"/>
    <cellStyle name="Обычный 12 5 5" xfId="58060"/>
    <cellStyle name="Обычный 12 6" xfId="58061"/>
    <cellStyle name="Обычный 12 6 2" xfId="58062"/>
    <cellStyle name="Обычный 12 6 2 2" xfId="58063"/>
    <cellStyle name="Обычный 12 6 2 3" xfId="58064"/>
    <cellStyle name="Обычный 12 6 3" xfId="58065"/>
    <cellStyle name="Обычный 12 6 3 2" xfId="58066"/>
    <cellStyle name="Обычный 12 6 3 3" xfId="60978"/>
    <cellStyle name="Обычный 12 6 4" xfId="58067"/>
    <cellStyle name="Обычный 12 6 5" xfId="58068"/>
    <cellStyle name="Обычный 12 7" xfId="58069"/>
    <cellStyle name="Обычный 12 7 2" xfId="58070"/>
    <cellStyle name="Обычный 12 7 2 2" xfId="58071"/>
    <cellStyle name="Обычный 12 7 2 3" xfId="58072"/>
    <cellStyle name="Обычный 12 7 3" xfId="58073"/>
    <cellStyle name="Обычный 12 7 3 2" xfId="58074"/>
    <cellStyle name="Обычный 12 7 3 3" xfId="60979"/>
    <cellStyle name="Обычный 12 7 4" xfId="58075"/>
    <cellStyle name="Обычный 12 7 5" xfId="58076"/>
    <cellStyle name="Обычный 12 8" xfId="58077"/>
    <cellStyle name="Обычный 12 8 2" xfId="58078"/>
    <cellStyle name="Обычный 12 8 2 2" xfId="58079"/>
    <cellStyle name="Обычный 12 8 2 3" xfId="58080"/>
    <cellStyle name="Обычный 12 8 3" xfId="58081"/>
    <cellStyle name="Обычный 12 8 3 2" xfId="58082"/>
    <cellStyle name="Обычный 12 8 3 3" xfId="60980"/>
    <cellStyle name="Обычный 12 8 4" xfId="58083"/>
    <cellStyle name="Обычный 12 8 5" xfId="58084"/>
    <cellStyle name="Обычный 12 9" xfId="58085"/>
    <cellStyle name="Обычный 12 9 2" xfId="58086"/>
    <cellStyle name="Обычный 12 9 2 2" xfId="58087"/>
    <cellStyle name="Обычный 12 9 2 3" xfId="58088"/>
    <cellStyle name="Обычный 12 9 3" xfId="58089"/>
    <cellStyle name="Обычный 12 9 3 2" xfId="58090"/>
    <cellStyle name="Обычный 12 9 3 3" xfId="60981"/>
    <cellStyle name="Обычный 12 9 4" xfId="58091"/>
    <cellStyle name="Обычный 12 9 5" xfId="58092"/>
    <cellStyle name="Обычный 12_объемы 2018г111" xfId="60982"/>
    <cellStyle name="Обычный 120" xfId="58093"/>
    <cellStyle name="Обычный 121" xfId="58094"/>
    <cellStyle name="Обычный 122" xfId="58095"/>
    <cellStyle name="Обычный 123" xfId="58096"/>
    <cellStyle name="Обычный 124" xfId="58097"/>
    <cellStyle name="Обычный 125" xfId="58098"/>
    <cellStyle name="Обычный 126" xfId="58099"/>
    <cellStyle name="Обычный 127" xfId="58100"/>
    <cellStyle name="Обычный 128" xfId="58101"/>
    <cellStyle name="Обычный 129" xfId="58102"/>
    <cellStyle name="Обычный 13" xfId="58103"/>
    <cellStyle name="Обычный 13 10" xfId="58104"/>
    <cellStyle name="Обычный 13 10 2" xfId="58105"/>
    <cellStyle name="Обычный 13 10 2 2" xfId="58106"/>
    <cellStyle name="Обычный 13 10 2 3" xfId="58107"/>
    <cellStyle name="Обычный 13 10 3" xfId="58108"/>
    <cellStyle name="Обычный 13 10 3 2" xfId="58109"/>
    <cellStyle name="Обычный 13 10 3 3" xfId="60983"/>
    <cellStyle name="Обычный 13 10 4" xfId="58110"/>
    <cellStyle name="Обычный 13 10 5" xfId="58111"/>
    <cellStyle name="Обычный 13 11" xfId="58112"/>
    <cellStyle name="Обычный 13 11 2" xfId="58113"/>
    <cellStyle name="Обычный 13 11 2 2" xfId="58114"/>
    <cellStyle name="Обычный 13 11 2 3" xfId="58115"/>
    <cellStyle name="Обычный 13 11 3" xfId="58116"/>
    <cellStyle name="Обычный 13 11 3 2" xfId="58117"/>
    <cellStyle name="Обычный 13 11 3 3" xfId="60984"/>
    <cellStyle name="Обычный 13 11 4" xfId="58118"/>
    <cellStyle name="Обычный 13 11 5" xfId="58119"/>
    <cellStyle name="Обычный 13 12" xfId="58120"/>
    <cellStyle name="Обычный 13 12 2" xfId="58121"/>
    <cellStyle name="Обычный 13 12 2 2" xfId="58122"/>
    <cellStyle name="Обычный 13 12 2 3" xfId="58123"/>
    <cellStyle name="Обычный 13 12 3" xfId="58124"/>
    <cellStyle name="Обычный 13 12 3 2" xfId="58125"/>
    <cellStyle name="Обычный 13 12 3 3" xfId="60985"/>
    <cellStyle name="Обычный 13 12 4" xfId="58126"/>
    <cellStyle name="Обычный 13 12 5" xfId="58127"/>
    <cellStyle name="Обычный 13 13" xfId="58128"/>
    <cellStyle name="Обычный 13 13 2" xfId="58129"/>
    <cellStyle name="Обычный 13 13 2 2" xfId="58130"/>
    <cellStyle name="Обычный 13 13 2 3" xfId="58131"/>
    <cellStyle name="Обычный 13 13 3" xfId="58132"/>
    <cellStyle name="Обычный 13 13 3 2" xfId="58133"/>
    <cellStyle name="Обычный 13 13 3 3" xfId="60986"/>
    <cellStyle name="Обычный 13 13 4" xfId="58134"/>
    <cellStyle name="Обычный 13 13 5" xfId="58135"/>
    <cellStyle name="Обычный 13 14" xfId="58136"/>
    <cellStyle name="Обычный 13 14 2" xfId="58137"/>
    <cellStyle name="Обычный 13 14 2 2" xfId="58138"/>
    <cellStyle name="Обычный 13 14 2 3" xfId="58139"/>
    <cellStyle name="Обычный 13 14 3" xfId="58140"/>
    <cellStyle name="Обычный 13 14 3 2" xfId="58141"/>
    <cellStyle name="Обычный 13 14 3 3" xfId="60987"/>
    <cellStyle name="Обычный 13 14 4" xfId="58142"/>
    <cellStyle name="Обычный 13 14 5" xfId="58143"/>
    <cellStyle name="Обычный 13 15" xfId="58144"/>
    <cellStyle name="Обычный 13 15 2" xfId="58145"/>
    <cellStyle name="Обычный 13 15 2 2" xfId="58146"/>
    <cellStyle name="Обычный 13 15 2 3" xfId="58147"/>
    <cellStyle name="Обычный 13 15 3" xfId="58148"/>
    <cellStyle name="Обычный 13 15 3 2" xfId="58149"/>
    <cellStyle name="Обычный 13 15 3 3" xfId="60988"/>
    <cellStyle name="Обычный 13 15 4" xfId="58150"/>
    <cellStyle name="Обычный 13 15 5" xfId="58151"/>
    <cellStyle name="Обычный 13 16" xfId="58152"/>
    <cellStyle name="Обычный 13 16 2" xfId="58153"/>
    <cellStyle name="Обычный 13 16 2 2" xfId="58154"/>
    <cellStyle name="Обычный 13 16 2 3" xfId="58155"/>
    <cellStyle name="Обычный 13 16 3" xfId="58156"/>
    <cellStyle name="Обычный 13 16 3 2" xfId="58157"/>
    <cellStyle name="Обычный 13 16 3 3" xfId="60989"/>
    <cellStyle name="Обычный 13 16 4" xfId="58158"/>
    <cellStyle name="Обычный 13 16 5" xfId="58159"/>
    <cellStyle name="Обычный 13 17" xfId="58160"/>
    <cellStyle name="Обычный 13 17 2" xfId="58161"/>
    <cellStyle name="Обычный 13 17 3" xfId="58162"/>
    <cellStyle name="Обычный 13 18" xfId="58163"/>
    <cellStyle name="Обычный 13 18 2" xfId="58164"/>
    <cellStyle name="Обычный 13 18 3" xfId="60990"/>
    <cellStyle name="Обычный 13 19" xfId="58165"/>
    <cellStyle name="Обычный 13 2" xfId="58166"/>
    <cellStyle name="Обычный 13 2 2" xfId="58167"/>
    <cellStyle name="Обычный 13 2 2 2" xfId="58168"/>
    <cellStyle name="Обычный 13 2 2 2 2" xfId="58169"/>
    <cellStyle name="Обычный 13 2 2 2 2 2" xfId="58170"/>
    <cellStyle name="Обычный 13 2 2 2 2 3" xfId="58171"/>
    <cellStyle name="Обычный 13 2 2 2 3" xfId="58172"/>
    <cellStyle name="Обычный 13 2 2 2 3 2" xfId="58173"/>
    <cellStyle name="Обычный 13 2 2 2 3 3" xfId="60991"/>
    <cellStyle name="Обычный 13 2 2 2 4" xfId="58174"/>
    <cellStyle name="Обычный 13 2 2 2 5" xfId="58175"/>
    <cellStyle name="Обычный 13 2 2 3" xfId="58176"/>
    <cellStyle name="Обычный 13 2 2 3 2" xfId="58177"/>
    <cellStyle name="Обычный 13 2 2 3 3" xfId="58178"/>
    <cellStyle name="Обычный 13 2 2 4" xfId="58179"/>
    <cellStyle name="Обычный 13 2 2 4 2" xfId="58180"/>
    <cellStyle name="Обычный 13 2 2 4 3" xfId="60992"/>
    <cellStyle name="Обычный 13 2 2 5" xfId="58181"/>
    <cellStyle name="Обычный 13 2 2 6" xfId="58182"/>
    <cellStyle name="Обычный 13 2 2_объемы 2018г111" xfId="60993"/>
    <cellStyle name="Обычный 13 2 3" xfId="58183"/>
    <cellStyle name="Обычный 13 2 3 2" xfId="58184"/>
    <cellStyle name="Обычный 13 2 3 2 2" xfId="58185"/>
    <cellStyle name="Обычный 13 2 3 2 3" xfId="58186"/>
    <cellStyle name="Обычный 13 2 3 3" xfId="58187"/>
    <cellStyle name="Обычный 13 2 3 3 2" xfId="58188"/>
    <cellStyle name="Обычный 13 2 3 3 3" xfId="60994"/>
    <cellStyle name="Обычный 13 2 3 4" xfId="58189"/>
    <cellStyle name="Обычный 13 2 3 5" xfId="58190"/>
    <cellStyle name="Обычный 13 2 4" xfId="58191"/>
    <cellStyle name="Обычный 13 2 4 2" xfId="58192"/>
    <cellStyle name="Обычный 13 2 4 3" xfId="58193"/>
    <cellStyle name="Обычный 13 2 5" xfId="58194"/>
    <cellStyle name="Обычный 13 2 5 2" xfId="58195"/>
    <cellStyle name="Обычный 13 2 5 3" xfId="60995"/>
    <cellStyle name="Обычный 13 2 6" xfId="58196"/>
    <cellStyle name="Обычный 13 2 7" xfId="58197"/>
    <cellStyle name="Обычный 13 2_объемы 2018г111" xfId="60996"/>
    <cellStyle name="Обычный 13 20" xfId="58198"/>
    <cellStyle name="Обычный 13 3" xfId="58199"/>
    <cellStyle name="Обычный 13 3 2" xfId="58200"/>
    <cellStyle name="Обычный 13 3 2 2" xfId="58201"/>
    <cellStyle name="Обычный 13 3 2 2 2" xfId="58202"/>
    <cellStyle name="Обычный 13 3 2 2 3" xfId="58203"/>
    <cellStyle name="Обычный 13 3 2 3" xfId="58204"/>
    <cellStyle name="Обычный 13 3 2 3 2" xfId="58205"/>
    <cellStyle name="Обычный 13 3 2 3 3" xfId="60997"/>
    <cellStyle name="Обычный 13 3 2 4" xfId="58206"/>
    <cellStyle name="Обычный 13 3 2 5" xfId="58207"/>
    <cellStyle name="Обычный 13 3 3" xfId="58208"/>
    <cellStyle name="Обычный 13 3 3 2" xfId="58209"/>
    <cellStyle name="Обычный 13 3 3 3" xfId="58210"/>
    <cellStyle name="Обычный 13 3 4" xfId="58211"/>
    <cellStyle name="Обычный 13 3 4 2" xfId="58212"/>
    <cellStyle name="Обычный 13 3 4 3" xfId="60998"/>
    <cellStyle name="Обычный 13 3 5" xfId="58213"/>
    <cellStyle name="Обычный 13 3 6" xfId="58214"/>
    <cellStyle name="Обычный 13 3_объемы 2018г111" xfId="60999"/>
    <cellStyle name="Обычный 13 4" xfId="58215"/>
    <cellStyle name="Обычный 13 4 2" xfId="58216"/>
    <cellStyle name="Обычный 13 4 2 2" xfId="58217"/>
    <cellStyle name="Обычный 13 4 2 3" xfId="58218"/>
    <cellStyle name="Обычный 13 4 3" xfId="58219"/>
    <cellStyle name="Обычный 13 4 3 2" xfId="58220"/>
    <cellStyle name="Обычный 13 4 3 3" xfId="61000"/>
    <cellStyle name="Обычный 13 4 4" xfId="58221"/>
    <cellStyle name="Обычный 13 4 5" xfId="58222"/>
    <cellStyle name="Обычный 13 5" xfId="58223"/>
    <cellStyle name="Обычный 13 5 2" xfId="58224"/>
    <cellStyle name="Обычный 13 5 2 2" xfId="58225"/>
    <cellStyle name="Обычный 13 5 2 3" xfId="58226"/>
    <cellStyle name="Обычный 13 5 3" xfId="58227"/>
    <cellStyle name="Обычный 13 5 3 2" xfId="58228"/>
    <cellStyle name="Обычный 13 5 3 3" xfId="61001"/>
    <cellStyle name="Обычный 13 5 4" xfId="58229"/>
    <cellStyle name="Обычный 13 5 5" xfId="58230"/>
    <cellStyle name="Обычный 13 6" xfId="58231"/>
    <cellStyle name="Обычный 13 6 2" xfId="58232"/>
    <cellStyle name="Обычный 13 6 2 2" xfId="58233"/>
    <cellStyle name="Обычный 13 6 2 3" xfId="58234"/>
    <cellStyle name="Обычный 13 6 3" xfId="58235"/>
    <cellStyle name="Обычный 13 6 3 2" xfId="58236"/>
    <cellStyle name="Обычный 13 6 3 3" xfId="61002"/>
    <cellStyle name="Обычный 13 6 4" xfId="58237"/>
    <cellStyle name="Обычный 13 6 5" xfId="58238"/>
    <cellStyle name="Обычный 13 7" xfId="58239"/>
    <cellStyle name="Обычный 13 7 2" xfId="58240"/>
    <cellStyle name="Обычный 13 7 2 2" xfId="58241"/>
    <cellStyle name="Обычный 13 7 2 3" xfId="58242"/>
    <cellStyle name="Обычный 13 7 3" xfId="58243"/>
    <cellStyle name="Обычный 13 7 3 2" xfId="58244"/>
    <cellStyle name="Обычный 13 7 3 3" xfId="61003"/>
    <cellStyle name="Обычный 13 7 4" xfId="58245"/>
    <cellStyle name="Обычный 13 7 5" xfId="58246"/>
    <cellStyle name="Обычный 13 8" xfId="58247"/>
    <cellStyle name="Обычный 13 8 2" xfId="58248"/>
    <cellStyle name="Обычный 13 8 2 2" xfId="58249"/>
    <cellStyle name="Обычный 13 8 2 3" xfId="58250"/>
    <cellStyle name="Обычный 13 8 3" xfId="58251"/>
    <cellStyle name="Обычный 13 8 3 2" xfId="58252"/>
    <cellStyle name="Обычный 13 8 3 3" xfId="61004"/>
    <cellStyle name="Обычный 13 8 4" xfId="58253"/>
    <cellStyle name="Обычный 13 8 5" xfId="58254"/>
    <cellStyle name="Обычный 13 9" xfId="58255"/>
    <cellStyle name="Обычный 13 9 2" xfId="58256"/>
    <cellStyle name="Обычный 13 9 2 2" xfId="58257"/>
    <cellStyle name="Обычный 13 9 2 3" xfId="58258"/>
    <cellStyle name="Обычный 13 9 3" xfId="58259"/>
    <cellStyle name="Обычный 13 9 3 2" xfId="58260"/>
    <cellStyle name="Обычный 13 9 3 3" xfId="61005"/>
    <cellStyle name="Обычный 13 9 4" xfId="58261"/>
    <cellStyle name="Обычный 13 9 5" xfId="58262"/>
    <cellStyle name="Обычный 13_объемы 2018г111" xfId="61006"/>
    <cellStyle name="Обычный 130" xfId="58263"/>
    <cellStyle name="Обычный 131" xfId="58264"/>
    <cellStyle name="Обычный 132" xfId="58265"/>
    <cellStyle name="Обычный 133" xfId="58266"/>
    <cellStyle name="Обычный 134" xfId="58267"/>
    <cellStyle name="Обычный 135" xfId="58268"/>
    <cellStyle name="Обычный 136" xfId="58269"/>
    <cellStyle name="Обычный 137" xfId="58270"/>
    <cellStyle name="Обычный 138" xfId="58271"/>
    <cellStyle name="Обычный 139" xfId="58272"/>
    <cellStyle name="Обычный 14" xfId="58273"/>
    <cellStyle name="Обычный 14 10" xfId="58274"/>
    <cellStyle name="Обычный 14 10 2" xfId="58275"/>
    <cellStyle name="Обычный 14 10 2 2" xfId="58276"/>
    <cellStyle name="Обычный 14 10 2 3" xfId="58277"/>
    <cellStyle name="Обычный 14 10 3" xfId="58278"/>
    <cellStyle name="Обычный 14 10 3 2" xfId="58279"/>
    <cellStyle name="Обычный 14 10 3 3" xfId="61007"/>
    <cellStyle name="Обычный 14 10 4" xfId="58280"/>
    <cellStyle name="Обычный 14 10 5" xfId="58281"/>
    <cellStyle name="Обычный 14 11" xfId="58282"/>
    <cellStyle name="Обычный 14 11 2" xfId="58283"/>
    <cellStyle name="Обычный 14 11 2 2" xfId="58284"/>
    <cellStyle name="Обычный 14 11 2 3" xfId="58285"/>
    <cellStyle name="Обычный 14 11 3" xfId="58286"/>
    <cellStyle name="Обычный 14 11 3 2" xfId="58287"/>
    <cellStyle name="Обычный 14 11 3 3" xfId="61008"/>
    <cellStyle name="Обычный 14 11 4" xfId="58288"/>
    <cellStyle name="Обычный 14 11 5" xfId="58289"/>
    <cellStyle name="Обычный 14 12" xfId="58290"/>
    <cellStyle name="Обычный 14 12 2" xfId="58291"/>
    <cellStyle name="Обычный 14 12 2 2" xfId="58292"/>
    <cellStyle name="Обычный 14 12 2 3" xfId="58293"/>
    <cellStyle name="Обычный 14 12 3" xfId="58294"/>
    <cellStyle name="Обычный 14 12 3 2" xfId="58295"/>
    <cellStyle name="Обычный 14 12 3 3" xfId="61009"/>
    <cellStyle name="Обычный 14 12 4" xfId="58296"/>
    <cellStyle name="Обычный 14 12 5" xfId="58297"/>
    <cellStyle name="Обычный 14 13" xfId="58298"/>
    <cellStyle name="Обычный 14 13 2" xfId="58299"/>
    <cellStyle name="Обычный 14 13 2 2" xfId="58300"/>
    <cellStyle name="Обычный 14 13 2 3" xfId="58301"/>
    <cellStyle name="Обычный 14 13 3" xfId="58302"/>
    <cellStyle name="Обычный 14 13 3 2" xfId="58303"/>
    <cellStyle name="Обычный 14 13 3 3" xfId="61010"/>
    <cellStyle name="Обычный 14 13 4" xfId="58304"/>
    <cellStyle name="Обычный 14 13 5" xfId="58305"/>
    <cellStyle name="Обычный 14 14" xfId="58306"/>
    <cellStyle name="Обычный 14 14 2" xfId="58307"/>
    <cellStyle name="Обычный 14 14 2 2" xfId="58308"/>
    <cellStyle name="Обычный 14 14 2 3" xfId="58309"/>
    <cellStyle name="Обычный 14 14 3" xfId="58310"/>
    <cellStyle name="Обычный 14 14 3 2" xfId="58311"/>
    <cellStyle name="Обычный 14 14 3 3" xfId="61011"/>
    <cellStyle name="Обычный 14 14 4" xfId="58312"/>
    <cellStyle name="Обычный 14 14 5" xfId="58313"/>
    <cellStyle name="Обычный 14 15" xfId="58314"/>
    <cellStyle name="Обычный 14 15 2" xfId="58315"/>
    <cellStyle name="Обычный 14 15 2 2" xfId="58316"/>
    <cellStyle name="Обычный 14 15 2 3" xfId="58317"/>
    <cellStyle name="Обычный 14 15 3" xfId="58318"/>
    <cellStyle name="Обычный 14 15 3 2" xfId="58319"/>
    <cellStyle name="Обычный 14 15 3 3" xfId="61012"/>
    <cellStyle name="Обычный 14 15 4" xfId="58320"/>
    <cellStyle name="Обычный 14 15 5" xfId="58321"/>
    <cellStyle name="Обычный 14 16" xfId="58322"/>
    <cellStyle name="Обычный 14 16 2" xfId="58323"/>
    <cellStyle name="Обычный 14 16 2 2" xfId="58324"/>
    <cellStyle name="Обычный 14 16 2 3" xfId="58325"/>
    <cellStyle name="Обычный 14 16 3" xfId="58326"/>
    <cellStyle name="Обычный 14 16 3 2" xfId="58327"/>
    <cellStyle name="Обычный 14 16 3 3" xfId="61013"/>
    <cellStyle name="Обычный 14 16 4" xfId="58328"/>
    <cellStyle name="Обычный 14 16 5" xfId="58329"/>
    <cellStyle name="Обычный 14 17" xfId="58330"/>
    <cellStyle name="Обычный 14 17 2" xfId="58331"/>
    <cellStyle name="Обычный 14 17 3" xfId="58332"/>
    <cellStyle name="Обычный 14 18" xfId="58333"/>
    <cellStyle name="Обычный 14 18 2" xfId="58334"/>
    <cellStyle name="Обычный 14 18 3" xfId="61014"/>
    <cellStyle name="Обычный 14 19" xfId="58335"/>
    <cellStyle name="Обычный 14 2" xfId="58336"/>
    <cellStyle name="Обычный 14 2 2" xfId="58337"/>
    <cellStyle name="Обычный 14 2 2 2" xfId="58338"/>
    <cellStyle name="Обычный 14 2 2 2 2" xfId="58339"/>
    <cellStyle name="Обычный 14 2 2 2 2 2" xfId="58340"/>
    <cellStyle name="Обычный 14 2 2 2 2 3" xfId="58341"/>
    <cellStyle name="Обычный 14 2 2 2 3" xfId="58342"/>
    <cellStyle name="Обычный 14 2 2 2 3 2" xfId="58343"/>
    <cellStyle name="Обычный 14 2 2 2 3 3" xfId="61015"/>
    <cellStyle name="Обычный 14 2 2 2 4" xfId="58344"/>
    <cellStyle name="Обычный 14 2 2 2 5" xfId="58345"/>
    <cellStyle name="Обычный 14 2 2 3" xfId="58346"/>
    <cellStyle name="Обычный 14 2 2 3 2" xfId="58347"/>
    <cellStyle name="Обычный 14 2 2 3 3" xfId="58348"/>
    <cellStyle name="Обычный 14 2 2 4" xfId="58349"/>
    <cellStyle name="Обычный 14 2 2 4 2" xfId="58350"/>
    <cellStyle name="Обычный 14 2 2 4 3" xfId="61016"/>
    <cellStyle name="Обычный 14 2 2 5" xfId="58351"/>
    <cellStyle name="Обычный 14 2 2 6" xfId="58352"/>
    <cellStyle name="Обычный 14 2 2_объемы 2018г111" xfId="61017"/>
    <cellStyle name="Обычный 14 2 3" xfId="58353"/>
    <cellStyle name="Обычный 14 2 3 2" xfId="58354"/>
    <cellStyle name="Обычный 14 2 3 2 2" xfId="58355"/>
    <cellStyle name="Обычный 14 2 3 2 3" xfId="58356"/>
    <cellStyle name="Обычный 14 2 3 3" xfId="58357"/>
    <cellStyle name="Обычный 14 2 3 3 2" xfId="58358"/>
    <cellStyle name="Обычный 14 2 3 3 3" xfId="61018"/>
    <cellStyle name="Обычный 14 2 3 4" xfId="58359"/>
    <cellStyle name="Обычный 14 2 3 5" xfId="58360"/>
    <cellStyle name="Обычный 14 2 4" xfId="58361"/>
    <cellStyle name="Обычный 14 2 4 2" xfId="58362"/>
    <cellStyle name="Обычный 14 2 4 3" xfId="58363"/>
    <cellStyle name="Обычный 14 2 5" xfId="58364"/>
    <cellStyle name="Обычный 14 2 5 2" xfId="58365"/>
    <cellStyle name="Обычный 14 2 5 3" xfId="61019"/>
    <cellStyle name="Обычный 14 2 6" xfId="58366"/>
    <cellStyle name="Обычный 14 2 7" xfId="58367"/>
    <cellStyle name="Обычный 14 2_объемы 2018г111" xfId="61020"/>
    <cellStyle name="Обычный 14 20" xfId="58368"/>
    <cellStyle name="Обычный 14 3" xfId="58369"/>
    <cellStyle name="Обычный 14 3 2" xfId="58370"/>
    <cellStyle name="Обычный 14 3 2 2" xfId="58371"/>
    <cellStyle name="Обычный 14 3 2 2 2" xfId="58372"/>
    <cellStyle name="Обычный 14 3 2 2 3" xfId="58373"/>
    <cellStyle name="Обычный 14 3 2 3" xfId="58374"/>
    <cellStyle name="Обычный 14 3 2 3 2" xfId="58375"/>
    <cellStyle name="Обычный 14 3 2 3 3" xfId="61021"/>
    <cellStyle name="Обычный 14 3 2 4" xfId="58376"/>
    <cellStyle name="Обычный 14 3 2 5" xfId="58377"/>
    <cellStyle name="Обычный 14 3 3" xfId="58378"/>
    <cellStyle name="Обычный 14 3 3 2" xfId="58379"/>
    <cellStyle name="Обычный 14 3 3 3" xfId="58380"/>
    <cellStyle name="Обычный 14 3 4" xfId="58381"/>
    <cellStyle name="Обычный 14 3 4 2" xfId="58382"/>
    <cellStyle name="Обычный 14 3 4 3" xfId="61022"/>
    <cellStyle name="Обычный 14 3 5" xfId="58383"/>
    <cellStyle name="Обычный 14 3 6" xfId="58384"/>
    <cellStyle name="Обычный 14 3_объемы 2018г111" xfId="61023"/>
    <cellStyle name="Обычный 14 4" xfId="58385"/>
    <cellStyle name="Обычный 14 4 2" xfId="58386"/>
    <cellStyle name="Обычный 14 4 2 2" xfId="58387"/>
    <cellStyle name="Обычный 14 4 2 3" xfId="58388"/>
    <cellStyle name="Обычный 14 4 3" xfId="58389"/>
    <cellStyle name="Обычный 14 4 3 2" xfId="58390"/>
    <cellStyle name="Обычный 14 4 3 3" xfId="61024"/>
    <cellStyle name="Обычный 14 4 4" xfId="58391"/>
    <cellStyle name="Обычный 14 4 5" xfId="58392"/>
    <cellStyle name="Обычный 14 5" xfId="58393"/>
    <cellStyle name="Обычный 14 5 2" xfId="58394"/>
    <cellStyle name="Обычный 14 5 2 2" xfId="58395"/>
    <cellStyle name="Обычный 14 5 2 3" xfId="58396"/>
    <cellStyle name="Обычный 14 5 3" xfId="58397"/>
    <cellStyle name="Обычный 14 5 3 2" xfId="58398"/>
    <cellStyle name="Обычный 14 5 3 3" xfId="61025"/>
    <cellStyle name="Обычный 14 5 4" xfId="58399"/>
    <cellStyle name="Обычный 14 5 5" xfId="58400"/>
    <cellStyle name="Обычный 14 6" xfId="58401"/>
    <cellStyle name="Обычный 14 6 2" xfId="58402"/>
    <cellStyle name="Обычный 14 6 2 2" xfId="58403"/>
    <cellStyle name="Обычный 14 6 2 3" xfId="58404"/>
    <cellStyle name="Обычный 14 6 3" xfId="58405"/>
    <cellStyle name="Обычный 14 6 3 2" xfId="58406"/>
    <cellStyle name="Обычный 14 6 3 3" xfId="61026"/>
    <cellStyle name="Обычный 14 6 4" xfId="58407"/>
    <cellStyle name="Обычный 14 6 5" xfId="58408"/>
    <cellStyle name="Обычный 14 7" xfId="58409"/>
    <cellStyle name="Обычный 14 7 2" xfId="58410"/>
    <cellStyle name="Обычный 14 7 2 2" xfId="58411"/>
    <cellStyle name="Обычный 14 7 2 3" xfId="58412"/>
    <cellStyle name="Обычный 14 7 3" xfId="58413"/>
    <cellStyle name="Обычный 14 7 3 2" xfId="58414"/>
    <cellStyle name="Обычный 14 7 3 3" xfId="61027"/>
    <cellStyle name="Обычный 14 7 4" xfId="58415"/>
    <cellStyle name="Обычный 14 7 5" xfId="58416"/>
    <cellStyle name="Обычный 14 8" xfId="58417"/>
    <cellStyle name="Обычный 14 8 2" xfId="58418"/>
    <cellStyle name="Обычный 14 8 2 2" xfId="58419"/>
    <cellStyle name="Обычный 14 8 2 3" xfId="58420"/>
    <cellStyle name="Обычный 14 8 3" xfId="58421"/>
    <cellStyle name="Обычный 14 8 3 2" xfId="58422"/>
    <cellStyle name="Обычный 14 8 3 3" xfId="61028"/>
    <cellStyle name="Обычный 14 8 4" xfId="58423"/>
    <cellStyle name="Обычный 14 8 5" xfId="58424"/>
    <cellStyle name="Обычный 14 9" xfId="58425"/>
    <cellStyle name="Обычный 14 9 2" xfId="58426"/>
    <cellStyle name="Обычный 14 9 2 2" xfId="58427"/>
    <cellStyle name="Обычный 14 9 2 3" xfId="58428"/>
    <cellStyle name="Обычный 14 9 3" xfId="58429"/>
    <cellStyle name="Обычный 14 9 3 2" xfId="58430"/>
    <cellStyle name="Обычный 14 9 3 3" xfId="61029"/>
    <cellStyle name="Обычный 14 9 4" xfId="58431"/>
    <cellStyle name="Обычный 14 9 5" xfId="58432"/>
    <cellStyle name="Обычный 14_объемы 2018г111" xfId="61030"/>
    <cellStyle name="Обычный 140" xfId="61249"/>
    <cellStyle name="Обычный 141" xfId="61250"/>
    <cellStyle name="Обычный 15" xfId="58433"/>
    <cellStyle name="Обычный 15 10" xfId="58434"/>
    <cellStyle name="Обычный 15 10 2" xfId="58435"/>
    <cellStyle name="Обычный 15 10 2 2" xfId="58436"/>
    <cellStyle name="Обычный 15 10 2 3" xfId="58437"/>
    <cellStyle name="Обычный 15 10 3" xfId="58438"/>
    <cellStyle name="Обычный 15 10 3 2" xfId="58439"/>
    <cellStyle name="Обычный 15 10 3 3" xfId="61031"/>
    <cellStyle name="Обычный 15 10 4" xfId="58440"/>
    <cellStyle name="Обычный 15 10 5" xfId="58441"/>
    <cellStyle name="Обычный 15 11" xfId="58442"/>
    <cellStyle name="Обычный 15 11 2" xfId="58443"/>
    <cellStyle name="Обычный 15 11 2 2" xfId="58444"/>
    <cellStyle name="Обычный 15 11 2 3" xfId="58445"/>
    <cellStyle name="Обычный 15 11 3" xfId="58446"/>
    <cellStyle name="Обычный 15 11 3 2" xfId="58447"/>
    <cellStyle name="Обычный 15 11 3 3" xfId="61032"/>
    <cellStyle name="Обычный 15 11 4" xfId="58448"/>
    <cellStyle name="Обычный 15 11 5" xfId="58449"/>
    <cellStyle name="Обычный 15 12" xfId="58450"/>
    <cellStyle name="Обычный 15 12 2" xfId="58451"/>
    <cellStyle name="Обычный 15 12 2 2" xfId="58452"/>
    <cellStyle name="Обычный 15 12 2 3" xfId="58453"/>
    <cellStyle name="Обычный 15 12 3" xfId="58454"/>
    <cellStyle name="Обычный 15 12 3 2" xfId="58455"/>
    <cellStyle name="Обычный 15 12 3 3" xfId="61033"/>
    <cellStyle name="Обычный 15 12 4" xfId="58456"/>
    <cellStyle name="Обычный 15 12 5" xfId="58457"/>
    <cellStyle name="Обычный 15 13" xfId="58458"/>
    <cellStyle name="Обычный 15 13 2" xfId="58459"/>
    <cellStyle name="Обычный 15 13 2 2" xfId="58460"/>
    <cellStyle name="Обычный 15 13 2 3" xfId="58461"/>
    <cellStyle name="Обычный 15 13 3" xfId="58462"/>
    <cellStyle name="Обычный 15 13 3 2" xfId="58463"/>
    <cellStyle name="Обычный 15 13 3 3" xfId="61034"/>
    <cellStyle name="Обычный 15 13 4" xfId="58464"/>
    <cellStyle name="Обычный 15 13 5" xfId="58465"/>
    <cellStyle name="Обычный 15 14" xfId="58466"/>
    <cellStyle name="Обычный 15 14 2" xfId="58467"/>
    <cellStyle name="Обычный 15 14 2 2" xfId="58468"/>
    <cellStyle name="Обычный 15 14 2 3" xfId="58469"/>
    <cellStyle name="Обычный 15 14 3" xfId="58470"/>
    <cellStyle name="Обычный 15 14 3 2" xfId="58471"/>
    <cellStyle name="Обычный 15 14 3 3" xfId="61035"/>
    <cellStyle name="Обычный 15 14 4" xfId="58472"/>
    <cellStyle name="Обычный 15 14 5" xfId="58473"/>
    <cellStyle name="Обычный 15 15" xfId="58474"/>
    <cellStyle name="Обычный 15 15 2" xfId="58475"/>
    <cellStyle name="Обычный 15 15 2 2" xfId="58476"/>
    <cellStyle name="Обычный 15 15 2 3" xfId="58477"/>
    <cellStyle name="Обычный 15 15 3" xfId="58478"/>
    <cellStyle name="Обычный 15 15 3 2" xfId="58479"/>
    <cellStyle name="Обычный 15 15 3 3" xfId="61036"/>
    <cellStyle name="Обычный 15 15 4" xfId="58480"/>
    <cellStyle name="Обычный 15 15 5" xfId="58481"/>
    <cellStyle name="Обычный 15 16" xfId="58482"/>
    <cellStyle name="Обычный 15 16 2" xfId="58483"/>
    <cellStyle name="Обычный 15 16 2 2" xfId="58484"/>
    <cellStyle name="Обычный 15 16 2 3" xfId="58485"/>
    <cellStyle name="Обычный 15 16 3" xfId="58486"/>
    <cellStyle name="Обычный 15 16 3 2" xfId="58487"/>
    <cellStyle name="Обычный 15 16 3 3" xfId="61037"/>
    <cellStyle name="Обычный 15 16 4" xfId="58488"/>
    <cellStyle name="Обычный 15 16 5" xfId="58489"/>
    <cellStyle name="Обычный 15 17" xfId="58490"/>
    <cellStyle name="Обычный 15 17 2" xfId="58491"/>
    <cellStyle name="Обычный 15 17 3" xfId="58492"/>
    <cellStyle name="Обычный 15 18" xfId="58493"/>
    <cellStyle name="Обычный 15 18 2" xfId="58494"/>
    <cellStyle name="Обычный 15 18 3" xfId="61038"/>
    <cellStyle name="Обычный 15 19" xfId="58495"/>
    <cellStyle name="Обычный 15 2" xfId="58496"/>
    <cellStyle name="Обычный 15 2 2" xfId="58497"/>
    <cellStyle name="Обычный 15 2 2 2" xfId="58498"/>
    <cellStyle name="Обычный 15 2 2 2 2" xfId="58499"/>
    <cellStyle name="Обычный 15 2 2 2 2 2" xfId="58500"/>
    <cellStyle name="Обычный 15 2 2 2 2 3" xfId="58501"/>
    <cellStyle name="Обычный 15 2 2 2 3" xfId="58502"/>
    <cellStyle name="Обычный 15 2 2 2 3 2" xfId="58503"/>
    <cellStyle name="Обычный 15 2 2 2 3 3" xfId="61039"/>
    <cellStyle name="Обычный 15 2 2 2 4" xfId="58504"/>
    <cellStyle name="Обычный 15 2 2 2 5" xfId="58505"/>
    <cellStyle name="Обычный 15 2 2 3" xfId="58506"/>
    <cellStyle name="Обычный 15 2 2 3 2" xfId="58507"/>
    <cellStyle name="Обычный 15 2 2 3 3" xfId="58508"/>
    <cellStyle name="Обычный 15 2 2 4" xfId="58509"/>
    <cellStyle name="Обычный 15 2 2 4 2" xfId="58510"/>
    <cellStyle name="Обычный 15 2 2 4 3" xfId="61040"/>
    <cellStyle name="Обычный 15 2 2 5" xfId="58511"/>
    <cellStyle name="Обычный 15 2 2 6" xfId="58512"/>
    <cellStyle name="Обычный 15 2 2_объемы 2018г111" xfId="61041"/>
    <cellStyle name="Обычный 15 2 3" xfId="58513"/>
    <cellStyle name="Обычный 15 2 3 2" xfId="58514"/>
    <cellStyle name="Обычный 15 2 3 2 2" xfId="58515"/>
    <cellStyle name="Обычный 15 2 3 2 3" xfId="58516"/>
    <cellStyle name="Обычный 15 2 3 3" xfId="58517"/>
    <cellStyle name="Обычный 15 2 3 3 2" xfId="58518"/>
    <cellStyle name="Обычный 15 2 3 3 3" xfId="61042"/>
    <cellStyle name="Обычный 15 2 3 4" xfId="58519"/>
    <cellStyle name="Обычный 15 2 3 5" xfId="58520"/>
    <cellStyle name="Обычный 15 2 4" xfId="58521"/>
    <cellStyle name="Обычный 15 2 4 2" xfId="58522"/>
    <cellStyle name="Обычный 15 2 4 3" xfId="58523"/>
    <cellStyle name="Обычный 15 2 4 4" xfId="58524"/>
    <cellStyle name="Обычный 15 2 5" xfId="58525"/>
    <cellStyle name="Обычный 15 2 5 2" xfId="58526"/>
    <cellStyle name="Обычный 15 2 5 3" xfId="61043"/>
    <cellStyle name="Обычный 15 2 6" xfId="58527"/>
    <cellStyle name="Обычный 15 2 7" xfId="58528"/>
    <cellStyle name="Обычный 15 2_объемы 2018г111" xfId="61044"/>
    <cellStyle name="Обычный 15 20" xfId="58529"/>
    <cellStyle name="Обычный 15 3" xfId="58530"/>
    <cellStyle name="Обычный 15 3 2" xfId="58531"/>
    <cellStyle name="Обычный 15 3 2 2" xfId="58532"/>
    <cellStyle name="Обычный 15 3 2 2 2" xfId="58533"/>
    <cellStyle name="Обычный 15 3 2 2 3" xfId="58534"/>
    <cellStyle name="Обычный 15 3 2 3" xfId="58535"/>
    <cellStyle name="Обычный 15 3 2 3 2" xfId="58536"/>
    <cellStyle name="Обычный 15 3 2 3 3" xfId="61045"/>
    <cellStyle name="Обычный 15 3 2 4" xfId="58537"/>
    <cellStyle name="Обычный 15 3 2 5" xfId="58538"/>
    <cellStyle name="Обычный 15 3 3" xfId="58539"/>
    <cellStyle name="Обычный 15 3 3 2" xfId="58540"/>
    <cellStyle name="Обычный 15 3 3 3" xfId="58541"/>
    <cellStyle name="Обычный 15 3 4" xfId="58542"/>
    <cellStyle name="Обычный 15 3 4 2" xfId="58543"/>
    <cellStyle name="Обычный 15 3 4 3" xfId="61046"/>
    <cellStyle name="Обычный 15 3 5" xfId="58544"/>
    <cellStyle name="Обычный 15 3 6" xfId="58545"/>
    <cellStyle name="Обычный 15 3_объемы 2018г111" xfId="61047"/>
    <cellStyle name="Обычный 15 4" xfId="58546"/>
    <cellStyle name="Обычный 15 4 2" xfId="58547"/>
    <cellStyle name="Обычный 15 4 2 2" xfId="58548"/>
    <cellStyle name="Обычный 15 4 2 3" xfId="58549"/>
    <cellStyle name="Обычный 15 4 3" xfId="58550"/>
    <cellStyle name="Обычный 15 4 3 2" xfId="58551"/>
    <cellStyle name="Обычный 15 4 3 3" xfId="61048"/>
    <cellStyle name="Обычный 15 4 4" xfId="58552"/>
    <cellStyle name="Обычный 15 4 5" xfId="58553"/>
    <cellStyle name="Обычный 15 5" xfId="58554"/>
    <cellStyle name="Обычный 15 5 2" xfId="58555"/>
    <cellStyle name="Обычный 15 5 2 2" xfId="58556"/>
    <cellStyle name="Обычный 15 5 2 3" xfId="58557"/>
    <cellStyle name="Обычный 15 5 3" xfId="58558"/>
    <cellStyle name="Обычный 15 5 3 2" xfId="58559"/>
    <cellStyle name="Обычный 15 5 3 3" xfId="61049"/>
    <cellStyle name="Обычный 15 5 4" xfId="58560"/>
    <cellStyle name="Обычный 15 5 5" xfId="58561"/>
    <cellStyle name="Обычный 15 6" xfId="58562"/>
    <cellStyle name="Обычный 15 6 2" xfId="58563"/>
    <cellStyle name="Обычный 15 6 2 2" xfId="58564"/>
    <cellStyle name="Обычный 15 6 2 3" xfId="58565"/>
    <cellStyle name="Обычный 15 6 3" xfId="58566"/>
    <cellStyle name="Обычный 15 6 3 2" xfId="58567"/>
    <cellStyle name="Обычный 15 6 3 3" xfId="61050"/>
    <cellStyle name="Обычный 15 6 4" xfId="58568"/>
    <cellStyle name="Обычный 15 6 5" xfId="58569"/>
    <cellStyle name="Обычный 15 7" xfId="58570"/>
    <cellStyle name="Обычный 15 7 2" xfId="58571"/>
    <cellStyle name="Обычный 15 7 2 2" xfId="58572"/>
    <cellStyle name="Обычный 15 7 2 3" xfId="58573"/>
    <cellStyle name="Обычный 15 7 3" xfId="58574"/>
    <cellStyle name="Обычный 15 7 3 2" xfId="58575"/>
    <cellStyle name="Обычный 15 7 3 3" xfId="61051"/>
    <cellStyle name="Обычный 15 7 4" xfId="58576"/>
    <cellStyle name="Обычный 15 7 5" xfId="58577"/>
    <cellStyle name="Обычный 15 8" xfId="58578"/>
    <cellStyle name="Обычный 15 8 2" xfId="58579"/>
    <cellStyle name="Обычный 15 8 2 2" xfId="58580"/>
    <cellStyle name="Обычный 15 8 2 3" xfId="58581"/>
    <cellStyle name="Обычный 15 8 3" xfId="58582"/>
    <cellStyle name="Обычный 15 8 3 2" xfId="58583"/>
    <cellStyle name="Обычный 15 8 3 3" xfId="61052"/>
    <cellStyle name="Обычный 15 8 4" xfId="58584"/>
    <cellStyle name="Обычный 15 8 5" xfId="58585"/>
    <cellStyle name="Обычный 15 9" xfId="58586"/>
    <cellStyle name="Обычный 15 9 2" xfId="58587"/>
    <cellStyle name="Обычный 15 9 2 2" xfId="58588"/>
    <cellStyle name="Обычный 15 9 2 3" xfId="58589"/>
    <cellStyle name="Обычный 15 9 3" xfId="58590"/>
    <cellStyle name="Обычный 15 9 3 2" xfId="58591"/>
    <cellStyle name="Обычный 15 9 3 3" xfId="61053"/>
    <cellStyle name="Обычный 15 9 4" xfId="58592"/>
    <cellStyle name="Обычный 15 9 5" xfId="58593"/>
    <cellStyle name="Обычный 15_объемы 2018г111" xfId="61054"/>
    <cellStyle name="Обычный 16" xfId="58594"/>
    <cellStyle name="Обычный 16 2" xfId="61218"/>
    <cellStyle name="Обычный 17" xfId="58595"/>
    <cellStyle name="Обычный 17 2" xfId="58596"/>
    <cellStyle name="Обычный 18" xfId="58597"/>
    <cellStyle name="Обычный 18 2" xfId="58598"/>
    <cellStyle name="Обычный 18 2 2" xfId="58599"/>
    <cellStyle name="Обычный 18 2 2 2" xfId="58600"/>
    <cellStyle name="Обычный 18 2 2 2 2" xfId="58601"/>
    <cellStyle name="Обычный 18 2 2 2 3" xfId="58602"/>
    <cellStyle name="Обычный 18 2 2 3" xfId="58603"/>
    <cellStyle name="Обычный 18 2 2 3 2" xfId="58604"/>
    <cellStyle name="Обычный 18 2 2 3 3" xfId="61055"/>
    <cellStyle name="Обычный 18 2 2 4" xfId="58605"/>
    <cellStyle name="Обычный 18 2 2 5" xfId="58606"/>
    <cellStyle name="Обычный 18 2 3" xfId="58607"/>
    <cellStyle name="Обычный 18 2 3 2" xfId="58608"/>
    <cellStyle name="Обычный 18 2 3 3" xfId="58609"/>
    <cellStyle name="Обычный 18 2 4" xfId="58610"/>
    <cellStyle name="Обычный 18 2 4 2" xfId="58611"/>
    <cellStyle name="Обычный 18 2 4 3" xfId="61056"/>
    <cellStyle name="Обычный 18 2 5" xfId="58612"/>
    <cellStyle name="Обычный 18 2 6" xfId="58613"/>
    <cellStyle name="Обычный 18 2_объемы 2018г111" xfId="61057"/>
    <cellStyle name="Обычный 18 3" xfId="58614"/>
    <cellStyle name="Обычный 18 3 2" xfId="58615"/>
    <cellStyle name="Обычный 18 3 2 2" xfId="58616"/>
    <cellStyle name="Обычный 18 3 2 3" xfId="58617"/>
    <cellStyle name="Обычный 18 3 3" xfId="58618"/>
    <cellStyle name="Обычный 18 3 3 2" xfId="58619"/>
    <cellStyle name="Обычный 18 3 3 3" xfId="61058"/>
    <cellStyle name="Обычный 18 3 4" xfId="58620"/>
    <cellStyle name="Обычный 18 3 5" xfId="58621"/>
    <cellStyle name="Обычный 18 4" xfId="58622"/>
    <cellStyle name="Обычный 18 4 2" xfId="58623"/>
    <cellStyle name="Обычный 18 4 3" xfId="58624"/>
    <cellStyle name="Обычный 18 5" xfId="58625"/>
    <cellStyle name="Обычный 18 5 2" xfId="58626"/>
    <cellStyle name="Обычный 18 5 3" xfId="61059"/>
    <cellStyle name="Обычный 18 6" xfId="58627"/>
    <cellStyle name="Обычный 18 7" xfId="58628"/>
    <cellStyle name="Обычный 18_объемы 2018г111" xfId="61060"/>
    <cellStyle name="Обычный 19" xfId="58629"/>
    <cellStyle name="Обычный 19 2" xfId="58630"/>
    <cellStyle name="Обычный 19 2 2" xfId="58631"/>
    <cellStyle name="Обычный 19 2 2 2" xfId="58632"/>
    <cellStyle name="Обычный 19 2 2 2 2" xfId="58633"/>
    <cellStyle name="Обычный 19 2 2 2 3" xfId="58634"/>
    <cellStyle name="Обычный 19 2 2 3" xfId="58635"/>
    <cellStyle name="Обычный 19 2 2 3 2" xfId="58636"/>
    <cellStyle name="Обычный 19 2 2 3 3" xfId="61061"/>
    <cellStyle name="Обычный 19 2 2 4" xfId="58637"/>
    <cellStyle name="Обычный 19 2 2 5" xfId="58638"/>
    <cellStyle name="Обычный 19 2 3" xfId="58639"/>
    <cellStyle name="Обычный 19 2 3 2" xfId="58640"/>
    <cellStyle name="Обычный 19 2 3 3" xfId="58641"/>
    <cellStyle name="Обычный 19 2 4" xfId="58642"/>
    <cellStyle name="Обычный 19 2 4 2" xfId="58643"/>
    <cellStyle name="Обычный 19 2 4 3" xfId="61062"/>
    <cellStyle name="Обычный 19 2 5" xfId="58644"/>
    <cellStyle name="Обычный 19 2 6" xfId="58645"/>
    <cellStyle name="Обычный 19 2_объемы 2018г111" xfId="61063"/>
    <cellStyle name="Обычный 19 3" xfId="58646"/>
    <cellStyle name="Обычный 19 3 2" xfId="58647"/>
    <cellStyle name="Обычный 19 3 2 2" xfId="58648"/>
    <cellStyle name="Обычный 19 3 2 3" xfId="58649"/>
    <cellStyle name="Обычный 19 3 3" xfId="58650"/>
    <cellStyle name="Обычный 19 3 3 2" xfId="58651"/>
    <cellStyle name="Обычный 19 3 3 3" xfId="61064"/>
    <cellStyle name="Обычный 19 3 4" xfId="58652"/>
    <cellStyle name="Обычный 19 3 5" xfId="58653"/>
    <cellStyle name="Обычный 19 4" xfId="58654"/>
    <cellStyle name="Обычный 19 4 2" xfId="58655"/>
    <cellStyle name="Обычный 19 4 2 2" xfId="58656"/>
    <cellStyle name="Обычный 19 4 2 3" xfId="58657"/>
    <cellStyle name="Обычный 19 4 3" xfId="58658"/>
    <cellStyle name="Обычный 19 4 3 2" xfId="58659"/>
    <cellStyle name="Обычный 19 4 3 3" xfId="61065"/>
    <cellStyle name="Обычный 19 4 4" xfId="58660"/>
    <cellStyle name="Обычный 19 4 5" xfId="58661"/>
    <cellStyle name="Обычный 19 5" xfId="58662"/>
    <cellStyle name="Обычный 19 5 2" xfId="58663"/>
    <cellStyle name="Обычный 19 5 2 2" xfId="58664"/>
    <cellStyle name="Обычный 19 5 2 3" xfId="58665"/>
    <cellStyle name="Обычный 19 5 3" xfId="58666"/>
    <cellStyle name="Обычный 19 5 3 2" xfId="58667"/>
    <cellStyle name="Обычный 19 5 3 3" xfId="61066"/>
    <cellStyle name="Обычный 19 5 4" xfId="58668"/>
    <cellStyle name="Обычный 19 5 5" xfId="58669"/>
    <cellStyle name="Обычный 19 6" xfId="58670"/>
    <cellStyle name="Обычный 19 6 2" xfId="58671"/>
    <cellStyle name="Обычный 19 6 3" xfId="58672"/>
    <cellStyle name="Обычный 19 7" xfId="58673"/>
    <cellStyle name="Обычный 19 7 2" xfId="58674"/>
    <cellStyle name="Обычный 19 7 3" xfId="61067"/>
    <cellStyle name="Обычный 19 8" xfId="58675"/>
    <cellStyle name="Обычный 19 9" xfId="58676"/>
    <cellStyle name="Обычный 19_объемы 2018г111" xfId="61068"/>
    <cellStyle name="Обычный 2" xfId="2"/>
    <cellStyle name="Обычный 2 10" xfId="16"/>
    <cellStyle name="Обычный 2 100" xfId="58677"/>
    <cellStyle name="Обычный 2 101" xfId="58678"/>
    <cellStyle name="Обычный 2 102" xfId="58679"/>
    <cellStyle name="Обычный 2 103" xfId="58680"/>
    <cellStyle name="Обычный 2 104" xfId="58681"/>
    <cellStyle name="Обычный 2 105" xfId="58682"/>
    <cellStyle name="Обычный 2 106" xfId="58683"/>
    <cellStyle name="Обычный 2 107" xfId="58684"/>
    <cellStyle name="Обычный 2 108" xfId="58685"/>
    <cellStyle name="Обычный 2 109" xfId="58686"/>
    <cellStyle name="Обычный 2 11" xfId="58687"/>
    <cellStyle name="Обычный 2 110" xfId="58688"/>
    <cellStyle name="Обычный 2 111" xfId="58689"/>
    <cellStyle name="Обычный 2 112" xfId="58690"/>
    <cellStyle name="Обычный 2 113" xfId="58691"/>
    <cellStyle name="Обычный 2 114" xfId="58692"/>
    <cellStyle name="Обычный 2 115" xfId="58693"/>
    <cellStyle name="Обычный 2 116" xfId="58694"/>
    <cellStyle name="Обычный 2 117" xfId="58695"/>
    <cellStyle name="Обычный 2 118" xfId="58696"/>
    <cellStyle name="Обычный 2 119" xfId="58697"/>
    <cellStyle name="Обычный 2 12" xfId="58698"/>
    <cellStyle name="Обычный 2 120" xfId="58699"/>
    <cellStyle name="Обычный 2 121" xfId="58700"/>
    <cellStyle name="Обычный 2 122" xfId="58701"/>
    <cellStyle name="Обычный 2 123" xfId="58702"/>
    <cellStyle name="Обычный 2 124" xfId="58703"/>
    <cellStyle name="Обычный 2 125" xfId="58704"/>
    <cellStyle name="Обычный 2 126" xfId="58705"/>
    <cellStyle name="Обычный 2 127" xfId="58706"/>
    <cellStyle name="Обычный 2 128" xfId="58707"/>
    <cellStyle name="Обычный 2 129" xfId="58708"/>
    <cellStyle name="Обычный 2 13" xfId="58709"/>
    <cellStyle name="Обычный 2 130" xfId="58710"/>
    <cellStyle name="Обычный 2 131" xfId="58711"/>
    <cellStyle name="Обычный 2 132" xfId="58712"/>
    <cellStyle name="Обычный 2 133" xfId="58713"/>
    <cellStyle name="Обычный 2 134" xfId="58714"/>
    <cellStyle name="Обычный 2 135" xfId="58715"/>
    <cellStyle name="Обычный 2 136" xfId="58716"/>
    <cellStyle name="Обычный 2 136 2" xfId="60883"/>
    <cellStyle name="Обычный 2 136 3" xfId="61192"/>
    <cellStyle name="Обычный 2 136 4" xfId="61195"/>
    <cellStyle name="Обычный 2 136 5" xfId="61212"/>
    <cellStyle name="Обычный 2 136 6" xfId="61216"/>
    <cellStyle name="Обычный 2 136 7" xfId="61243"/>
    <cellStyle name="Обычный 2 136 8" xfId="61248"/>
    <cellStyle name="Обычный 2 137" xfId="18"/>
    <cellStyle name="Обычный 2 138" xfId="58717"/>
    <cellStyle name="Обычный 2 139" xfId="58718"/>
    <cellStyle name="Обычный 2 14" xfId="58719"/>
    <cellStyle name="Обычный 2 140" xfId="58720"/>
    <cellStyle name="Обычный 2 141" xfId="61193"/>
    <cellStyle name="Обычный 2 142" xfId="61197"/>
    <cellStyle name="Обычный 2 143" xfId="61200"/>
    <cellStyle name="Обычный 2 144" xfId="61210"/>
    <cellStyle name="Обычный 2 144 2" xfId="61235"/>
    <cellStyle name="Обычный 2 145" xfId="61214"/>
    <cellStyle name="Обычный 2 145 2" xfId="61237"/>
    <cellStyle name="Обычный 2 146" xfId="61241"/>
    <cellStyle name="Обычный 2 15" xfId="58721"/>
    <cellStyle name="Обычный 2 16" xfId="58722"/>
    <cellStyle name="Обычный 2 17" xfId="58723"/>
    <cellStyle name="Обычный 2 18" xfId="58724"/>
    <cellStyle name="Обычный 2 19" xfId="58725"/>
    <cellStyle name="Обычный 2 2" xfId="7"/>
    <cellStyle name="Обычный 2 2 10" xfId="60885"/>
    <cellStyle name="Обычный 2 2 2" xfId="58726"/>
    <cellStyle name="Обычный 2 2 2 2" xfId="6"/>
    <cellStyle name="Обычный 2 2 2 2 2" xfId="58727"/>
    <cellStyle name="Обычный 2 2 2 3" xfId="58728"/>
    <cellStyle name="Обычный 2 2 2 3 2" xfId="58729"/>
    <cellStyle name="Обычный 2 2 3" xfId="58730"/>
    <cellStyle name="Обычный 2 2 3 2" xfId="58731"/>
    <cellStyle name="Обычный 2 2 3 3" xfId="58732"/>
    <cellStyle name="Обычный 2 2 4" xfId="58733"/>
    <cellStyle name="Обычный 2 2 4 2" xfId="58734"/>
    <cellStyle name="Обычный 2 2 4 3" xfId="58735"/>
    <cellStyle name="Обычный 2 2 5" xfId="8"/>
    <cellStyle name="Обычный 2 2 5 2" xfId="58736"/>
    <cellStyle name="Обычный 2 2 5 3" xfId="58737"/>
    <cellStyle name="Обычный 2 2 6" xfId="58738"/>
    <cellStyle name="Обычный 2 2 6 2" xfId="58739"/>
    <cellStyle name="Обычный 2 2 6 3" xfId="58740"/>
    <cellStyle name="Обычный 2 2 7" xfId="58741"/>
    <cellStyle name="Обычный 2 2 7 2" xfId="58742"/>
    <cellStyle name="Обычный 2 2 7 3" xfId="58743"/>
    <cellStyle name="Обычный 2 2 8" xfId="58744"/>
    <cellStyle name="Обычный 2 2 9" xfId="58745"/>
    <cellStyle name="Обычный 2 20" xfId="58746"/>
    <cellStyle name="Обычный 2 21" xfId="58747"/>
    <cellStyle name="Обычный 2 22" xfId="58748"/>
    <cellStyle name="Обычный 2 23" xfId="58749"/>
    <cellStyle name="Обычный 2 24" xfId="58750"/>
    <cellStyle name="Обычный 2 25" xfId="58751"/>
    <cellStyle name="Обычный 2 26" xfId="58752"/>
    <cellStyle name="Обычный 2 27" xfId="58753"/>
    <cellStyle name="Обычный 2 28" xfId="58754"/>
    <cellStyle name="Обычный 2 29" xfId="58755"/>
    <cellStyle name="Обычный 2 3" xfId="17"/>
    <cellStyle name="Обычный 2 3 2" xfId="58756"/>
    <cellStyle name="Обычный 2 3 3" xfId="58757"/>
    <cellStyle name="Обычный 2 30" xfId="58758"/>
    <cellStyle name="Обычный 2 31" xfId="58759"/>
    <cellStyle name="Обычный 2 32" xfId="58760"/>
    <cellStyle name="Обычный 2 33" xfId="58761"/>
    <cellStyle name="Обычный 2 34" xfId="58762"/>
    <cellStyle name="Обычный 2 35" xfId="58763"/>
    <cellStyle name="Обычный 2 36" xfId="58764"/>
    <cellStyle name="Обычный 2 37" xfId="58765"/>
    <cellStyle name="Обычный 2 38" xfId="58766"/>
    <cellStyle name="Обычный 2 39" xfId="58767"/>
    <cellStyle name="Обычный 2 4" xfId="58768"/>
    <cellStyle name="Обычный 2 4 2" xfId="61219"/>
    <cellStyle name="Обычный 2 40" xfId="58769"/>
    <cellStyle name="Обычный 2 41" xfId="58770"/>
    <cellStyle name="Обычный 2 42" xfId="58771"/>
    <cellStyle name="Обычный 2 43" xfId="58772"/>
    <cellStyle name="Обычный 2 44" xfId="58773"/>
    <cellStyle name="Обычный 2 45" xfId="58774"/>
    <cellStyle name="Обычный 2 46" xfId="58775"/>
    <cellStyle name="Обычный 2 47" xfId="58776"/>
    <cellStyle name="Обычный 2 48" xfId="58777"/>
    <cellStyle name="Обычный 2 49" xfId="58778"/>
    <cellStyle name="Обычный 2 5" xfId="58779"/>
    <cellStyle name="Обычный 2 5 2" xfId="58780"/>
    <cellStyle name="Обычный 2 50" xfId="58781"/>
    <cellStyle name="Обычный 2 51" xfId="58782"/>
    <cellStyle name="Обычный 2 52" xfId="58783"/>
    <cellStyle name="Обычный 2 53" xfId="58784"/>
    <cellStyle name="Обычный 2 54" xfId="58785"/>
    <cellStyle name="Обычный 2 55" xfId="58786"/>
    <cellStyle name="Обычный 2 56" xfId="58787"/>
    <cellStyle name="Обычный 2 57" xfId="58788"/>
    <cellStyle name="Обычный 2 58" xfId="58789"/>
    <cellStyle name="Обычный 2 59" xfId="58790"/>
    <cellStyle name="Обычный 2 6" xfId="58791"/>
    <cellStyle name="Обычный 2 6 2" xfId="58792"/>
    <cellStyle name="Обычный 2 6 3" xfId="61220"/>
    <cellStyle name="Обычный 2 60" xfId="58793"/>
    <cellStyle name="Обычный 2 61" xfId="58794"/>
    <cellStyle name="Обычный 2 62" xfId="58795"/>
    <cellStyle name="Обычный 2 63" xfId="58796"/>
    <cellStyle name="Обычный 2 64" xfId="58797"/>
    <cellStyle name="Обычный 2 65" xfId="58798"/>
    <cellStyle name="Обычный 2 66" xfId="58799"/>
    <cellStyle name="Обычный 2 67" xfId="58800"/>
    <cellStyle name="Обычный 2 68" xfId="58801"/>
    <cellStyle name="Обычный 2 69" xfId="58802"/>
    <cellStyle name="Обычный 2 7" xfId="58803"/>
    <cellStyle name="Обычный 2 7 2" xfId="61221"/>
    <cellStyle name="Обычный 2 70" xfId="58804"/>
    <cellStyle name="Обычный 2 71" xfId="58805"/>
    <cellStyle name="Обычный 2 72" xfId="58806"/>
    <cellStyle name="Обычный 2 73" xfId="58807"/>
    <cellStyle name="Обычный 2 74" xfId="58808"/>
    <cellStyle name="Обычный 2 75" xfId="58809"/>
    <cellStyle name="Обычный 2 76" xfId="58810"/>
    <cellStyle name="Обычный 2 77" xfId="58811"/>
    <cellStyle name="Обычный 2 78" xfId="58812"/>
    <cellStyle name="Обычный 2 79" xfId="58813"/>
    <cellStyle name="Обычный 2 8" xfId="58814"/>
    <cellStyle name="Обычный 2 80" xfId="58815"/>
    <cellStyle name="Обычный 2 81" xfId="58816"/>
    <cellStyle name="Обычный 2 82" xfId="58817"/>
    <cellStyle name="Обычный 2 83" xfId="58818"/>
    <cellStyle name="Обычный 2 84" xfId="58819"/>
    <cellStyle name="Обычный 2 85" xfId="58820"/>
    <cellStyle name="Обычный 2 86" xfId="58821"/>
    <cellStyle name="Обычный 2 87" xfId="58822"/>
    <cellStyle name="Обычный 2 88" xfId="58823"/>
    <cellStyle name="Обычный 2 89" xfId="58824"/>
    <cellStyle name="Обычный 2 9" xfId="58825"/>
    <cellStyle name="Обычный 2 90" xfId="58826"/>
    <cellStyle name="Обычный 2 91" xfId="58827"/>
    <cellStyle name="Обычный 2 92" xfId="58828"/>
    <cellStyle name="Обычный 2 93" xfId="58829"/>
    <cellStyle name="Обычный 2 94" xfId="58830"/>
    <cellStyle name="Обычный 2 95" xfId="58831"/>
    <cellStyle name="Обычный 2 96" xfId="58832"/>
    <cellStyle name="Обычный 2 97" xfId="58833"/>
    <cellStyle name="Обычный 2 98" xfId="58834"/>
    <cellStyle name="Обычный 2 99" xfId="58835"/>
    <cellStyle name="Обычный 2_npa105B" xfId="58836"/>
    <cellStyle name="Обычный 20" xfId="58837"/>
    <cellStyle name="Обычный 20 2" xfId="58838"/>
    <cellStyle name="Обычный 20 2 2" xfId="58839"/>
    <cellStyle name="Обычный 20 2 2 2" xfId="58840"/>
    <cellStyle name="Обычный 20 2 2 2 2" xfId="58841"/>
    <cellStyle name="Обычный 20 2 2 2 3" xfId="58842"/>
    <cellStyle name="Обычный 20 2 2 3" xfId="58843"/>
    <cellStyle name="Обычный 20 2 2 3 2" xfId="58844"/>
    <cellStyle name="Обычный 20 2 2 3 3" xfId="61069"/>
    <cellStyle name="Обычный 20 2 2 4" xfId="58845"/>
    <cellStyle name="Обычный 20 2 2 5" xfId="58846"/>
    <cellStyle name="Обычный 20 2 3" xfId="58847"/>
    <cellStyle name="Обычный 20 2 3 2" xfId="58848"/>
    <cellStyle name="Обычный 20 2 3 3" xfId="58849"/>
    <cellStyle name="Обычный 20 2 4" xfId="58850"/>
    <cellStyle name="Обычный 20 2 4 2" xfId="58851"/>
    <cellStyle name="Обычный 20 2 4 3" xfId="61070"/>
    <cellStyle name="Обычный 20 2 5" xfId="58852"/>
    <cellStyle name="Обычный 20 2 6" xfId="58853"/>
    <cellStyle name="Обычный 20 2_объемы 2018г111" xfId="61071"/>
    <cellStyle name="Обычный 20 3" xfId="58854"/>
    <cellStyle name="Обычный 20 3 2" xfId="58855"/>
    <cellStyle name="Обычный 20 3 2 2" xfId="58856"/>
    <cellStyle name="Обычный 20 3 2 3" xfId="58857"/>
    <cellStyle name="Обычный 20 3 3" xfId="58858"/>
    <cellStyle name="Обычный 20 3 3 2" xfId="58859"/>
    <cellStyle name="Обычный 20 3 3 3" xfId="61072"/>
    <cellStyle name="Обычный 20 3 4" xfId="58860"/>
    <cellStyle name="Обычный 20 3 5" xfId="58861"/>
    <cellStyle name="Обычный 20 4" xfId="58862"/>
    <cellStyle name="Обычный 20 4 2" xfId="58863"/>
    <cellStyle name="Обычный 20 4 2 2" xfId="58864"/>
    <cellStyle name="Обычный 20 4 2 3" xfId="58865"/>
    <cellStyle name="Обычный 20 4 3" xfId="58866"/>
    <cellStyle name="Обычный 20 4 3 2" xfId="58867"/>
    <cellStyle name="Обычный 20 4 4" xfId="58868"/>
    <cellStyle name="Обычный 20 4 5" xfId="15"/>
    <cellStyle name="Обычный 20 4 5 2" xfId="61208"/>
    <cellStyle name="Обычный 20 4 5 3" xfId="61232"/>
    <cellStyle name="Обычный 20 4 5 4" xfId="61240"/>
    <cellStyle name="Обычный 20 4 6" xfId="61073"/>
    <cellStyle name="Обычный 20 5" xfId="58869"/>
    <cellStyle name="Обычный 20 5 2" xfId="58870"/>
    <cellStyle name="Обычный 20 5 3" xfId="58871"/>
    <cellStyle name="Обычный 20 6" xfId="58872"/>
    <cellStyle name="Обычный 20 6 2" xfId="58873"/>
    <cellStyle name="Обычный 20 6 3" xfId="58874"/>
    <cellStyle name="Обычный 20 7" xfId="58875"/>
    <cellStyle name="Обычный 20 7 2" xfId="58876"/>
    <cellStyle name="Обычный 20 8" xfId="58877"/>
    <cellStyle name="Обычный 20 9" xfId="58878"/>
    <cellStyle name="Обычный 20_объемы 2018г111" xfId="61074"/>
    <cellStyle name="Обычный 21" xfId="58879"/>
    <cellStyle name="Обычный 21 2" xfId="58880"/>
    <cellStyle name="Обычный 21 2 2" xfId="58881"/>
    <cellStyle name="Обычный 21 2 2 2" xfId="58882"/>
    <cellStyle name="Обычный 21 2 2 2 2" xfId="58883"/>
    <cellStyle name="Обычный 21 2 2 2 3" xfId="58884"/>
    <cellStyle name="Обычный 21 2 2 3" xfId="58885"/>
    <cellStyle name="Обычный 21 2 2 3 2" xfId="58886"/>
    <cellStyle name="Обычный 21 2 2 3 3" xfId="61075"/>
    <cellStyle name="Обычный 21 2 2 4" xfId="58887"/>
    <cellStyle name="Обычный 21 2 2 5" xfId="58888"/>
    <cellStyle name="Обычный 21 2 3" xfId="58889"/>
    <cellStyle name="Обычный 21 2 3 2" xfId="58890"/>
    <cellStyle name="Обычный 21 2 3 3" xfId="58891"/>
    <cellStyle name="Обычный 21 2 4" xfId="58892"/>
    <cellStyle name="Обычный 21 2 4 2" xfId="58893"/>
    <cellStyle name="Обычный 21 2 4 3" xfId="61076"/>
    <cellStyle name="Обычный 21 2 5" xfId="58894"/>
    <cellStyle name="Обычный 21 2 6" xfId="58895"/>
    <cellStyle name="Обычный 21 2_объемы 2018г111" xfId="61077"/>
    <cellStyle name="Обычный 21 3" xfId="58896"/>
    <cellStyle name="Обычный 21 3 2" xfId="58897"/>
    <cellStyle name="Обычный 21 3 2 2" xfId="58898"/>
    <cellStyle name="Обычный 21 3 2 3" xfId="58899"/>
    <cellStyle name="Обычный 21 3 3" xfId="58900"/>
    <cellStyle name="Обычный 21 3 3 2" xfId="58901"/>
    <cellStyle name="Обычный 21 3 3 3" xfId="61078"/>
    <cellStyle name="Обычный 21 3 4" xfId="58902"/>
    <cellStyle name="Обычный 21 3 5" xfId="58903"/>
    <cellStyle name="Обычный 21 4" xfId="58904"/>
    <cellStyle name="Обычный 21 4 2" xfId="58905"/>
    <cellStyle name="Обычный 21 4 3" xfId="58906"/>
    <cellStyle name="Обычный 21 5" xfId="58907"/>
    <cellStyle name="Обычный 21 5 2" xfId="58908"/>
    <cellStyle name="Обычный 21 5 3" xfId="61079"/>
    <cellStyle name="Обычный 21 6" xfId="58909"/>
    <cellStyle name="Обычный 21 7" xfId="58910"/>
    <cellStyle name="Обычный 21_объемы 2018г111" xfId="61080"/>
    <cellStyle name="Обычный 22" xfId="58911"/>
    <cellStyle name="Обычный 22 2" xfId="58912"/>
    <cellStyle name="Обычный 22 2 2" xfId="58913"/>
    <cellStyle name="Обычный 22 2 2 2" xfId="58914"/>
    <cellStyle name="Обычный 22 2 2 3" xfId="58915"/>
    <cellStyle name="Обычный 22 2 3" xfId="58916"/>
    <cellStyle name="Обычный 22 2 3 2" xfId="58917"/>
    <cellStyle name="Обычный 22 2 3 3" xfId="61081"/>
    <cellStyle name="Обычный 22 2 4" xfId="58918"/>
    <cellStyle name="Обычный 22 2 5" xfId="58919"/>
    <cellStyle name="Обычный 22 3" xfId="58920"/>
    <cellStyle name="Обычный 22 3 2" xfId="58921"/>
    <cellStyle name="Обычный 22 3 2 2" xfId="58922"/>
    <cellStyle name="Обычный 22 3 2 3" xfId="58923"/>
    <cellStyle name="Обычный 22 3 3" xfId="58924"/>
    <cellStyle name="Обычный 22 3 3 2" xfId="58925"/>
    <cellStyle name="Обычный 22 3 3 3" xfId="61082"/>
    <cellStyle name="Обычный 22 3 4" xfId="58926"/>
    <cellStyle name="Обычный 22 3 5" xfId="58927"/>
    <cellStyle name="Обычный 22 4" xfId="58928"/>
    <cellStyle name="Обычный 22 4 2" xfId="58929"/>
    <cellStyle name="Обычный 22 4 3" xfId="58930"/>
    <cellStyle name="Обычный 22 5" xfId="58931"/>
    <cellStyle name="Обычный 22 5 2" xfId="58932"/>
    <cellStyle name="Обычный 22 5 3" xfId="61083"/>
    <cellStyle name="Обычный 22 6" xfId="58933"/>
    <cellStyle name="Обычный 22 7" xfId="58934"/>
    <cellStyle name="Обычный 22_объемы 2018г111" xfId="61084"/>
    <cellStyle name="Обычный 23" xfId="58935"/>
    <cellStyle name="Обычный 23 2" xfId="58936"/>
    <cellStyle name="Обычный 23 3" xfId="58937"/>
    <cellStyle name="Обычный 23 3 2" xfId="58938"/>
    <cellStyle name="Обычный 23 3 3" xfId="58939"/>
    <cellStyle name="Обычный 23 4" xfId="58940"/>
    <cellStyle name="Обычный 23 4 2" xfId="58941"/>
    <cellStyle name="Обычный 23 4 3" xfId="61085"/>
    <cellStyle name="Обычный 23 5" xfId="58942"/>
    <cellStyle name="Обычный 23 6" xfId="58943"/>
    <cellStyle name="Обычный 23_объемы 2018г111" xfId="61086"/>
    <cellStyle name="Обычный 24" xfId="58944"/>
    <cellStyle name="Обычный 24 2" xfId="58945"/>
    <cellStyle name="Обычный 24 3" xfId="58946"/>
    <cellStyle name="Обычный 24 3 2" xfId="58947"/>
    <cellStyle name="Обычный 24 3 3" xfId="58948"/>
    <cellStyle name="Обычный 24 4" xfId="58949"/>
    <cellStyle name="Обычный 24 4 2" xfId="58950"/>
    <cellStyle name="Обычный 24 4 3" xfId="61087"/>
    <cellStyle name="Обычный 24 5" xfId="58951"/>
    <cellStyle name="Обычный 24 6" xfId="58952"/>
    <cellStyle name="Обычный 24_объемы 2018г111" xfId="61088"/>
    <cellStyle name="Обычный 25" xfId="58953"/>
    <cellStyle name="Обычный 25 2" xfId="58954"/>
    <cellStyle name="Обычный 25 2 2" xfId="58955"/>
    <cellStyle name="Обычный 25 2 3" xfId="58956"/>
    <cellStyle name="Обычный 25 3" xfId="58957"/>
    <cellStyle name="Обычный 25 3 2" xfId="58958"/>
    <cellStyle name="Обычный 25 3 3" xfId="61089"/>
    <cellStyle name="Обычный 25 4" xfId="58959"/>
    <cellStyle name="Обычный 25 5" xfId="58960"/>
    <cellStyle name="Обычный 26" xfId="58961"/>
    <cellStyle name="Обычный 26 10" xfId="58962"/>
    <cellStyle name="Обычный 26 11" xfId="58963"/>
    <cellStyle name="Обычный 26 12" xfId="58964"/>
    <cellStyle name="Обычный 26 13" xfId="58965"/>
    <cellStyle name="Обычный 26 14" xfId="58966"/>
    <cellStyle name="Обычный 26 15" xfId="58967"/>
    <cellStyle name="Обычный 26 2" xfId="58968"/>
    <cellStyle name="Обычный 26 2 2" xfId="58969"/>
    <cellStyle name="Обычный 26 2 2 2" xfId="58970"/>
    <cellStyle name="Обычный 26 2 3" xfId="58971"/>
    <cellStyle name="Обычный 26 3" xfId="58972"/>
    <cellStyle name="Обычный 26 3 2" xfId="58973"/>
    <cellStyle name="Обычный 26 3 3" xfId="61090"/>
    <cellStyle name="Обычный 26 4" xfId="58974"/>
    <cellStyle name="Обычный 26 4 2" xfId="58975"/>
    <cellStyle name="Обычный 26 4 2 2" xfId="58976"/>
    <cellStyle name="Обычный 26 4 3" xfId="58977"/>
    <cellStyle name="Обычный 26 5" xfId="58978"/>
    <cellStyle name="Обычный 26 5 2" xfId="58979"/>
    <cellStyle name="Обычный 26 6" xfId="58980"/>
    <cellStyle name="Обычный 26 6 2" xfId="58981"/>
    <cellStyle name="Обычный 26 7" xfId="58982"/>
    <cellStyle name="Обычный 26 8" xfId="58983"/>
    <cellStyle name="Обычный 26 9" xfId="58984"/>
    <cellStyle name="Обычный 27" xfId="58985"/>
    <cellStyle name="Обычный 27 2" xfId="58986"/>
    <cellStyle name="Обычный 27 2 2" xfId="58987"/>
    <cellStyle name="Обычный 27 2 2 2" xfId="58988"/>
    <cellStyle name="Обычный 27 2 3" xfId="58989"/>
    <cellStyle name="Обычный 27 3" xfId="58990"/>
    <cellStyle name="Обычный 27 3 2" xfId="58991"/>
    <cellStyle name="Обычный 27 3 3" xfId="61091"/>
    <cellStyle name="Обычный 27 4" xfId="58992"/>
    <cellStyle name="Обычный 27 4 2" xfId="58993"/>
    <cellStyle name="Обычный 27 5" xfId="58994"/>
    <cellStyle name="Обычный 27 6" xfId="58995"/>
    <cellStyle name="Обычный 27 7" xfId="58996"/>
    <cellStyle name="Обычный 27 8" xfId="58997"/>
    <cellStyle name="Обычный 27 9" xfId="58998"/>
    <cellStyle name="Обычный 28" xfId="58999"/>
    <cellStyle name="Обычный 28 2" xfId="59000"/>
    <cellStyle name="Обычный 28 2 2" xfId="59001"/>
    <cellStyle name="Обычный 28 2 2 2" xfId="59002"/>
    <cellStyle name="Обычный 28 2 3" xfId="59003"/>
    <cellStyle name="Обычный 28 3" xfId="59004"/>
    <cellStyle name="Обычный 28 3 2" xfId="59005"/>
    <cellStyle name="Обычный 28 3 3" xfId="61092"/>
    <cellStyle name="Обычный 28 4" xfId="59006"/>
    <cellStyle name="Обычный 28 4 2" xfId="59007"/>
    <cellStyle name="Обычный 28 5" xfId="59008"/>
    <cellStyle name="Обычный 28 6" xfId="59009"/>
    <cellStyle name="Обычный 28 7" xfId="59010"/>
    <cellStyle name="Обычный 28 8" xfId="59011"/>
    <cellStyle name="Обычный 28 9" xfId="59012"/>
    <cellStyle name="Обычный 29" xfId="59013"/>
    <cellStyle name="Обычный 29 2" xfId="59014"/>
    <cellStyle name="Обычный 29 2 2" xfId="59015"/>
    <cellStyle name="Обычный 29 2 2 2" xfId="59016"/>
    <cellStyle name="Обычный 29 2 3" xfId="59017"/>
    <cellStyle name="Обычный 29 3" xfId="59018"/>
    <cellStyle name="Обычный 29 3 2" xfId="59019"/>
    <cellStyle name="Обычный 29 3 3" xfId="61093"/>
    <cellStyle name="Обычный 29 4" xfId="59020"/>
    <cellStyle name="Обычный 29 4 2" xfId="59021"/>
    <cellStyle name="Обычный 29 5" xfId="59022"/>
    <cellStyle name="Обычный 29 6" xfId="59023"/>
    <cellStyle name="Обычный 29 7" xfId="59024"/>
    <cellStyle name="Обычный 29 8" xfId="59025"/>
    <cellStyle name="Обычный 29 9" xfId="59026"/>
    <cellStyle name="Обычный 3" xfId="4"/>
    <cellStyle name="Обычный 3 10" xfId="59027"/>
    <cellStyle name="Обычный 3 10 2" xfId="59028"/>
    <cellStyle name="Обычный 3 10 2 2" xfId="59029"/>
    <cellStyle name="Обычный 3 10 2 3" xfId="59030"/>
    <cellStyle name="Обычный 3 10 3" xfId="59031"/>
    <cellStyle name="Обычный 3 10 3 2" xfId="59032"/>
    <cellStyle name="Обычный 3 10 3 3" xfId="61094"/>
    <cellStyle name="Обычный 3 10 4" xfId="59033"/>
    <cellStyle name="Обычный 3 10 5" xfId="59034"/>
    <cellStyle name="Обычный 3 11" xfId="59035"/>
    <cellStyle name="Обычный 3 11 2" xfId="59036"/>
    <cellStyle name="Обычный 3 11 2 2" xfId="59037"/>
    <cellStyle name="Обычный 3 11 2 3" xfId="59038"/>
    <cellStyle name="Обычный 3 11 3" xfId="59039"/>
    <cellStyle name="Обычный 3 11 3 2" xfId="59040"/>
    <cellStyle name="Обычный 3 11 3 3" xfId="61095"/>
    <cellStyle name="Обычный 3 11 4" xfId="59041"/>
    <cellStyle name="Обычный 3 11 5" xfId="59042"/>
    <cellStyle name="Обычный 3 12" xfId="59043"/>
    <cellStyle name="Обычный 3 12 2" xfId="59044"/>
    <cellStyle name="Обычный 3 12 2 2" xfId="59045"/>
    <cellStyle name="Обычный 3 12 2 3" xfId="59046"/>
    <cellStyle name="Обычный 3 12 3" xfId="59047"/>
    <cellStyle name="Обычный 3 12 3 2" xfId="59048"/>
    <cellStyle name="Обычный 3 12 3 3" xfId="61096"/>
    <cellStyle name="Обычный 3 12 4" xfId="59049"/>
    <cellStyle name="Обычный 3 12 5" xfId="59050"/>
    <cellStyle name="Обычный 3 13" xfId="59051"/>
    <cellStyle name="Обычный 3 13 2" xfId="59052"/>
    <cellStyle name="Обычный 3 13 2 2" xfId="59053"/>
    <cellStyle name="Обычный 3 13 2 3" xfId="59054"/>
    <cellStyle name="Обычный 3 13 3" xfId="59055"/>
    <cellStyle name="Обычный 3 13 3 2" xfId="59056"/>
    <cellStyle name="Обычный 3 13 3 3" xfId="61097"/>
    <cellStyle name="Обычный 3 13 4" xfId="59057"/>
    <cellStyle name="Обычный 3 13 5" xfId="59058"/>
    <cellStyle name="Обычный 3 14" xfId="59059"/>
    <cellStyle name="Обычный 3 14 2" xfId="59060"/>
    <cellStyle name="Обычный 3 14 2 2" xfId="59061"/>
    <cellStyle name="Обычный 3 14 2 3" xfId="59062"/>
    <cellStyle name="Обычный 3 14 3" xfId="59063"/>
    <cellStyle name="Обычный 3 14 3 2" xfId="59064"/>
    <cellStyle name="Обычный 3 14 3 3" xfId="61098"/>
    <cellStyle name="Обычный 3 14 4" xfId="59065"/>
    <cellStyle name="Обычный 3 14 5" xfId="59066"/>
    <cellStyle name="Обычный 3 15" xfId="59067"/>
    <cellStyle name="Обычный 3 15 2" xfId="59068"/>
    <cellStyle name="Обычный 3 15 2 2" xfId="59069"/>
    <cellStyle name="Обычный 3 15 2 3" xfId="59070"/>
    <cellStyle name="Обычный 3 15 3" xfId="59071"/>
    <cellStyle name="Обычный 3 15 3 2" xfId="59072"/>
    <cellStyle name="Обычный 3 15 3 3" xfId="61099"/>
    <cellStyle name="Обычный 3 15 4" xfId="59073"/>
    <cellStyle name="Обычный 3 15 5" xfId="59074"/>
    <cellStyle name="Обычный 3 16" xfId="59075"/>
    <cellStyle name="Обычный 3 16 2" xfId="59076"/>
    <cellStyle name="Обычный 3 16 2 2" xfId="59077"/>
    <cellStyle name="Обычный 3 16 2 3" xfId="59078"/>
    <cellStyle name="Обычный 3 16 3" xfId="59079"/>
    <cellStyle name="Обычный 3 16 3 2" xfId="59080"/>
    <cellStyle name="Обычный 3 16 3 3" xfId="61100"/>
    <cellStyle name="Обычный 3 16 4" xfId="59081"/>
    <cellStyle name="Обычный 3 16 5" xfId="59082"/>
    <cellStyle name="Обычный 3 17" xfId="59083"/>
    <cellStyle name="Обычный 3 17 2" xfId="59084"/>
    <cellStyle name="Обычный 3 17 2 2" xfId="59085"/>
    <cellStyle name="Обычный 3 17 2 3" xfId="59086"/>
    <cellStyle name="Обычный 3 17 3" xfId="59087"/>
    <cellStyle name="Обычный 3 17 3 2" xfId="59088"/>
    <cellStyle name="Обычный 3 17 3 3" xfId="61101"/>
    <cellStyle name="Обычный 3 17 4" xfId="59089"/>
    <cellStyle name="Обычный 3 17 5" xfId="59090"/>
    <cellStyle name="Обычный 3 18" xfId="59091"/>
    <cellStyle name="Обычный 3 18 2" xfId="59092"/>
    <cellStyle name="Обычный 3 18 2 2" xfId="59093"/>
    <cellStyle name="Обычный 3 18 2 3" xfId="59094"/>
    <cellStyle name="Обычный 3 18 3" xfId="59095"/>
    <cellStyle name="Обычный 3 18 3 2" xfId="59096"/>
    <cellStyle name="Обычный 3 18 3 3" xfId="61102"/>
    <cellStyle name="Обычный 3 18 4" xfId="59097"/>
    <cellStyle name="Обычный 3 18 5" xfId="59098"/>
    <cellStyle name="Обычный 3 19" xfId="59099"/>
    <cellStyle name="Обычный 3 19 2" xfId="59100"/>
    <cellStyle name="Обычный 3 19 3" xfId="59101"/>
    <cellStyle name="Обычный 3 2" xfId="59102"/>
    <cellStyle name="Обычный 3 20" xfId="59103"/>
    <cellStyle name="Обычный 3 20 2" xfId="59104"/>
    <cellStyle name="Обычный 3 20 3" xfId="61103"/>
    <cellStyle name="Обычный 3 21" xfId="59105"/>
    <cellStyle name="Обычный 3 22" xfId="59106"/>
    <cellStyle name="Обычный 3 23" xfId="59107"/>
    <cellStyle name="Обычный 3 3" xfId="59108"/>
    <cellStyle name="Обычный 3 3 2" xfId="59109"/>
    <cellStyle name="Обычный 3 3 3" xfId="61222"/>
    <cellStyle name="Обычный 3 4" xfId="59110"/>
    <cellStyle name="Обычный 3 4 2" xfId="59111"/>
    <cellStyle name="Обычный 3 4 2 2" xfId="59112"/>
    <cellStyle name="Обычный 3 4 2 2 2" xfId="59113"/>
    <cellStyle name="Обычный 3 4 2 2 2 2" xfId="59114"/>
    <cellStyle name="Обычный 3 4 2 2 2 3" xfId="59115"/>
    <cellStyle name="Обычный 3 4 2 2 3" xfId="59116"/>
    <cellStyle name="Обычный 3 4 2 2 3 2" xfId="59117"/>
    <cellStyle name="Обычный 3 4 2 2 3 3" xfId="61104"/>
    <cellStyle name="Обычный 3 4 2 2 4" xfId="59118"/>
    <cellStyle name="Обычный 3 4 2 2 5" xfId="59119"/>
    <cellStyle name="Обычный 3 4 2 3" xfId="59120"/>
    <cellStyle name="Обычный 3 4 2 3 2" xfId="59121"/>
    <cellStyle name="Обычный 3 4 2 3 3" xfId="59122"/>
    <cellStyle name="Обычный 3 4 2 4" xfId="59123"/>
    <cellStyle name="Обычный 3 4 2 4 2" xfId="59124"/>
    <cellStyle name="Обычный 3 4 2 4 3" xfId="61105"/>
    <cellStyle name="Обычный 3 4 2 5" xfId="59125"/>
    <cellStyle name="Обычный 3 4 2 6" xfId="59126"/>
    <cellStyle name="Обычный 3 4 2_объемы 2018г111" xfId="61106"/>
    <cellStyle name="Обычный 3 4 3" xfId="59127"/>
    <cellStyle name="Обычный 3 4 3 2" xfId="59128"/>
    <cellStyle name="Обычный 3 4 3 2 2" xfId="59129"/>
    <cellStyle name="Обычный 3 4 3 2 3" xfId="59130"/>
    <cellStyle name="Обычный 3 4 3 3" xfId="59131"/>
    <cellStyle name="Обычный 3 4 3 3 2" xfId="59132"/>
    <cellStyle name="Обычный 3 4 3 3 3" xfId="61107"/>
    <cellStyle name="Обычный 3 4 3 4" xfId="59133"/>
    <cellStyle name="Обычный 3 4 3 5" xfId="59134"/>
    <cellStyle name="Обычный 3 4 4" xfId="59135"/>
    <cellStyle name="Обычный 3 4 4 2" xfId="59136"/>
    <cellStyle name="Обычный 3 4 4 3" xfId="59137"/>
    <cellStyle name="Обычный 3 4 5" xfId="59138"/>
    <cellStyle name="Обычный 3 4 5 2" xfId="59139"/>
    <cellStyle name="Обычный 3 4 5 3" xfId="61108"/>
    <cellStyle name="Обычный 3 4 6" xfId="59140"/>
    <cellStyle name="Обычный 3 4 7" xfId="59141"/>
    <cellStyle name="Обычный 3 4_объемы 2018г111" xfId="61109"/>
    <cellStyle name="Обычный 3 5" xfId="59142"/>
    <cellStyle name="Обычный 3 5 2" xfId="59143"/>
    <cellStyle name="Обычный 3 5 2 2" xfId="59144"/>
    <cellStyle name="Обычный 3 5 2 2 2" xfId="59145"/>
    <cellStyle name="Обычный 3 5 2 2 2 2" xfId="59146"/>
    <cellStyle name="Обычный 3 5 2 2 2 3" xfId="59147"/>
    <cellStyle name="Обычный 3 5 2 2 3" xfId="59148"/>
    <cellStyle name="Обычный 3 5 2 2 3 2" xfId="59149"/>
    <cellStyle name="Обычный 3 5 2 2 3 3" xfId="61110"/>
    <cellStyle name="Обычный 3 5 2 2 4" xfId="59150"/>
    <cellStyle name="Обычный 3 5 2 2 5" xfId="59151"/>
    <cellStyle name="Обычный 3 5 2 3" xfId="59152"/>
    <cellStyle name="Обычный 3 5 2 3 2" xfId="59153"/>
    <cellStyle name="Обычный 3 5 2 3 3" xfId="59154"/>
    <cellStyle name="Обычный 3 5 2 4" xfId="59155"/>
    <cellStyle name="Обычный 3 5 2 4 2" xfId="59156"/>
    <cellStyle name="Обычный 3 5 2 4 3" xfId="61111"/>
    <cellStyle name="Обычный 3 5 2 5" xfId="59157"/>
    <cellStyle name="Обычный 3 5 2 6" xfId="59158"/>
    <cellStyle name="Обычный 3 5 2_объемы 2018г111" xfId="61112"/>
    <cellStyle name="Обычный 3 5 3" xfId="59159"/>
    <cellStyle name="Обычный 3 5 3 2" xfId="59160"/>
    <cellStyle name="Обычный 3 5 3 2 2" xfId="59161"/>
    <cellStyle name="Обычный 3 5 3 2 3" xfId="59162"/>
    <cellStyle name="Обычный 3 5 3 3" xfId="59163"/>
    <cellStyle name="Обычный 3 5 3 3 2" xfId="59164"/>
    <cellStyle name="Обычный 3 5 3 3 3" xfId="61113"/>
    <cellStyle name="Обычный 3 5 3 4" xfId="59165"/>
    <cellStyle name="Обычный 3 5 3 5" xfId="59166"/>
    <cellStyle name="Обычный 3 5 4" xfId="59167"/>
    <cellStyle name="Обычный 3 5 4 2" xfId="59168"/>
    <cellStyle name="Обычный 3 5 4 3" xfId="59169"/>
    <cellStyle name="Обычный 3 5 5" xfId="59170"/>
    <cellStyle name="Обычный 3 5 5 2" xfId="59171"/>
    <cellStyle name="Обычный 3 5 5 3" xfId="61114"/>
    <cellStyle name="Обычный 3 5 6" xfId="59172"/>
    <cellStyle name="Обычный 3 5 7" xfId="59173"/>
    <cellStyle name="Обычный 3 5_объемы 2018г111" xfId="61115"/>
    <cellStyle name="Обычный 3 6" xfId="59174"/>
    <cellStyle name="Обычный 3 6 2" xfId="59175"/>
    <cellStyle name="Обычный 3 6 2 2" xfId="59176"/>
    <cellStyle name="Обычный 3 6 2 2 2" xfId="59177"/>
    <cellStyle name="Обычный 3 6 2 2 3" xfId="59178"/>
    <cellStyle name="Обычный 3 6 2 3" xfId="59179"/>
    <cellStyle name="Обычный 3 6 2 3 2" xfId="59180"/>
    <cellStyle name="Обычный 3 6 2 3 3" xfId="61116"/>
    <cellStyle name="Обычный 3 6 2 4" xfId="59181"/>
    <cellStyle name="Обычный 3 6 2 5" xfId="59182"/>
    <cellStyle name="Обычный 3 6 3" xfId="59183"/>
    <cellStyle name="Обычный 3 6 3 2" xfId="59184"/>
    <cellStyle name="Обычный 3 6 3 3" xfId="59185"/>
    <cellStyle name="Обычный 3 6 4" xfId="59186"/>
    <cellStyle name="Обычный 3 6 4 2" xfId="59187"/>
    <cellStyle name="Обычный 3 6 4 3" xfId="61117"/>
    <cellStyle name="Обычный 3 6 5" xfId="59188"/>
    <cellStyle name="Обычный 3 6 6" xfId="59189"/>
    <cellStyle name="Обычный 3 6_объемы 2018г111" xfId="61118"/>
    <cellStyle name="Обычный 3 7" xfId="59190"/>
    <cellStyle name="Обычный 3 7 2" xfId="59191"/>
    <cellStyle name="Обычный 3 7 2 2" xfId="59192"/>
    <cellStyle name="Обычный 3 7 2 3" xfId="59193"/>
    <cellStyle name="Обычный 3 7 3" xfId="59194"/>
    <cellStyle name="Обычный 3 7 3 2" xfId="59195"/>
    <cellStyle name="Обычный 3 7 3 3" xfId="61119"/>
    <cellStyle name="Обычный 3 7 4" xfId="59196"/>
    <cellStyle name="Обычный 3 7 5" xfId="59197"/>
    <cellStyle name="Обычный 3 8" xfId="59198"/>
    <cellStyle name="Обычный 3 8 2" xfId="59199"/>
    <cellStyle name="Обычный 3 8 2 2" xfId="59200"/>
    <cellStyle name="Обычный 3 8 2 3" xfId="59201"/>
    <cellStyle name="Обычный 3 8 3" xfId="59202"/>
    <cellStyle name="Обычный 3 8 3 2" xfId="59203"/>
    <cellStyle name="Обычный 3 8 3 3" xfId="61120"/>
    <cellStyle name="Обычный 3 8 4" xfId="59204"/>
    <cellStyle name="Обычный 3 8 5" xfId="59205"/>
    <cellStyle name="Обычный 3 9" xfId="59206"/>
    <cellStyle name="Обычный 3 9 2" xfId="59207"/>
    <cellStyle name="Обычный 3 9 2 2" xfId="59208"/>
    <cellStyle name="Обычный 3 9 2 3" xfId="59209"/>
    <cellStyle name="Обычный 3 9 3" xfId="59210"/>
    <cellStyle name="Обычный 3 9 3 2" xfId="59211"/>
    <cellStyle name="Обычный 3 9 3 3" xfId="61121"/>
    <cellStyle name="Обычный 3 9 4" xfId="59212"/>
    <cellStyle name="Обычный 3 9 5" xfId="59213"/>
    <cellStyle name="Обычный 3_объемы 2018г111" xfId="61122"/>
    <cellStyle name="Обычный 30" xfId="59214"/>
    <cellStyle name="Обычный 30 2" xfId="59215"/>
    <cellStyle name="Обычный 30 2 2" xfId="59216"/>
    <cellStyle name="Обычный 30 3" xfId="59217"/>
    <cellStyle name="Обычный 30 3 2" xfId="59218"/>
    <cellStyle name="Обычный 30 4" xfId="59219"/>
    <cellStyle name="Обычный 30 5" xfId="59220"/>
    <cellStyle name="Обычный 30 6" xfId="59221"/>
    <cellStyle name="Обычный 30 7" xfId="59222"/>
    <cellStyle name="Обычный 30 8" xfId="59223"/>
    <cellStyle name="Обычный 31" xfId="59224"/>
    <cellStyle name="Обычный 31 2" xfId="59225"/>
    <cellStyle name="Обычный 31 2 2" xfId="59226"/>
    <cellStyle name="Обычный 31 2 3" xfId="59227"/>
    <cellStyle name="Обычный 31 3" xfId="59228"/>
    <cellStyle name="Обычный 31 3 2" xfId="59229"/>
    <cellStyle name="Обычный 31 3 3" xfId="61123"/>
    <cellStyle name="Обычный 31 4" xfId="59230"/>
    <cellStyle name="Обычный 31 5" xfId="59231"/>
    <cellStyle name="Обычный 32" xfId="59232"/>
    <cellStyle name="Обычный 32 2" xfId="59233"/>
    <cellStyle name="Обычный 32 2 2" xfId="59234"/>
    <cellStyle name="Обычный 32 2 3" xfId="59235"/>
    <cellStyle name="Обычный 32 3" xfId="59236"/>
    <cellStyle name="Обычный 32 3 2" xfId="59237"/>
    <cellStyle name="Обычный 32 3 3" xfId="61124"/>
    <cellStyle name="Обычный 32 4" xfId="59238"/>
    <cellStyle name="Обычный 32 5" xfId="59239"/>
    <cellStyle name="Обычный 33" xfId="59240"/>
    <cellStyle name="Обычный 33 2" xfId="59241"/>
    <cellStyle name="Обычный 33 2 2" xfId="59242"/>
    <cellStyle name="Обычный 33 2 3" xfId="59243"/>
    <cellStyle name="Обычный 33 3" xfId="59244"/>
    <cellStyle name="Обычный 33 3 2" xfId="59245"/>
    <cellStyle name="Обычный 33 3 3" xfId="61125"/>
    <cellStyle name="Обычный 33 4" xfId="59246"/>
    <cellStyle name="Обычный 33 5" xfId="59247"/>
    <cellStyle name="Обычный 34" xfId="59248"/>
    <cellStyle name="Обычный 34 2" xfId="59249"/>
    <cellStyle name="Обычный 34 2 2" xfId="59250"/>
    <cellStyle name="Обычный 34 2 3" xfId="59251"/>
    <cellStyle name="Обычный 34 3" xfId="59252"/>
    <cellStyle name="Обычный 34 3 2" xfId="59253"/>
    <cellStyle name="Обычный 34 3 3" xfId="61126"/>
    <cellStyle name="Обычный 34 4" xfId="59254"/>
    <cellStyle name="Обычный 34 5" xfId="59255"/>
    <cellStyle name="Обычный 35" xfId="59256"/>
    <cellStyle name="Обычный 35 2" xfId="59257"/>
    <cellStyle name="Обычный 35 2 2" xfId="59258"/>
    <cellStyle name="Обычный 35 2 3" xfId="59259"/>
    <cellStyle name="Обычный 35 3" xfId="59260"/>
    <cellStyle name="Обычный 35 3 2" xfId="59261"/>
    <cellStyle name="Обычный 35 3 3" xfId="61127"/>
    <cellStyle name="Обычный 35 4" xfId="59262"/>
    <cellStyle name="Обычный 35 5" xfId="59263"/>
    <cellStyle name="Обычный 36" xfId="59264"/>
    <cellStyle name="Обычный 36 2" xfId="59265"/>
    <cellStyle name="Обычный 36 2 2" xfId="59266"/>
    <cellStyle name="Обычный 36 2 3" xfId="59267"/>
    <cellStyle name="Обычный 36 3" xfId="59268"/>
    <cellStyle name="Обычный 36 3 2" xfId="59269"/>
    <cellStyle name="Обычный 36 3 3" xfId="61128"/>
    <cellStyle name="Обычный 36 4" xfId="59270"/>
    <cellStyle name="Обычный 36 5" xfId="59271"/>
    <cellStyle name="Обычный 37" xfId="59272"/>
    <cellStyle name="Обычный 37 2" xfId="59273"/>
    <cellStyle name="Обычный 37 2 2" xfId="59274"/>
    <cellStyle name="Обычный 37 2 3" xfId="59275"/>
    <cellStyle name="Обычный 37 3" xfId="59276"/>
    <cellStyle name="Обычный 37 3 2" xfId="59277"/>
    <cellStyle name="Обычный 37 3 3" xfId="61129"/>
    <cellStyle name="Обычный 37 4" xfId="59278"/>
    <cellStyle name="Обычный 37 5" xfId="59279"/>
    <cellStyle name="Обычный 38" xfId="59280"/>
    <cellStyle name="Обычный 38 2" xfId="59281"/>
    <cellStyle name="Обычный 38 2 2" xfId="59282"/>
    <cellStyle name="Обычный 38 2 3" xfId="59283"/>
    <cellStyle name="Обычный 38 3" xfId="59284"/>
    <cellStyle name="Обычный 38 3 2" xfId="59285"/>
    <cellStyle name="Обычный 38 3 3" xfId="61130"/>
    <cellStyle name="Обычный 38 4" xfId="59286"/>
    <cellStyle name="Обычный 38 5" xfId="59287"/>
    <cellStyle name="Обычный 39" xfId="59288"/>
    <cellStyle name="Обычный 39 2" xfId="59289"/>
    <cellStyle name="Обычный 39 2 2" xfId="59290"/>
    <cellStyle name="Обычный 39 2 3" xfId="59291"/>
    <cellStyle name="Обычный 39 3" xfId="59292"/>
    <cellStyle name="Обычный 39 3 2" xfId="59293"/>
    <cellStyle name="Обычный 39 3 3" xfId="61131"/>
    <cellStyle name="Обычный 39 4" xfId="59294"/>
    <cellStyle name="Обычный 39 5" xfId="59295"/>
    <cellStyle name="Обычный 4" xfId="1"/>
    <cellStyle name="Обычный 4 10" xfId="59296"/>
    <cellStyle name="Обычный 4 10 2" xfId="9"/>
    <cellStyle name="Обычный 4 10 2 2" xfId="11"/>
    <cellStyle name="Обычный 4 10 2 2 2" xfId="61209"/>
    <cellStyle name="Обычный 4 10 2 2 3" xfId="61230"/>
    <cellStyle name="Обычный 4 10 2 2 4" xfId="61238"/>
    <cellStyle name="Обычный 4 10 2 3" xfId="59297"/>
    <cellStyle name="Обычный 4 10 3" xfId="59298"/>
    <cellStyle name="Обычный 4 10 3 2" xfId="59299"/>
    <cellStyle name="Обычный 4 10 3 3" xfId="61132"/>
    <cellStyle name="Обычный 4 10 4" xfId="59300"/>
    <cellStyle name="Обычный 4 10 5" xfId="59301"/>
    <cellStyle name="Обычный 4 11" xfId="59302"/>
    <cellStyle name="Обычный 4 11 2" xfId="59303"/>
    <cellStyle name="Обычный 4 11 2 2" xfId="59304"/>
    <cellStyle name="Обычный 4 11 2 3" xfId="59305"/>
    <cellStyle name="Обычный 4 11 3" xfId="59306"/>
    <cellStyle name="Обычный 4 11 3 2" xfId="59307"/>
    <cellStyle name="Обычный 4 11 3 3" xfId="61133"/>
    <cellStyle name="Обычный 4 11 4" xfId="59308"/>
    <cellStyle name="Обычный 4 11 5" xfId="59309"/>
    <cellStyle name="Обычный 4 12" xfId="59310"/>
    <cellStyle name="Обычный 4 12 2" xfId="59311"/>
    <cellStyle name="Обычный 4 12 2 2" xfId="59312"/>
    <cellStyle name="Обычный 4 12 2 3" xfId="59313"/>
    <cellStyle name="Обычный 4 12 3" xfId="59314"/>
    <cellStyle name="Обычный 4 12 3 2" xfId="59315"/>
    <cellStyle name="Обычный 4 12 3 3" xfId="61134"/>
    <cellStyle name="Обычный 4 12 4" xfId="59316"/>
    <cellStyle name="Обычный 4 12 5" xfId="59317"/>
    <cellStyle name="Обычный 4 13" xfId="59318"/>
    <cellStyle name="Обычный 4 13 2" xfId="59319"/>
    <cellStyle name="Обычный 4 13 2 2" xfId="59320"/>
    <cellStyle name="Обычный 4 13 2 3" xfId="59321"/>
    <cellStyle name="Обычный 4 13 3" xfId="59322"/>
    <cellStyle name="Обычный 4 13 3 2" xfId="59323"/>
    <cellStyle name="Обычный 4 13 3 3" xfId="61135"/>
    <cellStyle name="Обычный 4 13 4" xfId="59324"/>
    <cellStyle name="Обычный 4 13 5" xfId="59325"/>
    <cellStyle name="Обычный 4 14" xfId="59326"/>
    <cellStyle name="Обычный 4 14 2" xfId="59327"/>
    <cellStyle name="Обычный 4 14 2 2" xfId="59328"/>
    <cellStyle name="Обычный 4 14 2 3" xfId="59329"/>
    <cellStyle name="Обычный 4 14 3" xfId="59330"/>
    <cellStyle name="Обычный 4 14 3 2" xfId="59331"/>
    <cellStyle name="Обычный 4 14 3 3" xfId="61136"/>
    <cellStyle name="Обычный 4 14 4" xfId="59332"/>
    <cellStyle name="Обычный 4 14 5" xfId="59333"/>
    <cellStyle name="Обычный 4 15" xfId="59334"/>
    <cellStyle name="Обычный 4 15 2" xfId="59335"/>
    <cellStyle name="Обычный 4 15 2 2" xfId="59336"/>
    <cellStyle name="Обычный 4 15 2 3" xfId="59337"/>
    <cellStyle name="Обычный 4 15 3" xfId="59338"/>
    <cellStyle name="Обычный 4 15 3 2" xfId="59339"/>
    <cellStyle name="Обычный 4 15 3 3" xfId="61137"/>
    <cellStyle name="Обычный 4 15 4" xfId="59340"/>
    <cellStyle name="Обычный 4 15 5" xfId="59341"/>
    <cellStyle name="Обычный 4 16" xfId="59342"/>
    <cellStyle name="Обычный 4 16 2" xfId="59343"/>
    <cellStyle name="Обычный 4 16 2 2" xfId="59344"/>
    <cellStyle name="Обычный 4 16 2 3" xfId="59345"/>
    <cellStyle name="Обычный 4 16 3" xfId="59346"/>
    <cellStyle name="Обычный 4 16 3 2" xfId="59347"/>
    <cellStyle name="Обычный 4 16 3 3" xfId="61138"/>
    <cellStyle name="Обычный 4 16 4" xfId="59348"/>
    <cellStyle name="Обычный 4 16 5" xfId="59349"/>
    <cellStyle name="Обычный 4 17" xfId="59350"/>
    <cellStyle name="Обычный 4 17 2" xfId="59351"/>
    <cellStyle name="Обычный 4 17 2 2" xfId="59352"/>
    <cellStyle name="Обычный 4 17 2 3" xfId="59353"/>
    <cellStyle name="Обычный 4 17 3" xfId="59354"/>
    <cellStyle name="Обычный 4 17 3 2" xfId="59355"/>
    <cellStyle name="Обычный 4 17 3 3" xfId="61139"/>
    <cellStyle name="Обычный 4 17 4" xfId="59356"/>
    <cellStyle name="Обычный 4 17 5" xfId="59357"/>
    <cellStyle name="Обычный 4 18" xfId="59358"/>
    <cellStyle name="Обычный 4 18 2" xfId="59359"/>
    <cellStyle name="Обычный 4 18 2 2" xfId="59360"/>
    <cellStyle name="Обычный 4 18 2 3" xfId="59361"/>
    <cellStyle name="Обычный 4 18 3" xfId="59362"/>
    <cellStyle name="Обычный 4 18 3 2" xfId="59363"/>
    <cellStyle name="Обычный 4 18 3 3" xfId="61140"/>
    <cellStyle name="Обычный 4 18 4" xfId="59364"/>
    <cellStyle name="Обычный 4 18 5" xfId="59365"/>
    <cellStyle name="Обычный 4 19" xfId="59366"/>
    <cellStyle name="Обычный 4 19 2" xfId="59367"/>
    <cellStyle name="Обычный 4 19 3" xfId="59368"/>
    <cellStyle name="Обычный 4 2" xfId="59369"/>
    <cellStyle name="Обычный 4 2 2" xfId="59370"/>
    <cellStyle name="Обычный 4 20" xfId="59371"/>
    <cellStyle name="Обычный 4 20 2" xfId="59372"/>
    <cellStyle name="Обычный 4 20 3" xfId="61141"/>
    <cellStyle name="Обычный 4 21" xfId="59373"/>
    <cellStyle name="Обычный 4 21 2" xfId="59374"/>
    <cellStyle name="Обычный 4 22" xfId="59375"/>
    <cellStyle name="Обычный 4 23" xfId="59376"/>
    <cellStyle name="Обычный 4 24" xfId="59377"/>
    <cellStyle name="Обычный 4 25" xfId="59378"/>
    <cellStyle name="Обычный 4 26" xfId="59379"/>
    <cellStyle name="Обычный 4 27" xfId="59380"/>
    <cellStyle name="Обычный 4 28" xfId="59381"/>
    <cellStyle name="Обычный 4 29" xfId="59382"/>
    <cellStyle name="Обычный 4 3" xfId="59383"/>
    <cellStyle name="Обычный 4 3 2" xfId="59384"/>
    <cellStyle name="Обычный 4 3 2 2" xfId="59385"/>
    <cellStyle name="Обычный 4 3 2 2 2" xfId="59386"/>
    <cellStyle name="Обычный 4 3 2 2 2 2" xfId="59387"/>
    <cellStyle name="Обычный 4 3 2 2 2 3" xfId="59388"/>
    <cellStyle name="Обычный 4 3 2 2 3" xfId="59389"/>
    <cellStyle name="Обычный 4 3 2 2 3 2" xfId="59390"/>
    <cellStyle name="Обычный 4 3 2 2 3 3" xfId="61142"/>
    <cellStyle name="Обычный 4 3 2 2 4" xfId="59391"/>
    <cellStyle name="Обычный 4 3 2 2 5" xfId="59392"/>
    <cellStyle name="Обычный 4 3 2 3" xfId="59393"/>
    <cellStyle name="Обычный 4 3 2 3 2" xfId="59394"/>
    <cellStyle name="Обычный 4 3 2 3 3" xfId="59395"/>
    <cellStyle name="Обычный 4 3 2 4" xfId="59396"/>
    <cellStyle name="Обычный 4 3 2 4 2" xfId="59397"/>
    <cellStyle name="Обычный 4 3 2 4 3" xfId="61143"/>
    <cellStyle name="Обычный 4 3 2 5" xfId="59398"/>
    <cellStyle name="Обычный 4 3 2 6" xfId="59399"/>
    <cellStyle name="Обычный 4 3 2_объемы 2018г111" xfId="61144"/>
    <cellStyle name="Обычный 4 3 3" xfId="59400"/>
    <cellStyle name="Обычный 4 3 3 2" xfId="59401"/>
    <cellStyle name="Обычный 4 3 3 2 2" xfId="59402"/>
    <cellStyle name="Обычный 4 3 3 2 3" xfId="59403"/>
    <cellStyle name="Обычный 4 3 3 3" xfId="59404"/>
    <cellStyle name="Обычный 4 3 3 3 2" xfId="59405"/>
    <cellStyle name="Обычный 4 3 3 3 3" xfId="61145"/>
    <cellStyle name="Обычный 4 3 3 4" xfId="59406"/>
    <cellStyle name="Обычный 4 3 3 5" xfId="59407"/>
    <cellStyle name="Обычный 4 3 4" xfId="59408"/>
    <cellStyle name="Обычный 4 3 4 2" xfId="59409"/>
    <cellStyle name="Обычный 4 3 4 3" xfId="59410"/>
    <cellStyle name="Обычный 4 3 5" xfId="59411"/>
    <cellStyle name="Обычный 4 3 5 2" xfId="59412"/>
    <cellStyle name="Обычный 4 3 5 3" xfId="61146"/>
    <cellStyle name="Обычный 4 3 6" xfId="59413"/>
    <cellStyle name="Обычный 4 3 7" xfId="59414"/>
    <cellStyle name="Обычный 4 3_объемы 2018г111" xfId="61147"/>
    <cellStyle name="Обычный 4 30" xfId="59415"/>
    <cellStyle name="Обычный 4 31" xfId="59416"/>
    <cellStyle name="Обычный 4 32" xfId="59417"/>
    <cellStyle name="Обычный 4 4" xfId="59418"/>
    <cellStyle name="Обычный 4 4 2" xfId="59419"/>
    <cellStyle name="Обычный 4 4 2 2" xfId="59420"/>
    <cellStyle name="Обычный 4 4 2 2 2" xfId="59421"/>
    <cellStyle name="Обычный 4 4 2 2 2 2" xfId="59422"/>
    <cellStyle name="Обычный 4 4 2 2 2 3" xfId="59423"/>
    <cellStyle name="Обычный 4 4 2 2 3" xfId="59424"/>
    <cellStyle name="Обычный 4 4 2 2 3 2" xfId="59425"/>
    <cellStyle name="Обычный 4 4 2 2 3 3" xfId="61148"/>
    <cellStyle name="Обычный 4 4 2 2 4" xfId="59426"/>
    <cellStyle name="Обычный 4 4 2 2 5" xfId="59427"/>
    <cellStyle name="Обычный 4 4 2 3" xfId="59428"/>
    <cellStyle name="Обычный 4 4 2 3 2" xfId="59429"/>
    <cellStyle name="Обычный 4 4 2 3 3" xfId="59430"/>
    <cellStyle name="Обычный 4 4 2 4" xfId="59431"/>
    <cellStyle name="Обычный 4 4 2 4 2" xfId="59432"/>
    <cellStyle name="Обычный 4 4 2 4 3" xfId="61149"/>
    <cellStyle name="Обычный 4 4 2 5" xfId="59433"/>
    <cellStyle name="Обычный 4 4 2 6" xfId="59434"/>
    <cellStyle name="Обычный 4 4 2_объемы 2018г111" xfId="61150"/>
    <cellStyle name="Обычный 4 4 3" xfId="59435"/>
    <cellStyle name="Обычный 4 4 3 2" xfId="59436"/>
    <cellStyle name="Обычный 4 4 3 2 2" xfId="59437"/>
    <cellStyle name="Обычный 4 4 3 2 3" xfId="59438"/>
    <cellStyle name="Обычный 4 4 3 3" xfId="59439"/>
    <cellStyle name="Обычный 4 4 3 3 2" xfId="59440"/>
    <cellStyle name="Обычный 4 4 3 3 3" xfId="61151"/>
    <cellStyle name="Обычный 4 4 3 4" xfId="59441"/>
    <cellStyle name="Обычный 4 4 3 5" xfId="59442"/>
    <cellStyle name="Обычный 4 4 4" xfId="59443"/>
    <cellStyle name="Обычный 4 4 4 2" xfId="59444"/>
    <cellStyle name="Обычный 4 4 4 3" xfId="59445"/>
    <cellStyle name="Обычный 4 4 5" xfId="59446"/>
    <cellStyle name="Обычный 4 4 5 2" xfId="59447"/>
    <cellStyle name="Обычный 4 4 5 3" xfId="61152"/>
    <cellStyle name="Обычный 4 4 6" xfId="59448"/>
    <cellStyle name="Обычный 4 4 7" xfId="59449"/>
    <cellStyle name="Обычный 4 4_объемы 2018г111" xfId="61153"/>
    <cellStyle name="Обычный 4 5" xfId="59450"/>
    <cellStyle name="Обычный 4 5 2" xfId="59451"/>
    <cellStyle name="Обычный 4 5 2 2" xfId="59452"/>
    <cellStyle name="Обычный 4 5 2 2 2" xfId="59453"/>
    <cellStyle name="Обычный 4 5 2 2 3" xfId="59454"/>
    <cellStyle name="Обычный 4 5 2 3" xfId="59455"/>
    <cellStyle name="Обычный 4 5 2 3 2" xfId="59456"/>
    <cellStyle name="Обычный 4 5 2 3 3" xfId="61154"/>
    <cellStyle name="Обычный 4 5 2 4" xfId="59457"/>
    <cellStyle name="Обычный 4 5 2 5" xfId="59458"/>
    <cellStyle name="Обычный 4 5 3" xfId="59459"/>
    <cellStyle name="Обычный 4 5 3 2" xfId="59460"/>
    <cellStyle name="Обычный 4 5 3 3" xfId="59461"/>
    <cellStyle name="Обычный 4 5 4" xfId="59462"/>
    <cellStyle name="Обычный 4 5 4 2" xfId="59463"/>
    <cellStyle name="Обычный 4 5 4 3" xfId="61155"/>
    <cellStyle name="Обычный 4 5 5" xfId="59464"/>
    <cellStyle name="Обычный 4 5 6" xfId="59465"/>
    <cellStyle name="Обычный 4 5_объемы 2018г111" xfId="61156"/>
    <cellStyle name="Обычный 4 6" xfId="59466"/>
    <cellStyle name="Обычный 4 6 2" xfId="59467"/>
    <cellStyle name="Обычный 4 6 2 2" xfId="59468"/>
    <cellStyle name="Обычный 4 6 2 3" xfId="59469"/>
    <cellStyle name="Обычный 4 6 3" xfId="59470"/>
    <cellStyle name="Обычный 4 6 3 2" xfId="59471"/>
    <cellStyle name="Обычный 4 6 3 3" xfId="61157"/>
    <cellStyle name="Обычный 4 6 4" xfId="59472"/>
    <cellStyle name="Обычный 4 6 5" xfId="59473"/>
    <cellStyle name="Обычный 4 7" xfId="59474"/>
    <cellStyle name="Обычный 4 7 2" xfId="59475"/>
    <cellStyle name="Обычный 4 7 2 2" xfId="59476"/>
    <cellStyle name="Обычный 4 7 2 3" xfId="59477"/>
    <cellStyle name="Обычный 4 7 3" xfId="59478"/>
    <cellStyle name="Обычный 4 7 3 2" xfId="59479"/>
    <cellStyle name="Обычный 4 7 3 3" xfId="61158"/>
    <cellStyle name="Обычный 4 7 4" xfId="59480"/>
    <cellStyle name="Обычный 4 7 5" xfId="59481"/>
    <cellStyle name="Обычный 4 8" xfId="59482"/>
    <cellStyle name="Обычный 4 8 2" xfId="59483"/>
    <cellStyle name="Обычный 4 8 2 2" xfId="59484"/>
    <cellStyle name="Обычный 4 8 2 3" xfId="59485"/>
    <cellStyle name="Обычный 4 8 3" xfId="59486"/>
    <cellStyle name="Обычный 4 8 3 2" xfId="59487"/>
    <cellStyle name="Обычный 4 8 3 3" xfId="61159"/>
    <cellStyle name="Обычный 4 8 4" xfId="59488"/>
    <cellStyle name="Обычный 4 8 5" xfId="59489"/>
    <cellStyle name="Обычный 4 9" xfId="59490"/>
    <cellStyle name="Обычный 4 9 2" xfId="59491"/>
    <cellStyle name="Обычный 4 9 2 2" xfId="59492"/>
    <cellStyle name="Обычный 4 9 2 3" xfId="59493"/>
    <cellStyle name="Обычный 4 9 3" xfId="59494"/>
    <cellStyle name="Обычный 4 9 3 2" xfId="59495"/>
    <cellStyle name="Обычный 4 9 3 3" xfId="61160"/>
    <cellStyle name="Обычный 4 9 4" xfId="59496"/>
    <cellStyle name="Обычный 4 9 5" xfId="59497"/>
    <cellStyle name="Обычный 4_объемы 2018г111" xfId="61161"/>
    <cellStyle name="Обычный 40" xfId="59498"/>
    <cellStyle name="Обычный 40 2" xfId="59499"/>
    <cellStyle name="Обычный 40 2 2" xfId="59500"/>
    <cellStyle name="Обычный 40 2 3" xfId="59501"/>
    <cellStyle name="Обычный 40 3" xfId="59502"/>
    <cellStyle name="Обычный 40 3 2" xfId="59503"/>
    <cellStyle name="Обычный 40 3 3" xfId="61162"/>
    <cellStyle name="Обычный 40 4" xfId="59504"/>
    <cellStyle name="Обычный 40 5" xfId="59505"/>
    <cellStyle name="Обычный 41" xfId="59506"/>
    <cellStyle name="Обычный 41 2" xfId="59507"/>
    <cellStyle name="Обычный 41 2 2" xfId="59508"/>
    <cellStyle name="Обычный 41 2 3" xfId="59509"/>
    <cellStyle name="Обычный 41 3" xfId="59510"/>
    <cellStyle name="Обычный 41 3 2" xfId="59511"/>
    <cellStyle name="Обычный 41 3 3" xfId="61163"/>
    <cellStyle name="Обычный 41 4" xfId="59512"/>
    <cellStyle name="Обычный 41 5" xfId="59513"/>
    <cellStyle name="Обычный 42" xfId="59514"/>
    <cellStyle name="Обычный 42 2" xfId="59515"/>
    <cellStyle name="Обычный 42 2 2" xfId="59516"/>
    <cellStyle name="Обычный 42 2 3" xfId="59517"/>
    <cellStyle name="Обычный 42 3" xfId="59518"/>
    <cellStyle name="Обычный 42 3 2" xfId="59519"/>
    <cellStyle name="Обычный 42 3 3" xfId="61164"/>
    <cellStyle name="Обычный 42 4" xfId="59520"/>
    <cellStyle name="Обычный 42 5" xfId="59521"/>
    <cellStyle name="Обычный 43" xfId="59522"/>
    <cellStyle name="Обычный 43 2" xfId="59523"/>
    <cellStyle name="Обычный 43 2 2" xfId="59524"/>
    <cellStyle name="Обычный 43 2 3" xfId="59525"/>
    <cellStyle name="Обычный 43 3" xfId="59526"/>
    <cellStyle name="Обычный 43 3 2" xfId="59527"/>
    <cellStyle name="Обычный 43 3 3" xfId="61165"/>
    <cellStyle name="Обычный 43 4" xfId="59528"/>
    <cellStyle name="Обычный 43 5" xfId="59529"/>
    <cellStyle name="Обычный 44" xfId="59530"/>
    <cellStyle name="Обычный 44 2" xfId="59531"/>
    <cellStyle name="Обычный 44 2 2" xfId="59532"/>
    <cellStyle name="Обычный 44 2 3" xfId="59533"/>
    <cellStyle name="Обычный 44 3" xfId="59534"/>
    <cellStyle name="Обычный 44 3 2" xfId="59535"/>
    <cellStyle name="Обычный 44 3 3" xfId="61166"/>
    <cellStyle name="Обычный 44 4" xfId="59536"/>
    <cellStyle name="Обычный 44 5" xfId="59537"/>
    <cellStyle name="Обычный 45" xfId="59538"/>
    <cellStyle name="Обычный 45 2" xfId="59539"/>
    <cellStyle name="Обычный 45 2 2" xfId="59540"/>
    <cellStyle name="Обычный 45 2 3" xfId="59541"/>
    <cellStyle name="Обычный 45 3" xfId="59542"/>
    <cellStyle name="Обычный 45 3 2" xfId="59543"/>
    <cellStyle name="Обычный 45 3 3" xfId="61167"/>
    <cellStyle name="Обычный 45 4" xfId="59544"/>
    <cellStyle name="Обычный 45 5" xfId="59545"/>
    <cellStyle name="Обычный 46" xfId="59546"/>
    <cellStyle name="Обычный 46 2" xfId="59547"/>
    <cellStyle name="Обычный 46 2 2" xfId="59548"/>
    <cellStyle name="Обычный 46 2 3" xfId="59549"/>
    <cellStyle name="Обычный 46 3" xfId="59550"/>
    <cellStyle name="Обычный 46 3 2" xfId="59551"/>
    <cellStyle name="Обычный 46 3 3" xfId="61168"/>
    <cellStyle name="Обычный 46 4" xfId="59552"/>
    <cellStyle name="Обычный 46 5" xfId="59553"/>
    <cellStyle name="Обычный 47" xfId="59554"/>
    <cellStyle name="Обычный 47 2" xfId="59555"/>
    <cellStyle name="Обычный 47 2 2" xfId="59556"/>
    <cellStyle name="Обычный 47 2 3" xfId="59557"/>
    <cellStyle name="Обычный 47 3" xfId="59558"/>
    <cellStyle name="Обычный 47 3 2" xfId="59559"/>
    <cellStyle name="Обычный 47 3 3" xfId="61169"/>
    <cellStyle name="Обычный 47 4" xfId="59560"/>
    <cellStyle name="Обычный 47 5" xfId="59561"/>
    <cellStyle name="Обычный 48" xfId="59562"/>
    <cellStyle name="Обычный 48 2" xfId="59563"/>
    <cellStyle name="Обычный 48 2 2" xfId="59564"/>
    <cellStyle name="Обычный 48 2 3" xfId="59565"/>
    <cellStyle name="Обычный 48 3" xfId="59566"/>
    <cellStyle name="Обычный 48 3 2" xfId="59567"/>
    <cellStyle name="Обычный 48 3 3" xfId="61170"/>
    <cellStyle name="Обычный 48 4" xfId="59568"/>
    <cellStyle name="Обычный 48 5" xfId="59569"/>
    <cellStyle name="Обычный 49" xfId="59570"/>
    <cellStyle name="Обычный 49 2" xfId="59571"/>
    <cellStyle name="Обычный 49 2 2" xfId="59572"/>
    <cellStyle name="Обычный 49 2 3" xfId="59573"/>
    <cellStyle name="Обычный 49 3" xfId="59574"/>
    <cellStyle name="Обычный 49 3 2" xfId="59575"/>
    <cellStyle name="Обычный 49 3 3" xfId="61171"/>
    <cellStyle name="Обычный 49 4" xfId="59576"/>
    <cellStyle name="Обычный 49 5" xfId="59577"/>
    <cellStyle name="Обычный 5" xfId="59578"/>
    <cellStyle name="Обычный 5 2" xfId="59579"/>
    <cellStyle name="Обычный 5 3" xfId="59580"/>
    <cellStyle name="Обычный 50" xfId="59581"/>
    <cellStyle name="Обычный 50 2" xfId="59582"/>
    <cellStyle name="Обычный 50 2 2" xfId="59583"/>
    <cellStyle name="Обычный 50 2 3" xfId="59584"/>
    <cellStyle name="Обычный 50 3" xfId="59585"/>
    <cellStyle name="Обычный 50 3 2" xfId="59586"/>
    <cellStyle name="Обычный 50 3 3" xfId="61172"/>
    <cellStyle name="Обычный 50 4" xfId="59587"/>
    <cellStyle name="Обычный 50 5" xfId="59588"/>
    <cellStyle name="Обычный 51" xfId="59589"/>
    <cellStyle name="Обычный 51 2" xfId="59590"/>
    <cellStyle name="Обычный 51 2 2" xfId="59591"/>
    <cellStyle name="Обычный 51 2 3" xfId="59592"/>
    <cellStyle name="Обычный 51 3" xfId="59593"/>
    <cellStyle name="Обычный 51 3 2" xfId="59594"/>
    <cellStyle name="Обычный 51 3 3" xfId="61173"/>
    <cellStyle name="Обычный 51 4" xfId="59595"/>
    <cellStyle name="Обычный 51 5" xfId="59596"/>
    <cellStyle name="Обычный 52" xfId="59597"/>
    <cellStyle name="Обычный 52 2" xfId="59598"/>
    <cellStyle name="Обычный 52 2 2" xfId="59599"/>
    <cellStyle name="Обычный 52 2 3" xfId="59600"/>
    <cellStyle name="Обычный 52 3" xfId="59601"/>
    <cellStyle name="Обычный 52 3 2" xfId="59602"/>
    <cellStyle name="Обычный 52 3 3" xfId="61174"/>
    <cellStyle name="Обычный 52 4" xfId="59603"/>
    <cellStyle name="Обычный 52 5" xfId="59604"/>
    <cellStyle name="Обычный 53" xfId="59605"/>
    <cellStyle name="Обычный 53 2" xfId="59606"/>
    <cellStyle name="Обычный 53 2 2" xfId="59607"/>
    <cellStyle name="Обычный 53 2 3" xfId="59608"/>
    <cellStyle name="Обычный 53 3" xfId="59609"/>
    <cellStyle name="Обычный 53 3 2" xfId="59610"/>
    <cellStyle name="Обычный 53 3 3" xfId="61175"/>
    <cellStyle name="Обычный 53 4" xfId="59611"/>
    <cellStyle name="Обычный 53 5" xfId="59612"/>
    <cellStyle name="Обычный 54" xfId="59613"/>
    <cellStyle name="Обычный 54 2" xfId="59614"/>
    <cellStyle name="Обычный 54 2 2" xfId="59615"/>
    <cellStyle name="Обычный 54 2 3" xfId="59616"/>
    <cellStyle name="Обычный 54 3" xfId="59617"/>
    <cellStyle name="Обычный 54 3 2" xfId="59618"/>
    <cellStyle name="Обычный 54 3 3" xfId="61176"/>
    <cellStyle name="Обычный 54 4" xfId="59619"/>
    <cellStyle name="Обычный 54 5" xfId="59620"/>
    <cellStyle name="Обычный 55" xfId="59621"/>
    <cellStyle name="Обычный 55 2" xfId="59622"/>
    <cellStyle name="Обычный 55 2 2" xfId="59623"/>
    <cellStyle name="Обычный 55 2 3" xfId="59624"/>
    <cellStyle name="Обычный 55 3" xfId="59625"/>
    <cellStyle name="Обычный 55 3 2" xfId="59626"/>
    <cellStyle name="Обычный 55 3 3" xfId="61177"/>
    <cellStyle name="Обычный 55 4" xfId="59627"/>
    <cellStyle name="Обычный 55 5" xfId="59628"/>
    <cellStyle name="Обычный 56" xfId="59629"/>
    <cellStyle name="Обычный 56 2" xfId="59630"/>
    <cellStyle name="Обычный 56 2 2" xfId="59631"/>
    <cellStyle name="Обычный 56 2 3" xfId="59632"/>
    <cellStyle name="Обычный 56 3" xfId="59633"/>
    <cellStyle name="Обычный 56 3 2" xfId="59634"/>
    <cellStyle name="Обычный 56 3 3" xfId="61178"/>
    <cellStyle name="Обычный 56 4" xfId="59635"/>
    <cellStyle name="Обычный 56 5" xfId="59636"/>
    <cellStyle name="Обычный 57" xfId="59637"/>
    <cellStyle name="Обычный 57 2" xfId="59638"/>
    <cellStyle name="Обычный 57 2 2" xfId="59639"/>
    <cellStyle name="Обычный 57 2 3" xfId="59640"/>
    <cellStyle name="Обычный 57 3" xfId="59641"/>
    <cellStyle name="Обычный 57 3 2" xfId="59642"/>
    <cellStyle name="Обычный 57 3 3" xfId="61179"/>
    <cellStyle name="Обычный 57 4" xfId="59643"/>
    <cellStyle name="Обычный 57 5" xfId="59644"/>
    <cellStyle name="Обычный 58" xfId="59645"/>
    <cellStyle name="Обычный 58 2" xfId="59646"/>
    <cellStyle name="Обычный 58 2 2" xfId="59647"/>
    <cellStyle name="Обычный 58 2 3" xfId="59648"/>
    <cellStyle name="Обычный 58 3" xfId="59649"/>
    <cellStyle name="Обычный 58 3 2" xfId="59650"/>
    <cellStyle name="Обычный 58 3 3" xfId="61180"/>
    <cellStyle name="Обычный 58 4" xfId="59651"/>
    <cellStyle name="Обычный 58 5" xfId="59652"/>
    <cellStyle name="Обычный 59" xfId="59653"/>
    <cellStyle name="Обычный 59 2" xfId="59654"/>
    <cellStyle name="Обычный 59 2 2" xfId="59655"/>
    <cellStyle name="Обычный 59 2 3" xfId="59656"/>
    <cellStyle name="Обычный 59 3" xfId="59657"/>
    <cellStyle name="Обычный 59 3 2" xfId="59658"/>
    <cellStyle name="Обычный 59 3 3" xfId="61181"/>
    <cellStyle name="Обычный 59 4" xfId="59659"/>
    <cellStyle name="Обычный 59 5" xfId="59660"/>
    <cellStyle name="Обычный 6" xfId="59661"/>
    <cellStyle name="Обычный 6 10" xfId="59662"/>
    <cellStyle name="Обычный 6 11" xfId="59663"/>
    <cellStyle name="Обычный 6 12" xfId="59664"/>
    <cellStyle name="Обычный 6 13" xfId="59665"/>
    <cellStyle name="Обычный 6 14" xfId="59666"/>
    <cellStyle name="Обычный 6 15" xfId="59667"/>
    <cellStyle name="Обычный 6 16" xfId="59668"/>
    <cellStyle name="Обычный 6 17" xfId="59669"/>
    <cellStyle name="Обычный 6 18" xfId="59670"/>
    <cellStyle name="Обычный 6 19" xfId="59671"/>
    <cellStyle name="Обычный 6 19 2" xfId="61190"/>
    <cellStyle name="Обычный 6 19 3" xfId="61204"/>
    <cellStyle name="Обычный 6 19 4" xfId="61228"/>
    <cellStyle name="Обычный 6 19 5" xfId="61246"/>
    <cellStyle name="Обычный 6 2" xfId="59672"/>
    <cellStyle name="Обычный 6 2 2" xfId="59673"/>
    <cellStyle name="Обычный 6 2 2 2" xfId="59674"/>
    <cellStyle name="Обычный 6 2 3" xfId="59675"/>
    <cellStyle name="Обычный 6 3" xfId="59676"/>
    <cellStyle name="Обычный 6 3 2" xfId="59677"/>
    <cellStyle name="Обычный 6 3 2 2" xfId="59678"/>
    <cellStyle name="Обычный 6 3 3" xfId="59679"/>
    <cellStyle name="Обычный 6 4" xfId="59680"/>
    <cellStyle name="Обычный 6 4 2" xfId="59681"/>
    <cellStyle name="Обычный 6 4 2 2" xfId="59682"/>
    <cellStyle name="Обычный 6 4 3" xfId="59683"/>
    <cellStyle name="Обычный 6 5" xfId="59684"/>
    <cellStyle name="Обычный 6 5 2" xfId="59685"/>
    <cellStyle name="Обычный 6 6" xfId="59686"/>
    <cellStyle name="Обычный 6 6 2" xfId="59687"/>
    <cellStyle name="Обычный 6 7" xfId="59688"/>
    <cellStyle name="Обычный 6 7 2" xfId="59689"/>
    <cellStyle name="Обычный 6 8" xfId="59690"/>
    <cellStyle name="Обычный 6 9" xfId="59691"/>
    <cellStyle name="Обычный 60" xfId="59692"/>
    <cellStyle name="Обычный 60 2" xfId="59693"/>
    <cellStyle name="Обычный 60 2 2" xfId="59694"/>
    <cellStyle name="Обычный 60 2 3" xfId="59695"/>
    <cellStyle name="Обычный 60 3" xfId="59696"/>
    <cellStyle name="Обычный 60 3 2" xfId="59697"/>
    <cellStyle name="Обычный 60 3 3" xfId="61182"/>
    <cellStyle name="Обычный 60 4" xfId="59698"/>
    <cellStyle name="Обычный 60 5" xfId="59699"/>
    <cellStyle name="Обычный 61" xfId="59700"/>
    <cellStyle name="Обычный 61 2" xfId="59701"/>
    <cellStyle name="Обычный 61 2 2" xfId="59702"/>
    <cellStyle name="Обычный 61 2 3" xfId="59703"/>
    <cellStyle name="Обычный 61 3" xfId="59704"/>
    <cellStyle name="Обычный 61 3 2" xfId="59705"/>
    <cellStyle name="Обычный 61 3 3" xfId="61183"/>
    <cellStyle name="Обычный 61 4" xfId="59706"/>
    <cellStyle name="Обычный 61 5" xfId="59707"/>
    <cellStyle name="Обычный 62" xfId="59708"/>
    <cellStyle name="Обычный 62 2" xfId="59709"/>
    <cellStyle name="Обычный 62 2 2" xfId="59710"/>
    <cellStyle name="Обычный 62 2 3" xfId="59711"/>
    <cellStyle name="Обычный 62 3" xfId="59712"/>
    <cellStyle name="Обычный 62 3 2" xfId="59713"/>
    <cellStyle name="Обычный 62 3 3" xfId="61184"/>
    <cellStyle name="Обычный 62 4" xfId="59714"/>
    <cellStyle name="Обычный 62 5" xfId="59715"/>
    <cellStyle name="Обычный 63" xfId="59716"/>
    <cellStyle name="Обычный 63 2" xfId="59717"/>
    <cellStyle name="Обычный 63 2 2" xfId="59718"/>
    <cellStyle name="Обычный 63 2 3" xfId="59719"/>
    <cellStyle name="Обычный 63 3" xfId="59720"/>
    <cellStyle name="Обычный 63 3 2" xfId="59721"/>
    <cellStyle name="Обычный 63 3 3" xfId="61185"/>
    <cellStyle name="Обычный 63 4" xfId="59722"/>
    <cellStyle name="Обычный 63 5" xfId="59723"/>
    <cellStyle name="Обычный 64" xfId="59724"/>
    <cellStyle name="Обычный 64 2" xfId="59725"/>
    <cellStyle name="Обычный 64 2 2" xfId="59726"/>
    <cellStyle name="Обычный 64 2 3" xfId="59727"/>
    <cellStyle name="Обычный 64 3" xfId="59728"/>
    <cellStyle name="Обычный 64 3 2" xfId="59729"/>
    <cellStyle name="Обычный 64 3 3" xfId="61186"/>
    <cellStyle name="Обычный 64 4" xfId="59730"/>
    <cellStyle name="Обычный 64 5" xfId="59731"/>
    <cellStyle name="Обычный 65" xfId="59732"/>
    <cellStyle name="Обычный 65 2" xfId="59733"/>
    <cellStyle name="Обычный 65 2 2" xfId="59734"/>
    <cellStyle name="Обычный 65 2 3" xfId="59735"/>
    <cellStyle name="Обычный 65 3" xfId="59736"/>
    <cellStyle name="Обычный 65 3 2" xfId="59737"/>
    <cellStyle name="Обычный 65 3 3" xfId="61187"/>
    <cellStyle name="Обычный 65 4" xfId="59738"/>
    <cellStyle name="Обычный 65 5" xfId="59739"/>
    <cellStyle name="Обычный 66" xfId="59740"/>
    <cellStyle name="Обычный 66 2" xfId="59741"/>
    <cellStyle name="Обычный 66 2 2" xfId="59742"/>
    <cellStyle name="Обычный 66 2 3" xfId="59743"/>
    <cellStyle name="Обычный 66 3" xfId="59744"/>
    <cellStyle name="Обычный 66 3 2" xfId="59745"/>
    <cellStyle name="Обычный 66 3 3" xfId="61188"/>
    <cellStyle name="Обычный 66 4" xfId="59746"/>
    <cellStyle name="Обычный 66 5" xfId="59747"/>
    <cellStyle name="Обычный 67" xfId="59748"/>
    <cellStyle name="Обычный 67 2" xfId="59749"/>
    <cellStyle name="Обычный 67 3" xfId="59750"/>
    <cellStyle name="Обычный 68" xfId="59751"/>
    <cellStyle name="Обычный 69" xfId="3"/>
    <cellStyle name="Обычный 69 2" xfId="59752"/>
    <cellStyle name="Обычный 7" xfId="59753"/>
    <cellStyle name="Обычный 7 2" xfId="59754"/>
    <cellStyle name="Обычный 7 2 2" xfId="59755"/>
    <cellStyle name="Обычный 7 2 2 2" xfId="59756"/>
    <cellStyle name="Обычный 7 2 3" xfId="59757"/>
    <cellStyle name="Обычный 7 3" xfId="59758"/>
    <cellStyle name="Обычный 7 4" xfId="59759"/>
    <cellStyle name="Обычный 7 5" xfId="61223"/>
    <cellStyle name="Обычный 70" xfId="59760"/>
    <cellStyle name="Обычный 71" xfId="59761"/>
    <cellStyle name="Обычный 72" xfId="59762"/>
    <cellStyle name="Обычный 73" xfId="59763"/>
    <cellStyle name="Обычный 74" xfId="59764"/>
    <cellStyle name="Обычный 75" xfId="59765"/>
    <cellStyle name="Обычный 76" xfId="59766"/>
    <cellStyle name="Обычный 77" xfId="59767"/>
    <cellStyle name="Обычный 78" xfId="59768"/>
    <cellStyle name="Обычный 79" xfId="59769"/>
    <cellStyle name="Обычный 79 2" xfId="59770"/>
    <cellStyle name="Обычный 8" xfId="59771"/>
    <cellStyle name="Обычный 8 2" xfId="59772"/>
    <cellStyle name="Обычный 8 2 2" xfId="59773"/>
    <cellStyle name="Обычный 8 2 2 2" xfId="59774"/>
    <cellStyle name="Обычный 8 2 3" xfId="59775"/>
    <cellStyle name="Обычный 8 3" xfId="59776"/>
    <cellStyle name="Обычный 8 4" xfId="59777"/>
    <cellStyle name="Обычный 8 5" xfId="61224"/>
    <cellStyle name="Обычный 80" xfId="59778"/>
    <cellStyle name="Обычный 81" xfId="59779"/>
    <cellStyle name="Обычный 82" xfId="59780"/>
    <cellStyle name="Обычный 83" xfId="61189"/>
    <cellStyle name="Обычный 84" xfId="10"/>
    <cellStyle name="Обычный 84 10" xfId="61213"/>
    <cellStyle name="Обычный 84 11" xfId="61229"/>
    <cellStyle name="Обычный 84 12" xfId="61231"/>
    <cellStyle name="Обычный 84 13" xfId="61239"/>
    <cellStyle name="Обычный 84 14" xfId="61244"/>
    <cellStyle name="Обычный 84 2" xfId="12"/>
    <cellStyle name="Обычный 84 3" xfId="14"/>
    <cellStyle name="Обычный 84 4" xfId="60884"/>
    <cellStyle name="Обычный 84 5" xfId="61196"/>
    <cellStyle name="Обычный 84 6" xfId="61198"/>
    <cellStyle name="Обычный 84 7" xfId="61202"/>
    <cellStyle name="Обычный 84 8" xfId="61205"/>
    <cellStyle name="Обычный 84 9" xfId="61207"/>
    <cellStyle name="Обычный 85" xfId="61191"/>
    <cellStyle name="Обычный 85 2" xfId="61217"/>
    <cellStyle name="Обычный 85 3" xfId="61227"/>
    <cellStyle name="Обычный 86" xfId="61199"/>
    <cellStyle name="Обычный 87" xfId="61203"/>
    <cellStyle name="Обычный 88" xfId="61215"/>
    <cellStyle name="Обычный 89" xfId="61245"/>
    <cellStyle name="Обычный 9" xfId="59781"/>
    <cellStyle name="Обычный 9 2" xfId="59782"/>
    <cellStyle name="Обычный 9 2 2" xfId="59783"/>
    <cellStyle name="Обычный 9 2 2 2" xfId="59784"/>
    <cellStyle name="Обычный 9 2 3" xfId="59785"/>
    <cellStyle name="Обычный 9 3" xfId="59786"/>
    <cellStyle name="Обычный 9 4" xfId="59787"/>
    <cellStyle name="Обычный 9 5" xfId="61225"/>
    <cellStyle name="Обычный 90" xfId="61247"/>
    <cellStyle name="Обычный 91" xfId="59788"/>
    <cellStyle name="Обычный 92" xfId="59789"/>
    <cellStyle name="Обычный 93" xfId="59790"/>
    <cellStyle name="Обычный 94" xfId="59791"/>
    <cellStyle name="Обычный 95" xfId="59792"/>
    <cellStyle name="Обычный 96" xfId="59793"/>
    <cellStyle name="Обычный 97" xfId="59794"/>
    <cellStyle name="Обычный 98" xfId="59795"/>
    <cellStyle name="Обычный 99" xfId="59796"/>
    <cellStyle name="Обычный_Ежемесячный отчет 2004 г." xfId="61233"/>
    <cellStyle name="Плохой 10" xfId="59797"/>
    <cellStyle name="Плохой 100" xfId="59798"/>
    <cellStyle name="Плохой 101" xfId="59799"/>
    <cellStyle name="Плохой 102" xfId="59800"/>
    <cellStyle name="Плохой 103" xfId="59801"/>
    <cellStyle name="Плохой 104" xfId="59802"/>
    <cellStyle name="Плохой 105" xfId="59803"/>
    <cellStyle name="Плохой 106" xfId="59804"/>
    <cellStyle name="Плохой 107" xfId="59805"/>
    <cellStyle name="Плохой 108" xfId="59806"/>
    <cellStyle name="Плохой 109" xfId="59807"/>
    <cellStyle name="Плохой 11" xfId="59808"/>
    <cellStyle name="Плохой 110" xfId="59809"/>
    <cellStyle name="Плохой 111" xfId="59810"/>
    <cellStyle name="Плохой 112" xfId="59811"/>
    <cellStyle name="Плохой 113" xfId="59812"/>
    <cellStyle name="Плохой 114" xfId="59813"/>
    <cellStyle name="Плохой 115" xfId="59814"/>
    <cellStyle name="Плохой 116" xfId="59815"/>
    <cellStyle name="Плохой 117" xfId="59816"/>
    <cellStyle name="Плохой 118" xfId="59817"/>
    <cellStyle name="Плохой 119" xfId="59818"/>
    <cellStyle name="Плохой 12" xfId="59819"/>
    <cellStyle name="Плохой 120" xfId="59820"/>
    <cellStyle name="Плохой 121" xfId="59821"/>
    <cellStyle name="Плохой 122" xfId="59822"/>
    <cellStyle name="Плохой 123" xfId="59823"/>
    <cellStyle name="Плохой 124" xfId="59824"/>
    <cellStyle name="Плохой 125" xfId="59825"/>
    <cellStyle name="Плохой 126" xfId="59826"/>
    <cellStyle name="Плохой 127" xfId="59827"/>
    <cellStyle name="Плохой 128" xfId="59828"/>
    <cellStyle name="Плохой 129" xfId="59829"/>
    <cellStyle name="Плохой 13" xfId="59830"/>
    <cellStyle name="Плохой 130" xfId="59831"/>
    <cellStyle name="Плохой 131" xfId="59832"/>
    <cellStyle name="Плохой 132" xfId="59833"/>
    <cellStyle name="Плохой 133" xfId="59834"/>
    <cellStyle name="Плохой 134" xfId="59835"/>
    <cellStyle name="Плохой 135" xfId="59836"/>
    <cellStyle name="Плохой 136" xfId="59837"/>
    <cellStyle name="Плохой 137" xfId="59838"/>
    <cellStyle name="Плохой 138" xfId="59839"/>
    <cellStyle name="Плохой 139" xfId="59840"/>
    <cellStyle name="Плохой 14" xfId="59841"/>
    <cellStyle name="Плохой 140" xfId="59842"/>
    <cellStyle name="Плохой 141" xfId="59843"/>
    <cellStyle name="Плохой 142" xfId="59844"/>
    <cellStyle name="Плохой 143" xfId="59845"/>
    <cellStyle name="Плохой 144" xfId="59846"/>
    <cellStyle name="Плохой 145" xfId="59847"/>
    <cellStyle name="Плохой 146" xfId="59848"/>
    <cellStyle name="Плохой 147" xfId="59849"/>
    <cellStyle name="Плохой 148" xfId="59850"/>
    <cellStyle name="Плохой 149" xfId="59851"/>
    <cellStyle name="Плохой 15" xfId="59852"/>
    <cellStyle name="Плохой 150" xfId="59853"/>
    <cellStyle name="Плохой 151" xfId="59854"/>
    <cellStyle name="Плохой 152" xfId="59855"/>
    <cellStyle name="Плохой 153" xfId="59856"/>
    <cellStyle name="Плохой 16" xfId="59857"/>
    <cellStyle name="Плохой 17" xfId="59858"/>
    <cellStyle name="Плохой 18" xfId="59859"/>
    <cellStyle name="Плохой 19" xfId="59860"/>
    <cellStyle name="Плохой 2" xfId="59861"/>
    <cellStyle name="Плохой 2 2" xfId="59862"/>
    <cellStyle name="Плохой 2 2 10" xfId="59863"/>
    <cellStyle name="Плохой 2 2 11" xfId="59864"/>
    <cellStyle name="Плохой 2 2 12" xfId="59865"/>
    <cellStyle name="Плохой 2 2 13" xfId="59866"/>
    <cellStyle name="Плохой 2 2 2" xfId="59867"/>
    <cellStyle name="Плохой 2 2 3" xfId="59868"/>
    <cellStyle name="Плохой 2 2 4" xfId="59869"/>
    <cellStyle name="Плохой 2 2 5" xfId="59870"/>
    <cellStyle name="Плохой 2 2 6" xfId="59871"/>
    <cellStyle name="Плохой 2 2 7" xfId="59872"/>
    <cellStyle name="Плохой 2 2 8" xfId="59873"/>
    <cellStyle name="Плохой 2 2 9" xfId="59874"/>
    <cellStyle name="Плохой 2 3" xfId="59875"/>
    <cellStyle name="Плохой 20" xfId="59876"/>
    <cellStyle name="Плохой 21" xfId="59877"/>
    <cellStyle name="Плохой 22" xfId="59878"/>
    <cellStyle name="Плохой 23" xfId="59879"/>
    <cellStyle name="Плохой 24" xfId="59880"/>
    <cellStyle name="Плохой 25" xfId="59881"/>
    <cellStyle name="Плохой 26" xfId="59882"/>
    <cellStyle name="Плохой 27" xfId="59883"/>
    <cellStyle name="Плохой 28" xfId="59884"/>
    <cellStyle name="Плохой 29" xfId="59885"/>
    <cellStyle name="Плохой 3" xfId="59886"/>
    <cellStyle name="Плохой 30" xfId="59887"/>
    <cellStyle name="Плохой 31" xfId="59888"/>
    <cellStyle name="Плохой 32" xfId="59889"/>
    <cellStyle name="Плохой 33" xfId="59890"/>
    <cellStyle name="Плохой 34" xfId="59891"/>
    <cellStyle name="Плохой 35" xfId="59892"/>
    <cellStyle name="Плохой 36" xfId="59893"/>
    <cellStyle name="Плохой 37" xfId="59894"/>
    <cellStyle name="Плохой 38" xfId="59895"/>
    <cellStyle name="Плохой 39" xfId="59896"/>
    <cellStyle name="Плохой 4" xfId="59897"/>
    <cellStyle name="Плохой 40" xfId="59898"/>
    <cellStyle name="Плохой 41" xfId="59899"/>
    <cellStyle name="Плохой 42" xfId="59900"/>
    <cellStyle name="Плохой 43" xfId="59901"/>
    <cellStyle name="Плохой 44" xfId="59902"/>
    <cellStyle name="Плохой 45" xfId="59903"/>
    <cellStyle name="Плохой 46" xfId="59904"/>
    <cellStyle name="Плохой 47" xfId="59905"/>
    <cellStyle name="Плохой 48" xfId="59906"/>
    <cellStyle name="Плохой 49" xfId="59907"/>
    <cellStyle name="Плохой 5" xfId="59908"/>
    <cellStyle name="Плохой 50" xfId="59909"/>
    <cellStyle name="Плохой 51" xfId="59910"/>
    <cellStyle name="Плохой 52" xfId="59911"/>
    <cellStyle name="Плохой 53" xfId="59912"/>
    <cellStyle name="Плохой 54" xfId="59913"/>
    <cellStyle name="Плохой 55" xfId="59914"/>
    <cellStyle name="Плохой 56" xfId="59915"/>
    <cellStyle name="Плохой 57" xfId="59916"/>
    <cellStyle name="Плохой 58" xfId="59917"/>
    <cellStyle name="Плохой 59" xfId="59918"/>
    <cellStyle name="Плохой 6" xfId="59919"/>
    <cellStyle name="Плохой 60" xfId="59920"/>
    <cellStyle name="Плохой 61" xfId="59921"/>
    <cellStyle name="Плохой 62" xfId="59922"/>
    <cellStyle name="Плохой 63" xfId="59923"/>
    <cellStyle name="Плохой 64" xfId="59924"/>
    <cellStyle name="Плохой 65" xfId="59925"/>
    <cellStyle name="Плохой 66" xfId="59926"/>
    <cellStyle name="Плохой 67" xfId="59927"/>
    <cellStyle name="Плохой 68" xfId="59928"/>
    <cellStyle name="Плохой 69" xfId="59929"/>
    <cellStyle name="Плохой 7" xfId="59930"/>
    <cellStyle name="Плохой 70" xfId="59931"/>
    <cellStyle name="Плохой 71" xfId="59932"/>
    <cellStyle name="Плохой 72" xfId="59933"/>
    <cellStyle name="Плохой 73" xfId="59934"/>
    <cellStyle name="Плохой 74" xfId="59935"/>
    <cellStyle name="Плохой 75" xfId="59936"/>
    <cellStyle name="Плохой 76" xfId="59937"/>
    <cellStyle name="Плохой 77" xfId="59938"/>
    <cellStyle name="Плохой 78" xfId="59939"/>
    <cellStyle name="Плохой 79" xfId="59940"/>
    <cellStyle name="Плохой 8" xfId="59941"/>
    <cellStyle name="Плохой 80" xfId="59942"/>
    <cellStyle name="Плохой 81" xfId="59943"/>
    <cellStyle name="Плохой 82" xfId="59944"/>
    <cellStyle name="Плохой 83" xfId="59945"/>
    <cellStyle name="Плохой 84" xfId="59946"/>
    <cellStyle name="Плохой 85" xfId="59947"/>
    <cellStyle name="Плохой 86" xfId="59948"/>
    <cellStyle name="Плохой 87" xfId="59949"/>
    <cellStyle name="Плохой 88" xfId="59950"/>
    <cellStyle name="Плохой 89" xfId="59951"/>
    <cellStyle name="Плохой 9" xfId="59952"/>
    <cellStyle name="Плохой 90" xfId="59953"/>
    <cellStyle name="Плохой 91" xfId="59954"/>
    <cellStyle name="Плохой 92" xfId="59955"/>
    <cellStyle name="Плохой 93" xfId="59956"/>
    <cellStyle name="Плохой 94" xfId="59957"/>
    <cellStyle name="Плохой 95" xfId="59958"/>
    <cellStyle name="Плохой 96" xfId="59959"/>
    <cellStyle name="Плохой 97" xfId="59960"/>
    <cellStyle name="Плохой 98" xfId="59961"/>
    <cellStyle name="Плохой 99" xfId="59962"/>
    <cellStyle name="Пояснение 10" xfId="59963"/>
    <cellStyle name="Пояснение 100" xfId="59964"/>
    <cellStyle name="Пояснение 101" xfId="59965"/>
    <cellStyle name="Пояснение 102" xfId="59966"/>
    <cellStyle name="Пояснение 103" xfId="59967"/>
    <cellStyle name="Пояснение 104" xfId="59968"/>
    <cellStyle name="Пояснение 105" xfId="59969"/>
    <cellStyle name="Пояснение 106" xfId="59970"/>
    <cellStyle name="Пояснение 107" xfId="59971"/>
    <cellStyle name="Пояснение 108" xfId="59972"/>
    <cellStyle name="Пояснение 109" xfId="59973"/>
    <cellStyle name="Пояснение 11" xfId="59974"/>
    <cellStyle name="Пояснение 110" xfId="59975"/>
    <cellStyle name="Пояснение 111" xfId="59976"/>
    <cellStyle name="Пояснение 112" xfId="59977"/>
    <cellStyle name="Пояснение 113" xfId="59978"/>
    <cellStyle name="Пояснение 114" xfId="59979"/>
    <cellStyle name="Пояснение 115" xfId="59980"/>
    <cellStyle name="Пояснение 116" xfId="59981"/>
    <cellStyle name="Пояснение 117" xfId="59982"/>
    <cellStyle name="Пояснение 118" xfId="59983"/>
    <cellStyle name="Пояснение 119" xfId="59984"/>
    <cellStyle name="Пояснение 12" xfId="59985"/>
    <cellStyle name="Пояснение 120" xfId="59986"/>
    <cellStyle name="Пояснение 121" xfId="59987"/>
    <cellStyle name="Пояснение 122" xfId="59988"/>
    <cellStyle name="Пояснение 123" xfId="59989"/>
    <cellStyle name="Пояснение 124" xfId="59990"/>
    <cellStyle name="Пояснение 125" xfId="59991"/>
    <cellStyle name="Пояснение 126" xfId="59992"/>
    <cellStyle name="Пояснение 127" xfId="59993"/>
    <cellStyle name="Пояснение 128" xfId="59994"/>
    <cellStyle name="Пояснение 129" xfId="59995"/>
    <cellStyle name="Пояснение 13" xfId="59996"/>
    <cellStyle name="Пояснение 130" xfId="59997"/>
    <cellStyle name="Пояснение 131" xfId="59998"/>
    <cellStyle name="Пояснение 132" xfId="59999"/>
    <cellStyle name="Пояснение 133" xfId="60000"/>
    <cellStyle name="Пояснение 134" xfId="60001"/>
    <cellStyle name="Пояснение 135" xfId="60002"/>
    <cellStyle name="Пояснение 136" xfId="60003"/>
    <cellStyle name="Пояснение 137" xfId="60004"/>
    <cellStyle name="Пояснение 138" xfId="60005"/>
    <cellStyle name="Пояснение 139" xfId="60006"/>
    <cellStyle name="Пояснение 14" xfId="60007"/>
    <cellStyle name="Пояснение 140" xfId="60008"/>
    <cellStyle name="Пояснение 141" xfId="60009"/>
    <cellStyle name="Пояснение 142" xfId="60010"/>
    <cellStyle name="Пояснение 143" xfId="60011"/>
    <cellStyle name="Пояснение 144" xfId="60012"/>
    <cellStyle name="Пояснение 145" xfId="60013"/>
    <cellStyle name="Пояснение 146" xfId="60014"/>
    <cellStyle name="Пояснение 147" xfId="60015"/>
    <cellStyle name="Пояснение 148" xfId="60016"/>
    <cellStyle name="Пояснение 149" xfId="60017"/>
    <cellStyle name="Пояснение 15" xfId="60018"/>
    <cellStyle name="Пояснение 150" xfId="60019"/>
    <cellStyle name="Пояснение 151" xfId="60020"/>
    <cellStyle name="Пояснение 152" xfId="60021"/>
    <cellStyle name="Пояснение 153" xfId="60022"/>
    <cellStyle name="Пояснение 16" xfId="60023"/>
    <cellStyle name="Пояснение 17" xfId="60024"/>
    <cellStyle name="Пояснение 18" xfId="60025"/>
    <cellStyle name="Пояснение 19" xfId="60026"/>
    <cellStyle name="Пояснение 2" xfId="60027"/>
    <cellStyle name="Пояснение 2 2" xfId="60028"/>
    <cellStyle name="Пояснение 2 2 10" xfId="60029"/>
    <cellStyle name="Пояснение 2 2 11" xfId="60030"/>
    <cellStyle name="Пояснение 2 2 12" xfId="60031"/>
    <cellStyle name="Пояснение 2 2 13" xfId="60032"/>
    <cellStyle name="Пояснение 2 2 2" xfId="60033"/>
    <cellStyle name="Пояснение 2 2 3" xfId="60034"/>
    <cellStyle name="Пояснение 2 2 4" xfId="60035"/>
    <cellStyle name="Пояснение 2 2 5" xfId="60036"/>
    <cellStyle name="Пояснение 2 2 6" xfId="60037"/>
    <cellStyle name="Пояснение 2 2 7" xfId="60038"/>
    <cellStyle name="Пояснение 2 2 8" xfId="60039"/>
    <cellStyle name="Пояснение 2 2 9" xfId="60040"/>
    <cellStyle name="Пояснение 2 3" xfId="60041"/>
    <cellStyle name="Пояснение 20" xfId="60042"/>
    <cellStyle name="Пояснение 21" xfId="60043"/>
    <cellStyle name="Пояснение 22" xfId="60044"/>
    <cellStyle name="Пояснение 23" xfId="60045"/>
    <cellStyle name="Пояснение 24" xfId="60046"/>
    <cellStyle name="Пояснение 25" xfId="60047"/>
    <cellStyle name="Пояснение 26" xfId="60048"/>
    <cellStyle name="Пояснение 27" xfId="60049"/>
    <cellStyle name="Пояснение 28" xfId="60050"/>
    <cellStyle name="Пояснение 29" xfId="60051"/>
    <cellStyle name="Пояснение 3" xfId="60052"/>
    <cellStyle name="Пояснение 30" xfId="60053"/>
    <cellStyle name="Пояснение 31" xfId="60054"/>
    <cellStyle name="Пояснение 32" xfId="60055"/>
    <cellStyle name="Пояснение 33" xfId="60056"/>
    <cellStyle name="Пояснение 34" xfId="60057"/>
    <cellStyle name="Пояснение 35" xfId="60058"/>
    <cellStyle name="Пояснение 36" xfId="60059"/>
    <cellStyle name="Пояснение 37" xfId="60060"/>
    <cellStyle name="Пояснение 38" xfId="60061"/>
    <cellStyle name="Пояснение 39" xfId="60062"/>
    <cellStyle name="Пояснение 4" xfId="60063"/>
    <cellStyle name="Пояснение 40" xfId="60064"/>
    <cellStyle name="Пояснение 41" xfId="60065"/>
    <cellStyle name="Пояснение 42" xfId="60066"/>
    <cellStyle name="Пояснение 43" xfId="60067"/>
    <cellStyle name="Пояснение 44" xfId="60068"/>
    <cellStyle name="Пояснение 45" xfId="60069"/>
    <cellStyle name="Пояснение 46" xfId="60070"/>
    <cellStyle name="Пояснение 47" xfId="60071"/>
    <cellStyle name="Пояснение 48" xfId="60072"/>
    <cellStyle name="Пояснение 49" xfId="60073"/>
    <cellStyle name="Пояснение 5" xfId="60074"/>
    <cellStyle name="Пояснение 50" xfId="60075"/>
    <cellStyle name="Пояснение 51" xfId="60076"/>
    <cellStyle name="Пояснение 52" xfId="60077"/>
    <cellStyle name="Пояснение 53" xfId="60078"/>
    <cellStyle name="Пояснение 54" xfId="60079"/>
    <cellStyle name="Пояснение 55" xfId="60080"/>
    <cellStyle name="Пояснение 56" xfId="60081"/>
    <cellStyle name="Пояснение 57" xfId="60082"/>
    <cellStyle name="Пояснение 58" xfId="60083"/>
    <cellStyle name="Пояснение 59" xfId="60084"/>
    <cellStyle name="Пояснение 6" xfId="60085"/>
    <cellStyle name="Пояснение 60" xfId="60086"/>
    <cellStyle name="Пояснение 61" xfId="60087"/>
    <cellStyle name="Пояснение 62" xfId="60088"/>
    <cellStyle name="Пояснение 63" xfId="60089"/>
    <cellStyle name="Пояснение 64" xfId="60090"/>
    <cellStyle name="Пояснение 65" xfId="60091"/>
    <cellStyle name="Пояснение 66" xfId="60092"/>
    <cellStyle name="Пояснение 67" xfId="60093"/>
    <cellStyle name="Пояснение 68" xfId="60094"/>
    <cellStyle name="Пояснение 69" xfId="60095"/>
    <cellStyle name="Пояснение 7" xfId="60096"/>
    <cellStyle name="Пояснение 70" xfId="60097"/>
    <cellStyle name="Пояснение 71" xfId="60098"/>
    <cellStyle name="Пояснение 72" xfId="60099"/>
    <cellStyle name="Пояснение 73" xfId="60100"/>
    <cellStyle name="Пояснение 74" xfId="60101"/>
    <cellStyle name="Пояснение 75" xfId="60102"/>
    <cellStyle name="Пояснение 76" xfId="60103"/>
    <cellStyle name="Пояснение 77" xfId="60104"/>
    <cellStyle name="Пояснение 78" xfId="60105"/>
    <cellStyle name="Пояснение 79" xfId="60106"/>
    <cellStyle name="Пояснение 8" xfId="60107"/>
    <cellStyle name="Пояснение 80" xfId="60108"/>
    <cellStyle name="Пояснение 81" xfId="60109"/>
    <cellStyle name="Пояснение 82" xfId="60110"/>
    <cellStyle name="Пояснение 83" xfId="60111"/>
    <cellStyle name="Пояснение 84" xfId="60112"/>
    <cellStyle name="Пояснение 85" xfId="60113"/>
    <cellStyle name="Пояснение 86" xfId="60114"/>
    <cellStyle name="Пояснение 87" xfId="60115"/>
    <cellStyle name="Пояснение 88" xfId="60116"/>
    <cellStyle name="Пояснение 89" xfId="60117"/>
    <cellStyle name="Пояснение 9" xfId="60118"/>
    <cellStyle name="Пояснение 90" xfId="60119"/>
    <cellStyle name="Пояснение 91" xfId="60120"/>
    <cellStyle name="Пояснение 92" xfId="60121"/>
    <cellStyle name="Пояснение 93" xfId="60122"/>
    <cellStyle name="Пояснение 94" xfId="60123"/>
    <cellStyle name="Пояснение 95" xfId="60124"/>
    <cellStyle name="Пояснение 96" xfId="60125"/>
    <cellStyle name="Пояснение 97" xfId="60126"/>
    <cellStyle name="Пояснение 98" xfId="60127"/>
    <cellStyle name="Пояснение 99" xfId="60128"/>
    <cellStyle name="Примечание 10" xfId="60129"/>
    <cellStyle name="Примечание 10 2" xfId="60130"/>
    <cellStyle name="Примечание 10 3" xfId="60131"/>
    <cellStyle name="Примечание 100" xfId="60132"/>
    <cellStyle name="Примечание 101" xfId="60133"/>
    <cellStyle name="Примечание 102" xfId="60134"/>
    <cellStyle name="Примечание 103" xfId="60135"/>
    <cellStyle name="Примечание 104" xfId="60136"/>
    <cellStyle name="Примечание 105" xfId="60137"/>
    <cellStyle name="Примечание 106" xfId="60138"/>
    <cellStyle name="Примечание 107" xfId="60139"/>
    <cellStyle name="Примечание 108" xfId="60140"/>
    <cellStyle name="Примечание 109" xfId="60141"/>
    <cellStyle name="Примечание 11" xfId="60142"/>
    <cellStyle name="Примечание 11 2" xfId="60143"/>
    <cellStyle name="Примечание 11 3" xfId="60144"/>
    <cellStyle name="Примечание 110" xfId="60145"/>
    <cellStyle name="Примечание 111" xfId="60146"/>
    <cellStyle name="Примечание 112" xfId="60147"/>
    <cellStyle name="Примечание 113" xfId="60148"/>
    <cellStyle name="Примечание 114" xfId="60149"/>
    <cellStyle name="Примечание 115" xfId="60150"/>
    <cellStyle name="Примечание 116" xfId="60151"/>
    <cellStyle name="Примечание 117" xfId="60152"/>
    <cellStyle name="Примечание 118" xfId="60153"/>
    <cellStyle name="Примечание 119" xfId="60154"/>
    <cellStyle name="Примечание 12" xfId="60155"/>
    <cellStyle name="Примечание 12 2" xfId="60156"/>
    <cellStyle name="Примечание 12 3" xfId="60157"/>
    <cellStyle name="Примечание 120" xfId="60158"/>
    <cellStyle name="Примечание 121" xfId="60159"/>
    <cellStyle name="Примечание 122" xfId="60160"/>
    <cellStyle name="Примечание 123" xfId="60161"/>
    <cellStyle name="Примечание 124" xfId="60162"/>
    <cellStyle name="Примечание 125" xfId="60163"/>
    <cellStyle name="Примечание 126" xfId="60164"/>
    <cellStyle name="Примечание 127" xfId="60165"/>
    <cellStyle name="Примечание 128" xfId="60166"/>
    <cellStyle name="Примечание 129" xfId="60167"/>
    <cellStyle name="Примечание 13" xfId="60168"/>
    <cellStyle name="Примечание 13 2" xfId="60169"/>
    <cellStyle name="Примечание 13 3" xfId="60170"/>
    <cellStyle name="Примечание 130" xfId="60171"/>
    <cellStyle name="Примечание 131" xfId="60172"/>
    <cellStyle name="Примечание 132" xfId="60173"/>
    <cellStyle name="Примечание 133" xfId="60174"/>
    <cellStyle name="Примечание 134" xfId="60175"/>
    <cellStyle name="Примечание 135" xfId="60176"/>
    <cellStyle name="Примечание 136" xfId="60177"/>
    <cellStyle name="Примечание 137" xfId="60178"/>
    <cellStyle name="Примечание 138" xfId="60179"/>
    <cellStyle name="Примечание 139" xfId="60180"/>
    <cellStyle name="Примечание 14" xfId="60181"/>
    <cellStyle name="Примечание 140" xfId="60182"/>
    <cellStyle name="Примечание 141" xfId="60183"/>
    <cellStyle name="Примечание 142" xfId="60184"/>
    <cellStyle name="Примечание 143" xfId="60185"/>
    <cellStyle name="Примечание 144" xfId="60186"/>
    <cellStyle name="Примечание 145" xfId="60187"/>
    <cellStyle name="Примечание 146" xfId="60188"/>
    <cellStyle name="Примечание 147" xfId="60189"/>
    <cellStyle name="Примечание 148" xfId="60190"/>
    <cellStyle name="Примечание 149" xfId="60191"/>
    <cellStyle name="Примечание 15" xfId="60192"/>
    <cellStyle name="Примечание 150" xfId="60193"/>
    <cellStyle name="Примечание 151" xfId="60194"/>
    <cellStyle name="Примечание 152" xfId="60195"/>
    <cellStyle name="Примечание 153" xfId="60196"/>
    <cellStyle name="Примечание 154" xfId="60197"/>
    <cellStyle name="Примечание 155" xfId="60198"/>
    <cellStyle name="Примечание 156" xfId="60199"/>
    <cellStyle name="Примечание 157" xfId="60200"/>
    <cellStyle name="Примечание 158" xfId="60201"/>
    <cellStyle name="Примечание 159" xfId="60202"/>
    <cellStyle name="Примечание 16" xfId="60203"/>
    <cellStyle name="Примечание 160" xfId="60204"/>
    <cellStyle name="Примечание 161" xfId="60205"/>
    <cellStyle name="Примечание 162" xfId="60206"/>
    <cellStyle name="Примечание 163" xfId="60207"/>
    <cellStyle name="Примечание 164" xfId="60208"/>
    <cellStyle name="Примечание 17" xfId="60209"/>
    <cellStyle name="Примечание 18" xfId="60210"/>
    <cellStyle name="Примечание 19" xfId="60211"/>
    <cellStyle name="Примечание 2" xfId="60212"/>
    <cellStyle name="Примечание 2 2" xfId="60213"/>
    <cellStyle name="Примечание 2 3" xfId="60214"/>
    <cellStyle name="Примечание 2 4" xfId="60215"/>
    <cellStyle name="Примечание 20" xfId="60216"/>
    <cellStyle name="Примечание 21" xfId="60217"/>
    <cellStyle name="Примечание 22" xfId="60218"/>
    <cellStyle name="Примечание 23" xfId="60219"/>
    <cellStyle name="Примечание 24" xfId="60220"/>
    <cellStyle name="Примечание 25" xfId="60221"/>
    <cellStyle name="Примечание 26" xfId="60222"/>
    <cellStyle name="Примечание 27" xfId="60223"/>
    <cellStyle name="Примечание 28" xfId="60224"/>
    <cellStyle name="Примечание 29" xfId="60225"/>
    <cellStyle name="Примечание 3" xfId="60226"/>
    <cellStyle name="Примечание 3 2" xfId="60227"/>
    <cellStyle name="Примечание 3 3" xfId="60228"/>
    <cellStyle name="Примечание 30" xfId="60229"/>
    <cellStyle name="Примечание 31" xfId="60230"/>
    <cellStyle name="Примечание 32" xfId="60231"/>
    <cellStyle name="Примечание 33" xfId="60232"/>
    <cellStyle name="Примечание 34" xfId="60233"/>
    <cellStyle name="Примечание 35" xfId="60234"/>
    <cellStyle name="Примечание 36" xfId="60235"/>
    <cellStyle name="Примечание 37" xfId="60236"/>
    <cellStyle name="Примечание 38" xfId="60237"/>
    <cellStyle name="Примечание 39" xfId="60238"/>
    <cellStyle name="Примечание 4" xfId="60239"/>
    <cellStyle name="Примечание 4 2" xfId="60240"/>
    <cellStyle name="Примечание 4 3" xfId="60241"/>
    <cellStyle name="Примечание 40" xfId="60242"/>
    <cellStyle name="Примечание 41" xfId="60243"/>
    <cellStyle name="Примечание 42" xfId="60244"/>
    <cellStyle name="Примечание 43" xfId="60245"/>
    <cellStyle name="Примечание 44" xfId="60246"/>
    <cellStyle name="Примечание 45" xfId="60247"/>
    <cellStyle name="Примечание 46" xfId="60248"/>
    <cellStyle name="Примечание 47" xfId="60249"/>
    <cellStyle name="Примечание 48" xfId="60250"/>
    <cellStyle name="Примечание 49" xfId="60251"/>
    <cellStyle name="Примечание 5" xfId="60252"/>
    <cellStyle name="Примечание 5 2" xfId="60253"/>
    <cellStyle name="Примечание 5 3" xfId="60254"/>
    <cellStyle name="Примечание 50" xfId="60255"/>
    <cellStyle name="Примечание 51" xfId="60256"/>
    <cellStyle name="Примечание 52" xfId="60257"/>
    <cellStyle name="Примечание 53" xfId="60258"/>
    <cellStyle name="Примечание 54" xfId="60259"/>
    <cellStyle name="Примечание 55" xfId="60260"/>
    <cellStyle name="Примечание 56" xfId="60261"/>
    <cellStyle name="Примечание 57" xfId="60262"/>
    <cellStyle name="Примечание 58" xfId="60263"/>
    <cellStyle name="Примечание 59" xfId="60264"/>
    <cellStyle name="Примечание 6" xfId="60265"/>
    <cellStyle name="Примечание 6 2" xfId="60266"/>
    <cellStyle name="Примечание 6 3" xfId="60267"/>
    <cellStyle name="Примечание 60" xfId="60268"/>
    <cellStyle name="Примечание 61" xfId="60269"/>
    <cellStyle name="Примечание 62" xfId="60270"/>
    <cellStyle name="Примечание 63" xfId="60271"/>
    <cellStyle name="Примечание 64" xfId="60272"/>
    <cellStyle name="Примечание 65" xfId="60273"/>
    <cellStyle name="Примечание 66" xfId="60274"/>
    <cellStyle name="Примечание 67" xfId="60275"/>
    <cellStyle name="Примечание 68" xfId="60276"/>
    <cellStyle name="Примечание 69" xfId="60277"/>
    <cellStyle name="Примечание 7" xfId="60278"/>
    <cellStyle name="Примечание 7 2" xfId="60279"/>
    <cellStyle name="Примечание 7 3" xfId="60280"/>
    <cellStyle name="Примечание 70" xfId="60281"/>
    <cellStyle name="Примечание 71" xfId="60282"/>
    <cellStyle name="Примечание 72" xfId="60283"/>
    <cellStyle name="Примечание 73" xfId="60284"/>
    <cellStyle name="Примечание 74" xfId="60285"/>
    <cellStyle name="Примечание 75" xfId="60286"/>
    <cellStyle name="Примечание 76" xfId="60287"/>
    <cellStyle name="Примечание 77" xfId="60288"/>
    <cellStyle name="Примечание 78" xfId="60289"/>
    <cellStyle name="Примечание 79" xfId="60290"/>
    <cellStyle name="Примечание 8" xfId="60291"/>
    <cellStyle name="Примечание 8 2" xfId="60292"/>
    <cellStyle name="Примечание 8 3" xfId="60293"/>
    <cellStyle name="Примечание 80" xfId="60294"/>
    <cellStyle name="Примечание 81" xfId="60295"/>
    <cellStyle name="Примечание 82" xfId="60296"/>
    <cellStyle name="Примечание 83" xfId="60297"/>
    <cellStyle name="Примечание 84" xfId="60298"/>
    <cellStyle name="Примечание 85" xfId="60299"/>
    <cellStyle name="Примечание 86" xfId="60300"/>
    <cellStyle name="Примечание 87" xfId="60301"/>
    <cellStyle name="Примечание 88" xfId="60302"/>
    <cellStyle name="Примечание 89" xfId="60303"/>
    <cellStyle name="Примечание 9" xfId="60304"/>
    <cellStyle name="Примечание 9 2" xfId="60305"/>
    <cellStyle name="Примечание 9 3" xfId="60306"/>
    <cellStyle name="Примечание 90" xfId="60307"/>
    <cellStyle name="Примечание 91" xfId="60308"/>
    <cellStyle name="Примечание 92" xfId="60309"/>
    <cellStyle name="Примечание 93" xfId="60310"/>
    <cellStyle name="Примечание 94" xfId="60311"/>
    <cellStyle name="Примечание 95" xfId="60312"/>
    <cellStyle name="Примечание 96" xfId="60313"/>
    <cellStyle name="Примечание 97" xfId="60314"/>
    <cellStyle name="Примечание 98" xfId="60315"/>
    <cellStyle name="Примечание 99" xfId="60316"/>
    <cellStyle name="Процентный 2" xfId="60317"/>
    <cellStyle name="Процентный 2 2" xfId="60318"/>
    <cellStyle name="Процентный 3" xfId="60319"/>
    <cellStyle name="Процентный 4" xfId="60320"/>
    <cellStyle name="Процентный 4 2" xfId="60321"/>
    <cellStyle name="Процентный 4 2 2" xfId="60322"/>
    <cellStyle name="Процентный 4 2 3" xfId="60323"/>
    <cellStyle name="Процентный 4 3" xfId="60324"/>
    <cellStyle name="Процентный 4 3 2" xfId="60325"/>
    <cellStyle name="Процентный 4 4" xfId="60326"/>
    <cellStyle name="Процентный 4 5" xfId="60327"/>
    <cellStyle name="Процентный 5" xfId="60328"/>
    <cellStyle name="Процентный 6" xfId="60329"/>
    <cellStyle name="Процентный 7" xfId="60330"/>
    <cellStyle name="Процентный 8" xfId="60331"/>
    <cellStyle name="Процентный 9" xfId="60332"/>
    <cellStyle name="Связанная ячейка 10" xfId="60333"/>
    <cellStyle name="Связанная ячейка 100" xfId="60334"/>
    <cellStyle name="Связанная ячейка 101" xfId="60335"/>
    <cellStyle name="Связанная ячейка 102" xfId="60336"/>
    <cellStyle name="Связанная ячейка 103" xfId="60337"/>
    <cellStyle name="Связанная ячейка 104" xfId="60338"/>
    <cellStyle name="Связанная ячейка 105" xfId="60339"/>
    <cellStyle name="Связанная ячейка 106" xfId="60340"/>
    <cellStyle name="Связанная ячейка 107" xfId="60341"/>
    <cellStyle name="Связанная ячейка 108" xfId="60342"/>
    <cellStyle name="Связанная ячейка 109" xfId="60343"/>
    <cellStyle name="Связанная ячейка 11" xfId="60344"/>
    <cellStyle name="Связанная ячейка 110" xfId="60345"/>
    <cellStyle name="Связанная ячейка 111" xfId="60346"/>
    <cellStyle name="Связанная ячейка 112" xfId="60347"/>
    <cellStyle name="Связанная ячейка 113" xfId="60348"/>
    <cellStyle name="Связанная ячейка 114" xfId="60349"/>
    <cellStyle name="Связанная ячейка 115" xfId="60350"/>
    <cellStyle name="Связанная ячейка 116" xfId="60351"/>
    <cellStyle name="Связанная ячейка 117" xfId="60352"/>
    <cellStyle name="Связанная ячейка 118" xfId="60353"/>
    <cellStyle name="Связанная ячейка 119" xfId="60354"/>
    <cellStyle name="Связанная ячейка 12" xfId="60355"/>
    <cellStyle name="Связанная ячейка 120" xfId="60356"/>
    <cellStyle name="Связанная ячейка 121" xfId="60357"/>
    <cellStyle name="Связанная ячейка 122" xfId="60358"/>
    <cellStyle name="Связанная ячейка 123" xfId="60359"/>
    <cellStyle name="Связанная ячейка 124" xfId="60360"/>
    <cellStyle name="Связанная ячейка 125" xfId="60361"/>
    <cellStyle name="Связанная ячейка 126" xfId="60362"/>
    <cellStyle name="Связанная ячейка 127" xfId="60363"/>
    <cellStyle name="Связанная ячейка 128" xfId="60364"/>
    <cellStyle name="Связанная ячейка 129" xfId="60365"/>
    <cellStyle name="Связанная ячейка 13" xfId="60366"/>
    <cellStyle name="Связанная ячейка 130" xfId="60367"/>
    <cellStyle name="Связанная ячейка 131" xfId="60368"/>
    <cellStyle name="Связанная ячейка 132" xfId="60369"/>
    <cellStyle name="Связанная ячейка 133" xfId="60370"/>
    <cellStyle name="Связанная ячейка 134" xfId="60371"/>
    <cellStyle name="Связанная ячейка 135" xfId="60372"/>
    <cellStyle name="Связанная ячейка 136" xfId="60373"/>
    <cellStyle name="Связанная ячейка 137" xfId="60374"/>
    <cellStyle name="Связанная ячейка 138" xfId="60375"/>
    <cellStyle name="Связанная ячейка 139" xfId="60376"/>
    <cellStyle name="Связанная ячейка 14" xfId="60377"/>
    <cellStyle name="Связанная ячейка 140" xfId="60378"/>
    <cellStyle name="Связанная ячейка 141" xfId="60379"/>
    <cellStyle name="Связанная ячейка 142" xfId="60380"/>
    <cellStyle name="Связанная ячейка 143" xfId="60381"/>
    <cellStyle name="Связанная ячейка 144" xfId="60382"/>
    <cellStyle name="Связанная ячейка 145" xfId="60383"/>
    <cellStyle name="Связанная ячейка 146" xfId="60384"/>
    <cellStyle name="Связанная ячейка 147" xfId="60385"/>
    <cellStyle name="Связанная ячейка 148" xfId="60386"/>
    <cellStyle name="Связанная ячейка 149" xfId="60387"/>
    <cellStyle name="Связанная ячейка 15" xfId="60388"/>
    <cellStyle name="Связанная ячейка 150" xfId="60389"/>
    <cellStyle name="Связанная ячейка 151" xfId="60390"/>
    <cellStyle name="Связанная ячейка 152" xfId="60391"/>
    <cellStyle name="Связанная ячейка 153" xfId="60392"/>
    <cellStyle name="Связанная ячейка 16" xfId="60393"/>
    <cellStyle name="Связанная ячейка 17" xfId="60394"/>
    <cellStyle name="Связанная ячейка 18" xfId="60395"/>
    <cellStyle name="Связанная ячейка 19" xfId="60396"/>
    <cellStyle name="Связанная ячейка 2" xfId="60397"/>
    <cellStyle name="Связанная ячейка 2 2" xfId="60398"/>
    <cellStyle name="Связанная ячейка 2 2 10" xfId="60399"/>
    <cellStyle name="Связанная ячейка 2 2 11" xfId="60400"/>
    <cellStyle name="Связанная ячейка 2 2 12" xfId="60401"/>
    <cellStyle name="Связанная ячейка 2 2 13" xfId="60402"/>
    <cellStyle name="Связанная ячейка 2 2 2" xfId="60403"/>
    <cellStyle name="Связанная ячейка 2 2 3" xfId="60404"/>
    <cellStyle name="Связанная ячейка 2 2 4" xfId="60405"/>
    <cellStyle name="Связанная ячейка 2 2 5" xfId="60406"/>
    <cellStyle name="Связанная ячейка 2 2 6" xfId="60407"/>
    <cellStyle name="Связанная ячейка 2 2 7" xfId="60408"/>
    <cellStyle name="Связанная ячейка 2 2 8" xfId="60409"/>
    <cellStyle name="Связанная ячейка 2 2 9" xfId="60410"/>
    <cellStyle name="Связанная ячейка 2 3" xfId="60411"/>
    <cellStyle name="Связанная ячейка 20" xfId="60412"/>
    <cellStyle name="Связанная ячейка 21" xfId="60413"/>
    <cellStyle name="Связанная ячейка 22" xfId="60414"/>
    <cellStyle name="Связанная ячейка 23" xfId="60415"/>
    <cellStyle name="Связанная ячейка 24" xfId="60416"/>
    <cellStyle name="Связанная ячейка 25" xfId="60417"/>
    <cellStyle name="Связанная ячейка 26" xfId="60418"/>
    <cellStyle name="Связанная ячейка 27" xfId="60419"/>
    <cellStyle name="Связанная ячейка 28" xfId="60420"/>
    <cellStyle name="Связанная ячейка 29" xfId="60421"/>
    <cellStyle name="Связанная ячейка 3" xfId="60422"/>
    <cellStyle name="Связанная ячейка 30" xfId="60423"/>
    <cellStyle name="Связанная ячейка 31" xfId="60424"/>
    <cellStyle name="Связанная ячейка 32" xfId="60425"/>
    <cellStyle name="Связанная ячейка 33" xfId="60426"/>
    <cellStyle name="Связанная ячейка 34" xfId="60427"/>
    <cellStyle name="Связанная ячейка 35" xfId="60428"/>
    <cellStyle name="Связанная ячейка 36" xfId="60429"/>
    <cellStyle name="Связанная ячейка 37" xfId="60430"/>
    <cellStyle name="Связанная ячейка 38" xfId="60431"/>
    <cellStyle name="Связанная ячейка 39" xfId="60432"/>
    <cellStyle name="Связанная ячейка 4" xfId="60433"/>
    <cellStyle name="Связанная ячейка 40" xfId="60434"/>
    <cellStyle name="Связанная ячейка 41" xfId="60435"/>
    <cellStyle name="Связанная ячейка 42" xfId="60436"/>
    <cellStyle name="Связанная ячейка 43" xfId="60437"/>
    <cellStyle name="Связанная ячейка 44" xfId="60438"/>
    <cellStyle name="Связанная ячейка 45" xfId="60439"/>
    <cellStyle name="Связанная ячейка 46" xfId="60440"/>
    <cellStyle name="Связанная ячейка 47" xfId="60441"/>
    <cellStyle name="Связанная ячейка 48" xfId="60442"/>
    <cellStyle name="Связанная ячейка 49" xfId="60443"/>
    <cellStyle name="Связанная ячейка 5" xfId="60444"/>
    <cellStyle name="Связанная ячейка 50" xfId="60445"/>
    <cellStyle name="Связанная ячейка 51" xfId="60446"/>
    <cellStyle name="Связанная ячейка 52" xfId="60447"/>
    <cellStyle name="Связанная ячейка 53" xfId="60448"/>
    <cellStyle name="Связанная ячейка 54" xfId="60449"/>
    <cellStyle name="Связанная ячейка 55" xfId="60450"/>
    <cellStyle name="Связанная ячейка 56" xfId="60451"/>
    <cellStyle name="Связанная ячейка 57" xfId="60452"/>
    <cellStyle name="Связанная ячейка 58" xfId="60453"/>
    <cellStyle name="Связанная ячейка 59" xfId="60454"/>
    <cellStyle name="Связанная ячейка 6" xfId="60455"/>
    <cellStyle name="Связанная ячейка 60" xfId="60456"/>
    <cellStyle name="Связанная ячейка 61" xfId="60457"/>
    <cellStyle name="Связанная ячейка 62" xfId="60458"/>
    <cellStyle name="Связанная ячейка 63" xfId="60459"/>
    <cellStyle name="Связанная ячейка 64" xfId="60460"/>
    <cellStyle name="Связанная ячейка 65" xfId="60461"/>
    <cellStyle name="Связанная ячейка 66" xfId="60462"/>
    <cellStyle name="Связанная ячейка 67" xfId="60463"/>
    <cellStyle name="Связанная ячейка 68" xfId="60464"/>
    <cellStyle name="Связанная ячейка 69" xfId="60465"/>
    <cellStyle name="Связанная ячейка 7" xfId="60466"/>
    <cellStyle name="Связанная ячейка 70" xfId="60467"/>
    <cellStyle name="Связанная ячейка 71" xfId="60468"/>
    <cellStyle name="Связанная ячейка 72" xfId="60469"/>
    <cellStyle name="Связанная ячейка 73" xfId="60470"/>
    <cellStyle name="Связанная ячейка 74" xfId="60471"/>
    <cellStyle name="Связанная ячейка 75" xfId="60472"/>
    <cellStyle name="Связанная ячейка 76" xfId="60473"/>
    <cellStyle name="Связанная ячейка 77" xfId="60474"/>
    <cellStyle name="Связанная ячейка 78" xfId="60475"/>
    <cellStyle name="Связанная ячейка 79" xfId="60476"/>
    <cellStyle name="Связанная ячейка 8" xfId="60477"/>
    <cellStyle name="Связанная ячейка 80" xfId="60478"/>
    <cellStyle name="Связанная ячейка 81" xfId="60479"/>
    <cellStyle name="Связанная ячейка 82" xfId="60480"/>
    <cellStyle name="Связанная ячейка 83" xfId="60481"/>
    <cellStyle name="Связанная ячейка 84" xfId="60482"/>
    <cellStyle name="Связанная ячейка 85" xfId="60483"/>
    <cellStyle name="Связанная ячейка 86" xfId="60484"/>
    <cellStyle name="Связанная ячейка 87" xfId="60485"/>
    <cellStyle name="Связанная ячейка 88" xfId="60486"/>
    <cellStyle name="Связанная ячейка 89" xfId="60487"/>
    <cellStyle name="Связанная ячейка 9" xfId="60488"/>
    <cellStyle name="Связанная ячейка 90" xfId="60489"/>
    <cellStyle name="Связанная ячейка 91" xfId="60490"/>
    <cellStyle name="Связанная ячейка 92" xfId="60491"/>
    <cellStyle name="Связанная ячейка 93" xfId="60492"/>
    <cellStyle name="Связанная ячейка 94" xfId="60493"/>
    <cellStyle name="Связанная ячейка 95" xfId="60494"/>
    <cellStyle name="Связанная ячейка 96" xfId="60495"/>
    <cellStyle name="Связанная ячейка 97" xfId="60496"/>
    <cellStyle name="Связанная ячейка 98" xfId="60497"/>
    <cellStyle name="Связанная ячейка 99" xfId="60498"/>
    <cellStyle name="Стиль 1" xfId="60499"/>
    <cellStyle name="Текст предупреждения 10" xfId="60500"/>
    <cellStyle name="Текст предупреждения 100" xfId="60501"/>
    <cellStyle name="Текст предупреждения 101" xfId="60502"/>
    <cellStyle name="Текст предупреждения 102" xfId="60503"/>
    <cellStyle name="Текст предупреждения 103" xfId="60504"/>
    <cellStyle name="Текст предупреждения 104" xfId="60505"/>
    <cellStyle name="Текст предупреждения 105" xfId="60506"/>
    <cellStyle name="Текст предупреждения 106" xfId="60507"/>
    <cellStyle name="Текст предупреждения 107" xfId="60508"/>
    <cellStyle name="Текст предупреждения 108" xfId="60509"/>
    <cellStyle name="Текст предупреждения 109" xfId="60510"/>
    <cellStyle name="Текст предупреждения 11" xfId="60511"/>
    <cellStyle name="Текст предупреждения 110" xfId="60512"/>
    <cellStyle name="Текст предупреждения 111" xfId="60513"/>
    <cellStyle name="Текст предупреждения 112" xfId="60514"/>
    <cellStyle name="Текст предупреждения 113" xfId="60515"/>
    <cellStyle name="Текст предупреждения 114" xfId="60516"/>
    <cellStyle name="Текст предупреждения 115" xfId="60517"/>
    <cellStyle name="Текст предупреждения 116" xfId="60518"/>
    <cellStyle name="Текст предупреждения 117" xfId="60519"/>
    <cellStyle name="Текст предупреждения 118" xfId="60520"/>
    <cellStyle name="Текст предупреждения 119" xfId="60521"/>
    <cellStyle name="Текст предупреждения 12" xfId="60522"/>
    <cellStyle name="Текст предупреждения 120" xfId="60523"/>
    <cellStyle name="Текст предупреждения 121" xfId="60524"/>
    <cellStyle name="Текст предупреждения 122" xfId="60525"/>
    <cellStyle name="Текст предупреждения 123" xfId="60526"/>
    <cellStyle name="Текст предупреждения 124" xfId="60527"/>
    <cellStyle name="Текст предупреждения 125" xfId="60528"/>
    <cellStyle name="Текст предупреждения 126" xfId="60529"/>
    <cellStyle name="Текст предупреждения 127" xfId="60530"/>
    <cellStyle name="Текст предупреждения 128" xfId="60531"/>
    <cellStyle name="Текст предупреждения 129" xfId="60532"/>
    <cellStyle name="Текст предупреждения 13" xfId="60533"/>
    <cellStyle name="Текст предупреждения 130" xfId="60534"/>
    <cellStyle name="Текст предупреждения 131" xfId="60535"/>
    <cellStyle name="Текст предупреждения 132" xfId="60536"/>
    <cellStyle name="Текст предупреждения 133" xfId="60537"/>
    <cellStyle name="Текст предупреждения 134" xfId="60538"/>
    <cellStyle name="Текст предупреждения 135" xfId="60539"/>
    <cellStyle name="Текст предупреждения 136" xfId="60540"/>
    <cellStyle name="Текст предупреждения 137" xfId="60541"/>
    <cellStyle name="Текст предупреждения 138" xfId="60542"/>
    <cellStyle name="Текст предупреждения 139" xfId="60543"/>
    <cellStyle name="Текст предупреждения 14" xfId="60544"/>
    <cellStyle name="Текст предупреждения 140" xfId="60545"/>
    <cellStyle name="Текст предупреждения 141" xfId="60546"/>
    <cellStyle name="Текст предупреждения 142" xfId="60547"/>
    <cellStyle name="Текст предупреждения 143" xfId="60548"/>
    <cellStyle name="Текст предупреждения 144" xfId="60549"/>
    <cellStyle name="Текст предупреждения 145" xfId="60550"/>
    <cellStyle name="Текст предупреждения 146" xfId="60551"/>
    <cellStyle name="Текст предупреждения 147" xfId="60552"/>
    <cellStyle name="Текст предупреждения 148" xfId="60553"/>
    <cellStyle name="Текст предупреждения 149" xfId="60554"/>
    <cellStyle name="Текст предупреждения 15" xfId="60555"/>
    <cellStyle name="Текст предупреждения 150" xfId="60556"/>
    <cellStyle name="Текст предупреждения 151" xfId="60557"/>
    <cellStyle name="Текст предупреждения 152" xfId="60558"/>
    <cellStyle name="Текст предупреждения 153" xfId="60559"/>
    <cellStyle name="Текст предупреждения 16" xfId="60560"/>
    <cellStyle name="Текст предупреждения 17" xfId="60561"/>
    <cellStyle name="Текст предупреждения 18" xfId="60562"/>
    <cellStyle name="Текст предупреждения 19" xfId="60563"/>
    <cellStyle name="Текст предупреждения 2" xfId="60564"/>
    <cellStyle name="Текст предупреждения 2 2" xfId="60565"/>
    <cellStyle name="Текст предупреждения 2 2 10" xfId="60566"/>
    <cellStyle name="Текст предупреждения 2 2 11" xfId="60567"/>
    <cellStyle name="Текст предупреждения 2 2 12" xfId="60568"/>
    <cellStyle name="Текст предупреждения 2 2 13" xfId="60569"/>
    <cellStyle name="Текст предупреждения 2 2 2" xfId="60570"/>
    <cellStyle name="Текст предупреждения 2 2 3" xfId="60571"/>
    <cellStyle name="Текст предупреждения 2 2 4" xfId="60572"/>
    <cellStyle name="Текст предупреждения 2 2 5" xfId="60573"/>
    <cellStyle name="Текст предупреждения 2 2 6" xfId="60574"/>
    <cellStyle name="Текст предупреждения 2 2 7" xfId="60575"/>
    <cellStyle name="Текст предупреждения 2 2 8" xfId="60576"/>
    <cellStyle name="Текст предупреждения 2 2 9" xfId="60577"/>
    <cellStyle name="Текст предупреждения 2 3" xfId="60578"/>
    <cellStyle name="Текст предупреждения 20" xfId="60579"/>
    <cellStyle name="Текст предупреждения 21" xfId="60580"/>
    <cellStyle name="Текст предупреждения 22" xfId="60581"/>
    <cellStyle name="Текст предупреждения 23" xfId="60582"/>
    <cellStyle name="Текст предупреждения 24" xfId="60583"/>
    <cellStyle name="Текст предупреждения 25" xfId="60584"/>
    <cellStyle name="Текст предупреждения 26" xfId="60585"/>
    <cellStyle name="Текст предупреждения 27" xfId="60586"/>
    <cellStyle name="Текст предупреждения 28" xfId="60587"/>
    <cellStyle name="Текст предупреждения 29" xfId="60588"/>
    <cellStyle name="Текст предупреждения 3" xfId="60589"/>
    <cellStyle name="Текст предупреждения 30" xfId="60590"/>
    <cellStyle name="Текст предупреждения 31" xfId="60591"/>
    <cellStyle name="Текст предупреждения 32" xfId="60592"/>
    <cellStyle name="Текст предупреждения 33" xfId="60593"/>
    <cellStyle name="Текст предупреждения 34" xfId="60594"/>
    <cellStyle name="Текст предупреждения 35" xfId="60595"/>
    <cellStyle name="Текст предупреждения 36" xfId="60596"/>
    <cellStyle name="Текст предупреждения 37" xfId="60597"/>
    <cellStyle name="Текст предупреждения 38" xfId="60598"/>
    <cellStyle name="Текст предупреждения 39" xfId="60599"/>
    <cellStyle name="Текст предупреждения 4" xfId="60600"/>
    <cellStyle name="Текст предупреждения 40" xfId="60601"/>
    <cellStyle name="Текст предупреждения 41" xfId="60602"/>
    <cellStyle name="Текст предупреждения 42" xfId="60603"/>
    <cellStyle name="Текст предупреждения 43" xfId="60604"/>
    <cellStyle name="Текст предупреждения 44" xfId="60605"/>
    <cellStyle name="Текст предупреждения 45" xfId="60606"/>
    <cellStyle name="Текст предупреждения 46" xfId="60607"/>
    <cellStyle name="Текст предупреждения 47" xfId="60608"/>
    <cellStyle name="Текст предупреждения 48" xfId="60609"/>
    <cellStyle name="Текст предупреждения 49" xfId="60610"/>
    <cellStyle name="Текст предупреждения 5" xfId="60611"/>
    <cellStyle name="Текст предупреждения 50" xfId="60612"/>
    <cellStyle name="Текст предупреждения 51" xfId="60613"/>
    <cellStyle name="Текст предупреждения 52" xfId="60614"/>
    <cellStyle name="Текст предупреждения 53" xfId="60615"/>
    <cellStyle name="Текст предупреждения 54" xfId="60616"/>
    <cellStyle name="Текст предупреждения 55" xfId="60617"/>
    <cellStyle name="Текст предупреждения 56" xfId="60618"/>
    <cellStyle name="Текст предупреждения 57" xfId="60619"/>
    <cellStyle name="Текст предупреждения 58" xfId="60620"/>
    <cellStyle name="Текст предупреждения 59" xfId="60621"/>
    <cellStyle name="Текст предупреждения 6" xfId="60622"/>
    <cellStyle name="Текст предупреждения 60" xfId="60623"/>
    <cellStyle name="Текст предупреждения 61" xfId="60624"/>
    <cellStyle name="Текст предупреждения 62" xfId="60625"/>
    <cellStyle name="Текст предупреждения 63" xfId="60626"/>
    <cellStyle name="Текст предупреждения 64" xfId="60627"/>
    <cellStyle name="Текст предупреждения 65" xfId="60628"/>
    <cellStyle name="Текст предупреждения 66" xfId="60629"/>
    <cellStyle name="Текст предупреждения 67" xfId="60630"/>
    <cellStyle name="Текст предупреждения 68" xfId="60631"/>
    <cellStyle name="Текст предупреждения 69" xfId="60632"/>
    <cellStyle name="Текст предупреждения 7" xfId="60633"/>
    <cellStyle name="Текст предупреждения 70" xfId="60634"/>
    <cellStyle name="Текст предупреждения 71" xfId="60635"/>
    <cellStyle name="Текст предупреждения 72" xfId="60636"/>
    <cellStyle name="Текст предупреждения 73" xfId="60637"/>
    <cellStyle name="Текст предупреждения 74" xfId="60638"/>
    <cellStyle name="Текст предупреждения 75" xfId="60639"/>
    <cellStyle name="Текст предупреждения 76" xfId="60640"/>
    <cellStyle name="Текст предупреждения 77" xfId="60641"/>
    <cellStyle name="Текст предупреждения 78" xfId="60642"/>
    <cellStyle name="Текст предупреждения 79" xfId="60643"/>
    <cellStyle name="Текст предупреждения 8" xfId="60644"/>
    <cellStyle name="Текст предупреждения 80" xfId="60645"/>
    <cellStyle name="Текст предупреждения 81" xfId="60646"/>
    <cellStyle name="Текст предупреждения 82" xfId="60647"/>
    <cellStyle name="Текст предупреждения 83" xfId="60648"/>
    <cellStyle name="Текст предупреждения 84" xfId="60649"/>
    <cellStyle name="Текст предупреждения 85" xfId="60650"/>
    <cellStyle name="Текст предупреждения 86" xfId="60651"/>
    <cellStyle name="Текст предупреждения 87" xfId="60652"/>
    <cellStyle name="Текст предупреждения 88" xfId="60653"/>
    <cellStyle name="Текст предупреждения 89" xfId="60654"/>
    <cellStyle name="Текст предупреждения 9" xfId="60655"/>
    <cellStyle name="Текст предупреждения 90" xfId="60656"/>
    <cellStyle name="Текст предупреждения 91" xfId="60657"/>
    <cellStyle name="Текст предупреждения 92" xfId="60658"/>
    <cellStyle name="Текст предупреждения 93" xfId="60659"/>
    <cellStyle name="Текст предупреждения 94" xfId="60660"/>
    <cellStyle name="Текст предупреждения 95" xfId="60661"/>
    <cellStyle name="Текст предупреждения 96" xfId="60662"/>
    <cellStyle name="Текст предупреждения 97" xfId="60663"/>
    <cellStyle name="Текст предупреждения 98" xfId="60664"/>
    <cellStyle name="Текст предупреждения 99" xfId="60665"/>
    <cellStyle name="Финансовый 10" xfId="60666"/>
    <cellStyle name="Финансовый 11" xfId="60667"/>
    <cellStyle name="Финансовый 11 2" xfId="60668"/>
    <cellStyle name="Финансовый 2" xfId="5"/>
    <cellStyle name="Финансовый 2 10" xfId="60669"/>
    <cellStyle name="Финансовый 2 11" xfId="60670"/>
    <cellStyle name="Финансовый 2 12" xfId="60671"/>
    <cellStyle name="Финансовый 2 13" xfId="60672"/>
    <cellStyle name="Финансовый 2 14" xfId="60673"/>
    <cellStyle name="Финансовый 2 15" xfId="60674"/>
    <cellStyle name="Финансовый 2 16" xfId="60675"/>
    <cellStyle name="Финансовый 2 17" xfId="60676"/>
    <cellStyle name="Финансовый 2 2" xfId="60677"/>
    <cellStyle name="Финансовый 2 2 2" xfId="60678"/>
    <cellStyle name="Финансовый 2 2 2 2" xfId="60679"/>
    <cellStyle name="Финансовый 2 2 3" xfId="60680"/>
    <cellStyle name="Финансовый 2 3" xfId="60681"/>
    <cellStyle name="Финансовый 2 3 2" xfId="60682"/>
    <cellStyle name="Финансовый 2 3 2 2" xfId="60683"/>
    <cellStyle name="Финансовый 2 3 3" xfId="60684"/>
    <cellStyle name="Финансовый 2 4" xfId="60685"/>
    <cellStyle name="Финансовый 2 4 2" xfId="60686"/>
    <cellStyle name="Финансовый 2 4 2 2" xfId="60687"/>
    <cellStyle name="Финансовый 2 4 3" xfId="60688"/>
    <cellStyle name="Финансовый 2 5" xfId="60689"/>
    <cellStyle name="Финансовый 2 5 2" xfId="60690"/>
    <cellStyle name="Финансовый 2 6" xfId="60691"/>
    <cellStyle name="Финансовый 2 6 2" xfId="60692"/>
    <cellStyle name="Финансовый 2 7" xfId="60693"/>
    <cellStyle name="Финансовый 2 7 2" xfId="60694"/>
    <cellStyle name="Финансовый 2 8" xfId="60695"/>
    <cellStyle name="Финансовый 2 9" xfId="60696"/>
    <cellStyle name="Финансовый 3" xfId="60697"/>
    <cellStyle name="Финансовый 3 2" xfId="60698"/>
    <cellStyle name="Финансовый 3 2 2" xfId="60699"/>
    <cellStyle name="Финансовый 3 3" xfId="60700"/>
    <cellStyle name="Финансовый 3 4" xfId="60701"/>
    <cellStyle name="Финансовый 3 5" xfId="60702"/>
    <cellStyle name="Финансовый 3 6" xfId="60703"/>
    <cellStyle name="Финансовый 3 7" xfId="60704"/>
    <cellStyle name="Финансовый 3 8" xfId="60705"/>
    <cellStyle name="Финансовый 3 9" xfId="60706"/>
    <cellStyle name="Финансовый 4" xfId="60707"/>
    <cellStyle name="Финансовый 4 2" xfId="60708"/>
    <cellStyle name="Финансовый 4 3" xfId="60709"/>
    <cellStyle name="Финансовый 5" xfId="60710"/>
    <cellStyle name="Финансовый 5 2" xfId="60711"/>
    <cellStyle name="Финансовый 5 3" xfId="61226"/>
    <cellStyle name="Финансовый 6" xfId="60712"/>
    <cellStyle name="Финансовый 6 2" xfId="60713"/>
    <cellStyle name="Финансовый 7" xfId="60714"/>
    <cellStyle name="Финансовый 8" xfId="60715"/>
    <cellStyle name="Финансовый 9" xfId="60716"/>
    <cellStyle name="Хороший 10" xfId="60717"/>
    <cellStyle name="Хороший 100" xfId="60718"/>
    <cellStyle name="Хороший 101" xfId="60719"/>
    <cellStyle name="Хороший 102" xfId="60720"/>
    <cellStyle name="Хороший 103" xfId="60721"/>
    <cellStyle name="Хороший 104" xfId="60722"/>
    <cellStyle name="Хороший 105" xfId="60723"/>
    <cellStyle name="Хороший 106" xfId="60724"/>
    <cellStyle name="Хороший 107" xfId="60725"/>
    <cellStyle name="Хороший 108" xfId="60726"/>
    <cellStyle name="Хороший 109" xfId="60727"/>
    <cellStyle name="Хороший 11" xfId="60728"/>
    <cellStyle name="Хороший 110" xfId="60729"/>
    <cellStyle name="Хороший 111" xfId="60730"/>
    <cellStyle name="Хороший 112" xfId="60731"/>
    <cellStyle name="Хороший 113" xfId="60732"/>
    <cellStyle name="Хороший 114" xfId="60733"/>
    <cellStyle name="Хороший 115" xfId="60734"/>
    <cellStyle name="Хороший 116" xfId="60735"/>
    <cellStyle name="Хороший 117" xfId="60736"/>
    <cellStyle name="Хороший 118" xfId="60737"/>
    <cellStyle name="Хороший 119" xfId="60738"/>
    <cellStyle name="Хороший 12" xfId="60739"/>
    <cellStyle name="Хороший 120" xfId="60740"/>
    <cellStyle name="Хороший 121" xfId="60741"/>
    <cellStyle name="Хороший 122" xfId="60742"/>
    <cellStyle name="Хороший 123" xfId="60743"/>
    <cellStyle name="Хороший 124" xfId="60744"/>
    <cellStyle name="Хороший 125" xfId="60745"/>
    <cellStyle name="Хороший 126" xfId="60746"/>
    <cellStyle name="Хороший 127" xfId="60747"/>
    <cellStyle name="Хороший 128" xfId="60748"/>
    <cellStyle name="Хороший 129" xfId="60749"/>
    <cellStyle name="Хороший 13" xfId="60750"/>
    <cellStyle name="Хороший 130" xfId="60751"/>
    <cellStyle name="Хороший 131" xfId="60752"/>
    <cellStyle name="Хороший 132" xfId="60753"/>
    <cellStyle name="Хороший 133" xfId="60754"/>
    <cellStyle name="Хороший 134" xfId="60755"/>
    <cellStyle name="Хороший 135" xfId="60756"/>
    <cellStyle name="Хороший 136" xfId="60757"/>
    <cellStyle name="Хороший 137" xfId="60758"/>
    <cellStyle name="Хороший 138" xfId="60759"/>
    <cellStyle name="Хороший 139" xfId="60760"/>
    <cellStyle name="Хороший 14" xfId="60761"/>
    <cellStyle name="Хороший 140" xfId="60762"/>
    <cellStyle name="Хороший 141" xfId="60763"/>
    <cellStyle name="Хороший 142" xfId="60764"/>
    <cellStyle name="Хороший 143" xfId="60765"/>
    <cellStyle name="Хороший 144" xfId="60766"/>
    <cellStyle name="Хороший 145" xfId="60767"/>
    <cellStyle name="Хороший 146" xfId="60768"/>
    <cellStyle name="Хороший 147" xfId="60769"/>
    <cellStyle name="Хороший 148" xfId="60770"/>
    <cellStyle name="Хороший 149" xfId="60771"/>
    <cellStyle name="Хороший 15" xfId="60772"/>
    <cellStyle name="Хороший 150" xfId="60773"/>
    <cellStyle name="Хороший 151" xfId="60774"/>
    <cellStyle name="Хороший 152" xfId="60775"/>
    <cellStyle name="Хороший 153" xfId="60776"/>
    <cellStyle name="Хороший 16" xfId="60777"/>
    <cellStyle name="Хороший 17" xfId="60778"/>
    <cellStyle name="Хороший 18" xfId="60779"/>
    <cellStyle name="Хороший 19" xfId="60780"/>
    <cellStyle name="Хороший 2" xfId="60781"/>
    <cellStyle name="Хороший 2 2" xfId="60782"/>
    <cellStyle name="Хороший 2 2 10" xfId="60783"/>
    <cellStyle name="Хороший 2 2 11" xfId="60784"/>
    <cellStyle name="Хороший 2 2 12" xfId="60785"/>
    <cellStyle name="Хороший 2 2 13" xfId="60786"/>
    <cellStyle name="Хороший 2 2 2" xfId="60787"/>
    <cellStyle name="Хороший 2 2 3" xfId="60788"/>
    <cellStyle name="Хороший 2 2 4" xfId="60789"/>
    <cellStyle name="Хороший 2 2 5" xfId="60790"/>
    <cellStyle name="Хороший 2 2 6" xfId="60791"/>
    <cellStyle name="Хороший 2 2 7" xfId="60792"/>
    <cellStyle name="Хороший 2 2 8" xfId="60793"/>
    <cellStyle name="Хороший 2 2 9" xfId="60794"/>
    <cellStyle name="Хороший 2 3" xfId="60795"/>
    <cellStyle name="Хороший 20" xfId="60796"/>
    <cellStyle name="Хороший 21" xfId="60797"/>
    <cellStyle name="Хороший 22" xfId="60798"/>
    <cellStyle name="Хороший 23" xfId="60799"/>
    <cellStyle name="Хороший 24" xfId="60800"/>
    <cellStyle name="Хороший 25" xfId="60801"/>
    <cellStyle name="Хороший 26" xfId="60802"/>
    <cellStyle name="Хороший 27" xfId="60803"/>
    <cellStyle name="Хороший 28" xfId="60804"/>
    <cellStyle name="Хороший 29" xfId="60805"/>
    <cellStyle name="Хороший 3" xfId="60806"/>
    <cellStyle name="Хороший 30" xfId="60807"/>
    <cellStyle name="Хороший 31" xfId="60808"/>
    <cellStyle name="Хороший 32" xfId="60809"/>
    <cellStyle name="Хороший 33" xfId="60810"/>
    <cellStyle name="Хороший 34" xfId="60811"/>
    <cellStyle name="Хороший 35" xfId="60812"/>
    <cellStyle name="Хороший 36" xfId="60813"/>
    <cellStyle name="Хороший 37" xfId="60814"/>
    <cellStyle name="Хороший 38" xfId="60815"/>
    <cellStyle name="Хороший 39" xfId="60816"/>
    <cellStyle name="Хороший 4" xfId="60817"/>
    <cellStyle name="Хороший 40" xfId="60818"/>
    <cellStyle name="Хороший 41" xfId="60819"/>
    <cellStyle name="Хороший 42" xfId="60820"/>
    <cellStyle name="Хороший 43" xfId="60821"/>
    <cellStyle name="Хороший 44" xfId="60822"/>
    <cellStyle name="Хороший 45" xfId="60823"/>
    <cellStyle name="Хороший 46" xfId="60824"/>
    <cellStyle name="Хороший 47" xfId="60825"/>
    <cellStyle name="Хороший 48" xfId="60826"/>
    <cellStyle name="Хороший 49" xfId="60827"/>
    <cellStyle name="Хороший 5" xfId="60828"/>
    <cellStyle name="Хороший 50" xfId="60829"/>
    <cellStyle name="Хороший 51" xfId="60830"/>
    <cellStyle name="Хороший 52" xfId="60831"/>
    <cellStyle name="Хороший 53" xfId="60832"/>
    <cellStyle name="Хороший 54" xfId="60833"/>
    <cellStyle name="Хороший 55" xfId="60834"/>
    <cellStyle name="Хороший 56" xfId="60835"/>
    <cellStyle name="Хороший 57" xfId="60836"/>
    <cellStyle name="Хороший 58" xfId="60837"/>
    <cellStyle name="Хороший 59" xfId="60838"/>
    <cellStyle name="Хороший 6" xfId="60839"/>
    <cellStyle name="Хороший 60" xfId="60840"/>
    <cellStyle name="Хороший 61" xfId="60841"/>
    <cellStyle name="Хороший 62" xfId="60842"/>
    <cellStyle name="Хороший 63" xfId="60843"/>
    <cellStyle name="Хороший 64" xfId="60844"/>
    <cellStyle name="Хороший 65" xfId="60845"/>
    <cellStyle name="Хороший 66" xfId="60846"/>
    <cellStyle name="Хороший 67" xfId="60847"/>
    <cellStyle name="Хороший 68" xfId="60848"/>
    <cellStyle name="Хороший 69" xfId="60849"/>
    <cellStyle name="Хороший 7" xfId="60850"/>
    <cellStyle name="Хороший 70" xfId="60851"/>
    <cellStyle name="Хороший 71" xfId="60852"/>
    <cellStyle name="Хороший 72" xfId="60853"/>
    <cellStyle name="Хороший 73" xfId="60854"/>
    <cellStyle name="Хороший 74" xfId="60855"/>
    <cellStyle name="Хороший 75" xfId="60856"/>
    <cellStyle name="Хороший 76" xfId="60857"/>
    <cellStyle name="Хороший 77" xfId="60858"/>
    <cellStyle name="Хороший 78" xfId="60859"/>
    <cellStyle name="Хороший 79" xfId="60860"/>
    <cellStyle name="Хороший 8" xfId="60861"/>
    <cellStyle name="Хороший 80" xfId="60862"/>
    <cellStyle name="Хороший 81" xfId="60863"/>
    <cellStyle name="Хороший 82" xfId="60864"/>
    <cellStyle name="Хороший 83" xfId="60865"/>
    <cellStyle name="Хороший 84" xfId="60866"/>
    <cellStyle name="Хороший 85" xfId="60867"/>
    <cellStyle name="Хороший 86" xfId="60868"/>
    <cellStyle name="Хороший 87" xfId="60869"/>
    <cellStyle name="Хороший 88" xfId="60870"/>
    <cellStyle name="Хороший 89" xfId="60871"/>
    <cellStyle name="Хороший 9" xfId="60872"/>
    <cellStyle name="Хороший 90" xfId="60873"/>
    <cellStyle name="Хороший 91" xfId="60874"/>
    <cellStyle name="Хороший 92" xfId="60875"/>
    <cellStyle name="Хороший 93" xfId="60876"/>
    <cellStyle name="Хороший 94" xfId="60877"/>
    <cellStyle name="Хороший 95" xfId="60878"/>
    <cellStyle name="Хороший 96" xfId="60879"/>
    <cellStyle name="Хороший 97" xfId="60880"/>
    <cellStyle name="Хороший 98" xfId="60881"/>
    <cellStyle name="Хороший 99" xfId="60882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\&#1040;&#1055;&#1059;%20&#1055;&#1088;&#1086;&#1092;&#1080;&#1083;&#1072;&#1082;&#1090;&#1080;&#1082;&#1072;%20&#1057;&#1074;&#1086;&#1076;%20202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\&#1040;&#1055;&#1059;%20&#1055;&#1088;&#1086;&#1092;&#1080;&#1083;&#1072;&#1082;&#1090;&#1080;&#1082;&#1072;%20&#1088;&#1072;&#1079;&#1086;&#1074;&#1086;&#1077;%20&#1087;&#1086;&#1089;.%20&#1087;&#1086;%20&#1079;&#1072;&#1073;.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1%20&#1075;\&#1042;&#1052;&#1055;\!!!!&#1050;&#1055;%20&#1042;&#1052;&#1055;%20&#1085;&#1072;%202021%20&#1075;&#1086;&#1076;%20&#1076;&#1083;&#1103;%20&#1056;&#1052;&#1048;&#1040;&#1057;%20&#1080;%20&#1052;&#1048;&#1040;&#106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40;&#1085;&#1072;&#1083;&#1080;&#1090;&#1080;&#1095;&#1077;&#1089;&#1082;&#1080;&#1077;%20&#1084;&#1072;&#1090;&#1077;&#1088;&#1080;&#1072;&#1083;&#1099;%20&#1086;&#1090;%20&#1058;&#1060;&#1054;&#1052;&#1057;\&#1091;&#1088;&#1086;&#1074;&#1085;&#1080;%20&#1052;&#1054;%20&#1089;%202016%20&#1075;&#1086;&#1076;&#1072;\2021&#1075;\&#1054;&#1082;&#1086;&#1085;&#1095;&#1072;&#1090;&#1077;&#1083;&#1100;&#1085;&#1086;&#1077;%20&#1088;&#1077;&#1096;&#1077;&#1085;&#1080;&#1077;\!!!!!%20&#1059;&#1088;&#1086;&#1074;&#1085;&#1080;%20&#1050;&#1057;%202021%20&#1075;&#1086;&#1076;%20&#1073;&#1077;&#1079;.&#1092;&#1077;&#1076;.%20&#1052;&#10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кл.Пр.17-15 (2)"/>
      <sheetName val="Профилактика Свод Пр.2-21"/>
      <sheetName val="Профилактика Свод Пр.3-21"/>
      <sheetName val="Пр.3-21-Пр.2-21"/>
      <sheetName val="Пр.3-12 Для РГ"/>
      <sheetName val="Пр.3-21-Пр.2-21финансы"/>
      <sheetName val="Профилактика Свод Пр.3-21 отред"/>
      <sheetName val="Профилактика Свод Пр.4-21"/>
      <sheetName val="Откл.V Пр.4-21-Пр.3-21"/>
      <sheetName val="Профилактика Свод Пр.5-21"/>
      <sheetName val="откл. Пр.5-21-Пр.4-21"/>
      <sheetName val="Профилактика Свод Пр.6-21 "/>
      <sheetName val="откл. Пр.6-21-Пр.5-21 "/>
      <sheetName val="Профилактика Свод Пр.8-21"/>
      <sheetName val="откл.Пр.8-21-6-21(откл.без ЗВ)"/>
      <sheetName val="Прт.8-21 откл.объемов по ЗВ"/>
      <sheetName val="Прот.8-21 окончат."/>
      <sheetName val="Прот.10-21"/>
      <sheetName val="Откл.Пр.10-21-Пр.8-21"/>
      <sheetName val="Прот.11-21 "/>
      <sheetName val="Откл.Пр.11-21-Пр.10-21 "/>
      <sheetName val="Прот.13-21"/>
      <sheetName val="Откл.Пр.13-Пр.11"/>
      <sheetName val="Прот.15-21 "/>
      <sheetName val="Откл.Пр.15-13"/>
      <sheetName val="Прот.17-21  "/>
      <sheetName val="Откл.Пр.17-15"/>
      <sheetName val="Прот.19-21"/>
      <sheetName val="Откл.Пр.19-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L8">
            <v>0</v>
          </cell>
          <cell r="M8">
            <v>488</v>
          </cell>
        </row>
      </sheetData>
      <sheetData sheetId="14" refreshError="1"/>
      <sheetData sheetId="15">
        <row r="8">
          <cell r="L8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 на 01.01.2021"/>
      <sheetName val="Проф.разов. пос.по заб.Пр.2-21"/>
      <sheetName val="Прот.3-21"/>
      <sheetName val="Откл объемов Пр2-21-Пр.3-21 "/>
      <sheetName val="Финансы Пр.3-21-Пр.2-21"/>
      <sheetName val="Прот.3-21 отр_148"/>
      <sheetName val="Прот.4-21 "/>
      <sheetName val="откл.V Пр.4-21-Пр.3-21"/>
      <sheetName val="Прот.5-21 "/>
      <sheetName val="Отк.Пр.5-21-Пр.4-21"/>
      <sheetName val="Прот.6-21"/>
      <sheetName val="Отк.Пр.6-21-Пр.5-21"/>
      <sheetName val="Прот.8-21"/>
      <sheetName val="Откл.Прот.8-21-Пр.6-21 по объем"/>
      <sheetName val="Откл.Прот.8-21 по зубным врачам"/>
      <sheetName val="Прот.8-21 окон для тарифной"/>
      <sheetName val="Прот.10-21"/>
      <sheetName val="Откл.10-21-8-21"/>
      <sheetName val="Прот.11-21 "/>
      <sheetName val="Откл.11-21-10-21 "/>
      <sheetName val="Прот.13-21  "/>
      <sheetName val="Откл.Пр.13-Пр.11"/>
      <sheetName val="Прот.15-21  "/>
      <sheetName val="Откл.15-13"/>
      <sheetName val="Прот.17-21   "/>
      <sheetName val="Откл.17-15"/>
      <sheetName val="Прот.19-21"/>
      <sheetName val="Откл.19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9">
          <cell r="J9">
            <v>325028</v>
          </cell>
        </row>
      </sheetData>
      <sheetData sheetId="17" refreshError="1"/>
      <sheetData sheetId="18">
        <row r="11">
          <cell r="AC11">
            <v>1974</v>
          </cell>
        </row>
      </sheetData>
      <sheetData sheetId="19" refreshError="1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МП"/>
    </sheetNames>
    <sheetDataSet>
      <sheetData sheetId="0" refreshError="1">
        <row r="10">
          <cell r="D10">
            <v>150</v>
          </cell>
          <cell r="P10">
            <v>65</v>
          </cell>
        </row>
        <row r="11">
          <cell r="D11">
            <v>400</v>
          </cell>
          <cell r="F11">
            <v>230</v>
          </cell>
          <cell r="K11">
            <v>50</v>
          </cell>
          <cell r="O11">
            <v>200</v>
          </cell>
          <cell r="P11">
            <v>47</v>
          </cell>
          <cell r="T11">
            <v>40</v>
          </cell>
        </row>
        <row r="12">
          <cell r="D12">
            <v>50</v>
          </cell>
          <cell r="K12">
            <v>34</v>
          </cell>
          <cell r="P12">
            <v>60</v>
          </cell>
        </row>
        <row r="13">
          <cell r="D13">
            <v>40</v>
          </cell>
          <cell r="K13">
            <v>10</v>
          </cell>
          <cell r="N13">
            <v>24</v>
          </cell>
        </row>
        <row r="14">
          <cell r="K14">
            <v>12</v>
          </cell>
        </row>
        <row r="16">
          <cell r="O16">
            <v>115</v>
          </cell>
          <cell r="S16">
            <v>25</v>
          </cell>
        </row>
        <row r="17">
          <cell r="D17">
            <v>370</v>
          </cell>
          <cell r="K17">
            <v>125</v>
          </cell>
          <cell r="L17">
            <v>21</v>
          </cell>
          <cell r="P17">
            <v>132</v>
          </cell>
          <cell r="Q17">
            <v>10</v>
          </cell>
          <cell r="S17">
            <v>192</v>
          </cell>
        </row>
        <row r="18">
          <cell r="K18">
            <v>200</v>
          </cell>
        </row>
        <row r="19">
          <cell r="D19">
            <v>170</v>
          </cell>
          <cell r="K19">
            <v>100</v>
          </cell>
          <cell r="S19">
            <v>100</v>
          </cell>
          <cell r="Y19">
            <v>3</v>
          </cell>
          <cell r="AD19">
            <v>10</v>
          </cell>
        </row>
        <row r="20">
          <cell r="D20">
            <v>150</v>
          </cell>
          <cell r="E20">
            <v>5</v>
          </cell>
          <cell r="K20">
            <v>50</v>
          </cell>
          <cell r="N20">
            <v>100</v>
          </cell>
          <cell r="P20">
            <v>65</v>
          </cell>
        </row>
        <row r="21">
          <cell r="K21">
            <v>60</v>
          </cell>
          <cell r="M21">
            <v>200</v>
          </cell>
        </row>
        <row r="22">
          <cell r="K22">
            <v>43</v>
          </cell>
        </row>
        <row r="23">
          <cell r="D23">
            <v>200</v>
          </cell>
          <cell r="N23">
            <v>170</v>
          </cell>
          <cell r="S23">
            <v>40</v>
          </cell>
        </row>
        <row r="24">
          <cell r="D24">
            <v>400</v>
          </cell>
          <cell r="E24">
            <v>764</v>
          </cell>
          <cell r="O24">
            <v>246</v>
          </cell>
          <cell r="P24">
            <v>500</v>
          </cell>
          <cell r="Q24">
            <v>213</v>
          </cell>
          <cell r="S24">
            <v>418</v>
          </cell>
          <cell r="AA24">
            <v>162</v>
          </cell>
          <cell r="AB24">
            <v>179</v>
          </cell>
        </row>
        <row r="25">
          <cell r="D25">
            <v>20</v>
          </cell>
        </row>
        <row r="26">
          <cell r="D26">
            <v>370</v>
          </cell>
          <cell r="K26">
            <v>63</v>
          </cell>
          <cell r="L26">
            <v>231</v>
          </cell>
          <cell r="N26">
            <v>79</v>
          </cell>
          <cell r="O26">
            <v>234</v>
          </cell>
          <cell r="P26">
            <v>200</v>
          </cell>
          <cell r="Q26">
            <v>30</v>
          </cell>
          <cell r="S26">
            <v>119</v>
          </cell>
          <cell r="AB26">
            <v>33</v>
          </cell>
          <cell r="AD26">
            <v>20</v>
          </cell>
        </row>
        <row r="27">
          <cell r="D27">
            <v>130</v>
          </cell>
          <cell r="K27">
            <v>130</v>
          </cell>
          <cell r="L27">
            <v>36</v>
          </cell>
          <cell r="P27">
            <v>10</v>
          </cell>
          <cell r="Y27">
            <v>7</v>
          </cell>
          <cell r="AC27">
            <v>30</v>
          </cell>
        </row>
        <row r="28">
          <cell r="K28">
            <v>65</v>
          </cell>
          <cell r="P28">
            <v>60</v>
          </cell>
          <cell r="S28">
            <v>20</v>
          </cell>
        </row>
        <row r="29">
          <cell r="D29">
            <v>20</v>
          </cell>
          <cell r="K29">
            <v>170</v>
          </cell>
          <cell r="P29">
            <v>20</v>
          </cell>
        </row>
        <row r="30">
          <cell r="R30">
            <v>30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ровни 2021г."/>
      <sheetName val="с объемами на 01.01.2021г."/>
      <sheetName val="ГКБ № 18 отделения"/>
      <sheetName val="Объемы на 01.01.2020г."/>
      <sheetName val="на 01.02.2021г. изм."/>
      <sheetName val="на 01.02.2021г. для ТК"/>
      <sheetName val="на 01.03.2021г. для ТК"/>
      <sheetName val="на 01.04.2021г. для ТК"/>
      <sheetName val="на 01.05.2021г. для ТК"/>
      <sheetName val="на 01.06.2021г. для ТК"/>
      <sheetName val="на 01.07.2021г. для ТК"/>
      <sheetName val="на 01.08.2021г. для ТК"/>
      <sheetName val="на 01.09.2021г. для ТК"/>
      <sheetName val="на 01.10.2021г. для ТК"/>
      <sheetName val="на 01.11.2021г. для ТК"/>
      <sheetName val="на 01.12.2021г. для ТК"/>
      <sheetName val="на 31.12.2021г. для ТК"/>
    </sheetNames>
    <sheetDataSet>
      <sheetData sheetId="0" refreshError="1"/>
      <sheetData sheetId="1" refreshError="1"/>
      <sheetData sheetId="2" refreshError="1"/>
      <sheetData sheetId="3" refreshError="1">
        <row r="7">
          <cell r="J7">
            <v>52</v>
          </cell>
        </row>
        <row r="8">
          <cell r="J8">
            <v>1587</v>
          </cell>
        </row>
        <row r="9">
          <cell r="J9">
            <v>2400</v>
          </cell>
        </row>
        <row r="93">
          <cell r="J93">
            <v>210</v>
          </cell>
        </row>
        <row r="95">
          <cell r="J95">
            <v>3435</v>
          </cell>
        </row>
        <row r="103">
          <cell r="J103">
            <v>265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75"/>
  <sheetViews>
    <sheetView zoomScale="90" zoomScaleNormal="90" workbookViewId="0">
      <pane xSplit="4" ySplit="4" topLeftCell="E248" activePane="bottomRight" state="frozen"/>
      <selection pane="topRight" activeCell="D1" sqref="D1"/>
      <selection pane="bottomLeft" activeCell="A5" sqref="A5"/>
      <selection pane="bottomRight" activeCell="F3" sqref="F3"/>
    </sheetView>
  </sheetViews>
  <sheetFormatPr defaultRowHeight="12.75" x14ac:dyDescent="0.2"/>
  <cols>
    <col min="1" max="1" width="6.85546875" style="414" customWidth="1"/>
    <col min="2" max="2" width="12" style="414" customWidth="1"/>
    <col min="3" max="3" width="35.28515625" style="414" customWidth="1"/>
    <col min="4" max="4" width="8.85546875" style="414" customWidth="1"/>
    <col min="5" max="5" width="11.28515625" style="414" customWidth="1"/>
    <col min="6" max="6" width="12" style="414" customWidth="1"/>
    <col min="7" max="7" width="14.85546875" style="414" customWidth="1"/>
    <col min="8" max="8" width="12.28515625" style="414" customWidth="1"/>
    <col min="9" max="9" width="19.5703125" style="414" customWidth="1"/>
    <col min="10" max="10" width="10.85546875" style="414" customWidth="1"/>
    <col min="11" max="11" width="11.5703125" style="414" customWidth="1"/>
    <col min="12" max="12" width="14" style="414" customWidth="1"/>
    <col min="13" max="13" width="14.7109375" style="414" customWidth="1"/>
    <col min="14" max="14" width="9.140625" style="414"/>
    <col min="15" max="15" width="9.140625" style="443"/>
    <col min="16" max="256" width="9.140625" style="414"/>
    <col min="257" max="257" width="39" style="414" customWidth="1"/>
    <col min="258" max="258" width="10.5703125" style="414" customWidth="1"/>
    <col min="259" max="259" width="13.5703125" style="414" customWidth="1"/>
    <col min="260" max="260" width="16.85546875" style="414" customWidth="1"/>
    <col min="261" max="261" width="14.85546875" style="414" customWidth="1"/>
    <col min="262" max="262" width="11.140625" style="414" customWidth="1"/>
    <col min="263" max="263" width="21.7109375" style="414" customWidth="1"/>
    <col min="264" max="264" width="0" style="414" hidden="1" customWidth="1"/>
    <col min="265" max="265" width="10.85546875" style="414" customWidth="1"/>
    <col min="266" max="266" width="11.5703125" style="414" customWidth="1"/>
    <col min="267" max="267" width="12.5703125" style="414" customWidth="1"/>
    <col min="268" max="268" width="29.7109375" style="414" customWidth="1"/>
    <col min="269" max="269" width="16.7109375" style="414" customWidth="1"/>
    <col min="270" max="512" width="9.140625" style="414"/>
    <col min="513" max="513" width="39" style="414" customWidth="1"/>
    <col min="514" max="514" width="10.5703125" style="414" customWidth="1"/>
    <col min="515" max="515" width="13.5703125" style="414" customWidth="1"/>
    <col min="516" max="516" width="16.85546875" style="414" customWidth="1"/>
    <col min="517" max="517" width="14.85546875" style="414" customWidth="1"/>
    <col min="518" max="518" width="11.140625" style="414" customWidth="1"/>
    <col min="519" max="519" width="21.7109375" style="414" customWidth="1"/>
    <col min="520" max="520" width="0" style="414" hidden="1" customWidth="1"/>
    <col min="521" max="521" width="10.85546875" style="414" customWidth="1"/>
    <col min="522" max="522" width="11.5703125" style="414" customWidth="1"/>
    <col min="523" max="523" width="12.5703125" style="414" customWidth="1"/>
    <col min="524" max="524" width="29.7109375" style="414" customWidth="1"/>
    <col min="525" max="525" width="16.7109375" style="414" customWidth="1"/>
    <col min="526" max="768" width="9.140625" style="414"/>
    <col min="769" max="769" width="39" style="414" customWidth="1"/>
    <col min="770" max="770" width="10.5703125" style="414" customWidth="1"/>
    <col min="771" max="771" width="13.5703125" style="414" customWidth="1"/>
    <col min="772" max="772" width="16.85546875" style="414" customWidth="1"/>
    <col min="773" max="773" width="14.85546875" style="414" customWidth="1"/>
    <col min="774" max="774" width="11.140625" style="414" customWidth="1"/>
    <col min="775" max="775" width="21.7109375" style="414" customWidth="1"/>
    <col min="776" max="776" width="0" style="414" hidden="1" customWidth="1"/>
    <col min="777" max="777" width="10.85546875" style="414" customWidth="1"/>
    <col min="778" max="778" width="11.5703125" style="414" customWidth="1"/>
    <col min="779" max="779" width="12.5703125" style="414" customWidth="1"/>
    <col min="780" max="780" width="29.7109375" style="414" customWidth="1"/>
    <col min="781" max="781" width="16.7109375" style="414" customWidth="1"/>
    <col min="782" max="1024" width="9.140625" style="414"/>
    <col min="1025" max="1025" width="39" style="414" customWidth="1"/>
    <col min="1026" max="1026" width="10.5703125" style="414" customWidth="1"/>
    <col min="1027" max="1027" width="13.5703125" style="414" customWidth="1"/>
    <col min="1028" max="1028" width="16.85546875" style="414" customWidth="1"/>
    <col min="1029" max="1029" width="14.85546875" style="414" customWidth="1"/>
    <col min="1030" max="1030" width="11.140625" style="414" customWidth="1"/>
    <col min="1031" max="1031" width="21.7109375" style="414" customWidth="1"/>
    <col min="1032" max="1032" width="0" style="414" hidden="1" customWidth="1"/>
    <col min="1033" max="1033" width="10.85546875" style="414" customWidth="1"/>
    <col min="1034" max="1034" width="11.5703125" style="414" customWidth="1"/>
    <col min="1035" max="1035" width="12.5703125" style="414" customWidth="1"/>
    <col min="1036" max="1036" width="29.7109375" style="414" customWidth="1"/>
    <col min="1037" max="1037" width="16.7109375" style="414" customWidth="1"/>
    <col min="1038" max="1280" width="9.140625" style="414"/>
    <col min="1281" max="1281" width="39" style="414" customWidth="1"/>
    <col min="1282" max="1282" width="10.5703125" style="414" customWidth="1"/>
    <col min="1283" max="1283" width="13.5703125" style="414" customWidth="1"/>
    <col min="1284" max="1284" width="16.85546875" style="414" customWidth="1"/>
    <col min="1285" max="1285" width="14.85546875" style="414" customWidth="1"/>
    <col min="1286" max="1286" width="11.140625" style="414" customWidth="1"/>
    <col min="1287" max="1287" width="21.7109375" style="414" customWidth="1"/>
    <col min="1288" max="1288" width="0" style="414" hidden="1" customWidth="1"/>
    <col min="1289" max="1289" width="10.85546875" style="414" customWidth="1"/>
    <col min="1290" max="1290" width="11.5703125" style="414" customWidth="1"/>
    <col min="1291" max="1291" width="12.5703125" style="414" customWidth="1"/>
    <col min="1292" max="1292" width="29.7109375" style="414" customWidth="1"/>
    <col min="1293" max="1293" width="16.7109375" style="414" customWidth="1"/>
    <col min="1294" max="1536" width="9.140625" style="414"/>
    <col min="1537" max="1537" width="39" style="414" customWidth="1"/>
    <col min="1538" max="1538" width="10.5703125" style="414" customWidth="1"/>
    <col min="1539" max="1539" width="13.5703125" style="414" customWidth="1"/>
    <col min="1540" max="1540" width="16.85546875" style="414" customWidth="1"/>
    <col min="1541" max="1541" width="14.85546875" style="414" customWidth="1"/>
    <col min="1542" max="1542" width="11.140625" style="414" customWidth="1"/>
    <col min="1543" max="1543" width="21.7109375" style="414" customWidth="1"/>
    <col min="1544" max="1544" width="0" style="414" hidden="1" customWidth="1"/>
    <col min="1545" max="1545" width="10.85546875" style="414" customWidth="1"/>
    <col min="1546" max="1546" width="11.5703125" style="414" customWidth="1"/>
    <col min="1547" max="1547" width="12.5703125" style="414" customWidth="1"/>
    <col min="1548" max="1548" width="29.7109375" style="414" customWidth="1"/>
    <col min="1549" max="1549" width="16.7109375" style="414" customWidth="1"/>
    <col min="1550" max="1792" width="9.140625" style="414"/>
    <col min="1793" max="1793" width="39" style="414" customWidth="1"/>
    <col min="1794" max="1794" width="10.5703125" style="414" customWidth="1"/>
    <col min="1795" max="1795" width="13.5703125" style="414" customWidth="1"/>
    <col min="1796" max="1796" width="16.85546875" style="414" customWidth="1"/>
    <col min="1797" max="1797" width="14.85546875" style="414" customWidth="1"/>
    <col min="1798" max="1798" width="11.140625" style="414" customWidth="1"/>
    <col min="1799" max="1799" width="21.7109375" style="414" customWidth="1"/>
    <col min="1800" max="1800" width="0" style="414" hidden="1" customWidth="1"/>
    <col min="1801" max="1801" width="10.85546875" style="414" customWidth="1"/>
    <col min="1802" max="1802" width="11.5703125" style="414" customWidth="1"/>
    <col min="1803" max="1803" width="12.5703125" style="414" customWidth="1"/>
    <col min="1804" max="1804" width="29.7109375" style="414" customWidth="1"/>
    <col min="1805" max="1805" width="16.7109375" style="414" customWidth="1"/>
    <col min="1806" max="2048" width="9.140625" style="414"/>
    <col min="2049" max="2049" width="39" style="414" customWidth="1"/>
    <col min="2050" max="2050" width="10.5703125" style="414" customWidth="1"/>
    <col min="2051" max="2051" width="13.5703125" style="414" customWidth="1"/>
    <col min="2052" max="2052" width="16.85546875" style="414" customWidth="1"/>
    <col min="2053" max="2053" width="14.85546875" style="414" customWidth="1"/>
    <col min="2054" max="2054" width="11.140625" style="414" customWidth="1"/>
    <col min="2055" max="2055" width="21.7109375" style="414" customWidth="1"/>
    <col min="2056" max="2056" width="0" style="414" hidden="1" customWidth="1"/>
    <col min="2057" max="2057" width="10.85546875" style="414" customWidth="1"/>
    <col min="2058" max="2058" width="11.5703125" style="414" customWidth="1"/>
    <col min="2059" max="2059" width="12.5703125" style="414" customWidth="1"/>
    <col min="2060" max="2060" width="29.7109375" style="414" customWidth="1"/>
    <col min="2061" max="2061" width="16.7109375" style="414" customWidth="1"/>
    <col min="2062" max="2304" width="9.140625" style="414"/>
    <col min="2305" max="2305" width="39" style="414" customWidth="1"/>
    <col min="2306" max="2306" width="10.5703125" style="414" customWidth="1"/>
    <col min="2307" max="2307" width="13.5703125" style="414" customWidth="1"/>
    <col min="2308" max="2308" width="16.85546875" style="414" customWidth="1"/>
    <col min="2309" max="2309" width="14.85546875" style="414" customWidth="1"/>
    <col min="2310" max="2310" width="11.140625" style="414" customWidth="1"/>
    <col min="2311" max="2311" width="21.7109375" style="414" customWidth="1"/>
    <col min="2312" max="2312" width="0" style="414" hidden="1" customWidth="1"/>
    <col min="2313" max="2313" width="10.85546875" style="414" customWidth="1"/>
    <col min="2314" max="2314" width="11.5703125" style="414" customWidth="1"/>
    <col min="2315" max="2315" width="12.5703125" style="414" customWidth="1"/>
    <col min="2316" max="2316" width="29.7109375" style="414" customWidth="1"/>
    <col min="2317" max="2317" width="16.7109375" style="414" customWidth="1"/>
    <col min="2318" max="2560" width="9.140625" style="414"/>
    <col min="2561" max="2561" width="39" style="414" customWidth="1"/>
    <col min="2562" max="2562" width="10.5703125" style="414" customWidth="1"/>
    <col min="2563" max="2563" width="13.5703125" style="414" customWidth="1"/>
    <col min="2564" max="2564" width="16.85546875" style="414" customWidth="1"/>
    <col min="2565" max="2565" width="14.85546875" style="414" customWidth="1"/>
    <col min="2566" max="2566" width="11.140625" style="414" customWidth="1"/>
    <col min="2567" max="2567" width="21.7109375" style="414" customWidth="1"/>
    <col min="2568" max="2568" width="0" style="414" hidden="1" customWidth="1"/>
    <col min="2569" max="2569" width="10.85546875" style="414" customWidth="1"/>
    <col min="2570" max="2570" width="11.5703125" style="414" customWidth="1"/>
    <col min="2571" max="2571" width="12.5703125" style="414" customWidth="1"/>
    <col min="2572" max="2572" width="29.7109375" style="414" customWidth="1"/>
    <col min="2573" max="2573" width="16.7109375" style="414" customWidth="1"/>
    <col min="2574" max="2816" width="9.140625" style="414"/>
    <col min="2817" max="2817" width="39" style="414" customWidth="1"/>
    <col min="2818" max="2818" width="10.5703125" style="414" customWidth="1"/>
    <col min="2819" max="2819" width="13.5703125" style="414" customWidth="1"/>
    <col min="2820" max="2820" width="16.85546875" style="414" customWidth="1"/>
    <col min="2821" max="2821" width="14.85546875" style="414" customWidth="1"/>
    <col min="2822" max="2822" width="11.140625" style="414" customWidth="1"/>
    <col min="2823" max="2823" width="21.7109375" style="414" customWidth="1"/>
    <col min="2824" max="2824" width="0" style="414" hidden="1" customWidth="1"/>
    <col min="2825" max="2825" width="10.85546875" style="414" customWidth="1"/>
    <col min="2826" max="2826" width="11.5703125" style="414" customWidth="1"/>
    <col min="2827" max="2827" width="12.5703125" style="414" customWidth="1"/>
    <col min="2828" max="2828" width="29.7109375" style="414" customWidth="1"/>
    <col min="2829" max="2829" width="16.7109375" style="414" customWidth="1"/>
    <col min="2830" max="3072" width="9.140625" style="414"/>
    <col min="3073" max="3073" width="39" style="414" customWidth="1"/>
    <col min="3074" max="3074" width="10.5703125" style="414" customWidth="1"/>
    <col min="3075" max="3075" width="13.5703125" style="414" customWidth="1"/>
    <col min="3076" max="3076" width="16.85546875" style="414" customWidth="1"/>
    <col min="3077" max="3077" width="14.85546875" style="414" customWidth="1"/>
    <col min="3078" max="3078" width="11.140625" style="414" customWidth="1"/>
    <col min="3079" max="3079" width="21.7109375" style="414" customWidth="1"/>
    <col min="3080" max="3080" width="0" style="414" hidden="1" customWidth="1"/>
    <col min="3081" max="3081" width="10.85546875" style="414" customWidth="1"/>
    <col min="3082" max="3082" width="11.5703125" style="414" customWidth="1"/>
    <col min="3083" max="3083" width="12.5703125" style="414" customWidth="1"/>
    <col min="3084" max="3084" width="29.7109375" style="414" customWidth="1"/>
    <col min="3085" max="3085" width="16.7109375" style="414" customWidth="1"/>
    <col min="3086" max="3328" width="9.140625" style="414"/>
    <col min="3329" max="3329" width="39" style="414" customWidth="1"/>
    <col min="3330" max="3330" width="10.5703125" style="414" customWidth="1"/>
    <col min="3331" max="3331" width="13.5703125" style="414" customWidth="1"/>
    <col min="3332" max="3332" width="16.85546875" style="414" customWidth="1"/>
    <col min="3333" max="3333" width="14.85546875" style="414" customWidth="1"/>
    <col min="3334" max="3334" width="11.140625" style="414" customWidth="1"/>
    <col min="3335" max="3335" width="21.7109375" style="414" customWidth="1"/>
    <col min="3336" max="3336" width="0" style="414" hidden="1" customWidth="1"/>
    <col min="3337" max="3337" width="10.85546875" style="414" customWidth="1"/>
    <col min="3338" max="3338" width="11.5703125" style="414" customWidth="1"/>
    <col min="3339" max="3339" width="12.5703125" style="414" customWidth="1"/>
    <col min="3340" max="3340" width="29.7109375" style="414" customWidth="1"/>
    <col min="3341" max="3341" width="16.7109375" style="414" customWidth="1"/>
    <col min="3342" max="3584" width="9.140625" style="414"/>
    <col min="3585" max="3585" width="39" style="414" customWidth="1"/>
    <col min="3586" max="3586" width="10.5703125" style="414" customWidth="1"/>
    <col min="3587" max="3587" width="13.5703125" style="414" customWidth="1"/>
    <col min="3588" max="3588" width="16.85546875" style="414" customWidth="1"/>
    <col min="3589" max="3589" width="14.85546875" style="414" customWidth="1"/>
    <col min="3590" max="3590" width="11.140625" style="414" customWidth="1"/>
    <col min="3591" max="3591" width="21.7109375" style="414" customWidth="1"/>
    <col min="3592" max="3592" width="0" style="414" hidden="1" customWidth="1"/>
    <col min="3593" max="3593" width="10.85546875" style="414" customWidth="1"/>
    <col min="3594" max="3594" width="11.5703125" style="414" customWidth="1"/>
    <col min="3595" max="3595" width="12.5703125" style="414" customWidth="1"/>
    <col min="3596" max="3596" width="29.7109375" style="414" customWidth="1"/>
    <col min="3597" max="3597" width="16.7109375" style="414" customWidth="1"/>
    <col min="3598" max="3840" width="9.140625" style="414"/>
    <col min="3841" max="3841" width="39" style="414" customWidth="1"/>
    <col min="3842" max="3842" width="10.5703125" style="414" customWidth="1"/>
    <col min="3843" max="3843" width="13.5703125" style="414" customWidth="1"/>
    <col min="3844" max="3844" width="16.85546875" style="414" customWidth="1"/>
    <col min="3845" max="3845" width="14.85546875" style="414" customWidth="1"/>
    <col min="3846" max="3846" width="11.140625" style="414" customWidth="1"/>
    <col min="3847" max="3847" width="21.7109375" style="414" customWidth="1"/>
    <col min="3848" max="3848" width="0" style="414" hidden="1" customWidth="1"/>
    <col min="3849" max="3849" width="10.85546875" style="414" customWidth="1"/>
    <col min="3850" max="3850" width="11.5703125" style="414" customWidth="1"/>
    <col min="3851" max="3851" width="12.5703125" style="414" customWidth="1"/>
    <col min="3852" max="3852" width="29.7109375" style="414" customWidth="1"/>
    <col min="3853" max="3853" width="16.7109375" style="414" customWidth="1"/>
    <col min="3854" max="4096" width="9.140625" style="414"/>
    <col min="4097" max="4097" width="39" style="414" customWidth="1"/>
    <col min="4098" max="4098" width="10.5703125" style="414" customWidth="1"/>
    <col min="4099" max="4099" width="13.5703125" style="414" customWidth="1"/>
    <col min="4100" max="4100" width="16.85546875" style="414" customWidth="1"/>
    <col min="4101" max="4101" width="14.85546875" style="414" customWidth="1"/>
    <col min="4102" max="4102" width="11.140625" style="414" customWidth="1"/>
    <col min="4103" max="4103" width="21.7109375" style="414" customWidth="1"/>
    <col min="4104" max="4104" width="0" style="414" hidden="1" customWidth="1"/>
    <col min="4105" max="4105" width="10.85546875" style="414" customWidth="1"/>
    <col min="4106" max="4106" width="11.5703125" style="414" customWidth="1"/>
    <col min="4107" max="4107" width="12.5703125" style="414" customWidth="1"/>
    <col min="4108" max="4108" width="29.7109375" style="414" customWidth="1"/>
    <col min="4109" max="4109" width="16.7109375" style="414" customWidth="1"/>
    <col min="4110" max="4352" width="9.140625" style="414"/>
    <col min="4353" max="4353" width="39" style="414" customWidth="1"/>
    <col min="4354" max="4354" width="10.5703125" style="414" customWidth="1"/>
    <col min="4355" max="4355" width="13.5703125" style="414" customWidth="1"/>
    <col min="4356" max="4356" width="16.85546875" style="414" customWidth="1"/>
    <col min="4357" max="4357" width="14.85546875" style="414" customWidth="1"/>
    <col min="4358" max="4358" width="11.140625" style="414" customWidth="1"/>
    <col min="4359" max="4359" width="21.7109375" style="414" customWidth="1"/>
    <col min="4360" max="4360" width="0" style="414" hidden="1" customWidth="1"/>
    <col min="4361" max="4361" width="10.85546875" style="414" customWidth="1"/>
    <col min="4362" max="4362" width="11.5703125" style="414" customWidth="1"/>
    <col min="4363" max="4363" width="12.5703125" style="414" customWidth="1"/>
    <col min="4364" max="4364" width="29.7109375" style="414" customWidth="1"/>
    <col min="4365" max="4365" width="16.7109375" style="414" customWidth="1"/>
    <col min="4366" max="4608" width="9.140625" style="414"/>
    <col min="4609" max="4609" width="39" style="414" customWidth="1"/>
    <col min="4610" max="4610" width="10.5703125" style="414" customWidth="1"/>
    <col min="4611" max="4611" width="13.5703125" style="414" customWidth="1"/>
    <col min="4612" max="4612" width="16.85546875" style="414" customWidth="1"/>
    <col min="4613" max="4613" width="14.85546875" style="414" customWidth="1"/>
    <col min="4614" max="4614" width="11.140625" style="414" customWidth="1"/>
    <col min="4615" max="4615" width="21.7109375" style="414" customWidth="1"/>
    <col min="4616" max="4616" width="0" style="414" hidden="1" customWidth="1"/>
    <col min="4617" max="4617" width="10.85546875" style="414" customWidth="1"/>
    <col min="4618" max="4618" width="11.5703125" style="414" customWidth="1"/>
    <col min="4619" max="4619" width="12.5703125" style="414" customWidth="1"/>
    <col min="4620" max="4620" width="29.7109375" style="414" customWidth="1"/>
    <col min="4621" max="4621" width="16.7109375" style="414" customWidth="1"/>
    <col min="4622" max="4864" width="9.140625" style="414"/>
    <col min="4865" max="4865" width="39" style="414" customWidth="1"/>
    <col min="4866" max="4866" width="10.5703125" style="414" customWidth="1"/>
    <col min="4867" max="4867" width="13.5703125" style="414" customWidth="1"/>
    <col min="4868" max="4868" width="16.85546875" style="414" customWidth="1"/>
    <col min="4869" max="4869" width="14.85546875" style="414" customWidth="1"/>
    <col min="4870" max="4870" width="11.140625" style="414" customWidth="1"/>
    <col min="4871" max="4871" width="21.7109375" style="414" customWidth="1"/>
    <col min="4872" max="4872" width="0" style="414" hidden="1" customWidth="1"/>
    <col min="4873" max="4873" width="10.85546875" style="414" customWidth="1"/>
    <col min="4874" max="4874" width="11.5703125" style="414" customWidth="1"/>
    <col min="4875" max="4875" width="12.5703125" style="414" customWidth="1"/>
    <col min="4876" max="4876" width="29.7109375" style="414" customWidth="1"/>
    <col min="4877" max="4877" width="16.7109375" style="414" customWidth="1"/>
    <col min="4878" max="5120" width="9.140625" style="414"/>
    <col min="5121" max="5121" width="39" style="414" customWidth="1"/>
    <col min="5122" max="5122" width="10.5703125" style="414" customWidth="1"/>
    <col min="5123" max="5123" width="13.5703125" style="414" customWidth="1"/>
    <col min="5124" max="5124" width="16.85546875" style="414" customWidth="1"/>
    <col min="5125" max="5125" width="14.85546875" style="414" customWidth="1"/>
    <col min="5126" max="5126" width="11.140625" style="414" customWidth="1"/>
    <col min="5127" max="5127" width="21.7109375" style="414" customWidth="1"/>
    <col min="5128" max="5128" width="0" style="414" hidden="1" customWidth="1"/>
    <col min="5129" max="5129" width="10.85546875" style="414" customWidth="1"/>
    <col min="5130" max="5130" width="11.5703125" style="414" customWidth="1"/>
    <col min="5131" max="5131" width="12.5703125" style="414" customWidth="1"/>
    <col min="5132" max="5132" width="29.7109375" style="414" customWidth="1"/>
    <col min="5133" max="5133" width="16.7109375" style="414" customWidth="1"/>
    <col min="5134" max="5376" width="9.140625" style="414"/>
    <col min="5377" max="5377" width="39" style="414" customWidth="1"/>
    <col min="5378" max="5378" width="10.5703125" style="414" customWidth="1"/>
    <col min="5379" max="5379" width="13.5703125" style="414" customWidth="1"/>
    <col min="5380" max="5380" width="16.85546875" style="414" customWidth="1"/>
    <col min="5381" max="5381" width="14.85546875" style="414" customWidth="1"/>
    <col min="5382" max="5382" width="11.140625" style="414" customWidth="1"/>
    <col min="5383" max="5383" width="21.7109375" style="414" customWidth="1"/>
    <col min="5384" max="5384" width="0" style="414" hidden="1" customWidth="1"/>
    <col min="5385" max="5385" width="10.85546875" style="414" customWidth="1"/>
    <col min="5386" max="5386" width="11.5703125" style="414" customWidth="1"/>
    <col min="5387" max="5387" width="12.5703125" style="414" customWidth="1"/>
    <col min="5388" max="5388" width="29.7109375" style="414" customWidth="1"/>
    <col min="5389" max="5389" width="16.7109375" style="414" customWidth="1"/>
    <col min="5390" max="5632" width="9.140625" style="414"/>
    <col min="5633" max="5633" width="39" style="414" customWidth="1"/>
    <col min="5634" max="5634" width="10.5703125" style="414" customWidth="1"/>
    <col min="5635" max="5635" width="13.5703125" style="414" customWidth="1"/>
    <col min="5636" max="5636" width="16.85546875" style="414" customWidth="1"/>
    <col min="5637" max="5637" width="14.85546875" style="414" customWidth="1"/>
    <col min="5638" max="5638" width="11.140625" style="414" customWidth="1"/>
    <col min="5639" max="5639" width="21.7109375" style="414" customWidth="1"/>
    <col min="5640" max="5640" width="0" style="414" hidden="1" customWidth="1"/>
    <col min="5641" max="5641" width="10.85546875" style="414" customWidth="1"/>
    <col min="5642" max="5642" width="11.5703125" style="414" customWidth="1"/>
    <col min="5643" max="5643" width="12.5703125" style="414" customWidth="1"/>
    <col min="5644" max="5644" width="29.7109375" style="414" customWidth="1"/>
    <col min="5645" max="5645" width="16.7109375" style="414" customWidth="1"/>
    <col min="5646" max="5888" width="9.140625" style="414"/>
    <col min="5889" max="5889" width="39" style="414" customWidth="1"/>
    <col min="5890" max="5890" width="10.5703125" style="414" customWidth="1"/>
    <col min="5891" max="5891" width="13.5703125" style="414" customWidth="1"/>
    <col min="5892" max="5892" width="16.85546875" style="414" customWidth="1"/>
    <col min="5893" max="5893" width="14.85546875" style="414" customWidth="1"/>
    <col min="5894" max="5894" width="11.140625" style="414" customWidth="1"/>
    <col min="5895" max="5895" width="21.7109375" style="414" customWidth="1"/>
    <col min="5896" max="5896" width="0" style="414" hidden="1" customWidth="1"/>
    <col min="5897" max="5897" width="10.85546875" style="414" customWidth="1"/>
    <col min="5898" max="5898" width="11.5703125" style="414" customWidth="1"/>
    <col min="5899" max="5899" width="12.5703125" style="414" customWidth="1"/>
    <col min="5900" max="5900" width="29.7109375" style="414" customWidth="1"/>
    <col min="5901" max="5901" width="16.7109375" style="414" customWidth="1"/>
    <col min="5902" max="6144" width="9.140625" style="414"/>
    <col min="6145" max="6145" width="39" style="414" customWidth="1"/>
    <col min="6146" max="6146" width="10.5703125" style="414" customWidth="1"/>
    <col min="6147" max="6147" width="13.5703125" style="414" customWidth="1"/>
    <col min="6148" max="6148" width="16.85546875" style="414" customWidth="1"/>
    <col min="6149" max="6149" width="14.85546875" style="414" customWidth="1"/>
    <col min="6150" max="6150" width="11.140625" style="414" customWidth="1"/>
    <col min="6151" max="6151" width="21.7109375" style="414" customWidth="1"/>
    <col min="6152" max="6152" width="0" style="414" hidden="1" customWidth="1"/>
    <col min="6153" max="6153" width="10.85546875" style="414" customWidth="1"/>
    <col min="6154" max="6154" width="11.5703125" style="414" customWidth="1"/>
    <col min="6155" max="6155" width="12.5703125" style="414" customWidth="1"/>
    <col min="6156" max="6156" width="29.7109375" style="414" customWidth="1"/>
    <col min="6157" max="6157" width="16.7109375" style="414" customWidth="1"/>
    <col min="6158" max="6400" width="9.140625" style="414"/>
    <col min="6401" max="6401" width="39" style="414" customWidth="1"/>
    <col min="6402" max="6402" width="10.5703125" style="414" customWidth="1"/>
    <col min="6403" max="6403" width="13.5703125" style="414" customWidth="1"/>
    <col min="6404" max="6404" width="16.85546875" style="414" customWidth="1"/>
    <col min="6405" max="6405" width="14.85546875" style="414" customWidth="1"/>
    <col min="6406" max="6406" width="11.140625" style="414" customWidth="1"/>
    <col min="6407" max="6407" width="21.7109375" style="414" customWidth="1"/>
    <col min="6408" max="6408" width="0" style="414" hidden="1" customWidth="1"/>
    <col min="6409" max="6409" width="10.85546875" style="414" customWidth="1"/>
    <col min="6410" max="6410" width="11.5703125" style="414" customWidth="1"/>
    <col min="6411" max="6411" width="12.5703125" style="414" customWidth="1"/>
    <col min="6412" max="6412" width="29.7109375" style="414" customWidth="1"/>
    <col min="6413" max="6413" width="16.7109375" style="414" customWidth="1"/>
    <col min="6414" max="6656" width="9.140625" style="414"/>
    <col min="6657" max="6657" width="39" style="414" customWidth="1"/>
    <col min="6658" max="6658" width="10.5703125" style="414" customWidth="1"/>
    <col min="6659" max="6659" width="13.5703125" style="414" customWidth="1"/>
    <col min="6660" max="6660" width="16.85546875" style="414" customWidth="1"/>
    <col min="6661" max="6661" width="14.85546875" style="414" customWidth="1"/>
    <col min="6662" max="6662" width="11.140625" style="414" customWidth="1"/>
    <col min="6663" max="6663" width="21.7109375" style="414" customWidth="1"/>
    <col min="6664" max="6664" width="0" style="414" hidden="1" customWidth="1"/>
    <col min="6665" max="6665" width="10.85546875" style="414" customWidth="1"/>
    <col min="6666" max="6666" width="11.5703125" style="414" customWidth="1"/>
    <col min="6667" max="6667" width="12.5703125" style="414" customWidth="1"/>
    <col min="6668" max="6668" width="29.7109375" style="414" customWidth="1"/>
    <col min="6669" max="6669" width="16.7109375" style="414" customWidth="1"/>
    <col min="6670" max="6912" width="9.140625" style="414"/>
    <col min="6913" max="6913" width="39" style="414" customWidth="1"/>
    <col min="6914" max="6914" width="10.5703125" style="414" customWidth="1"/>
    <col min="6915" max="6915" width="13.5703125" style="414" customWidth="1"/>
    <col min="6916" max="6916" width="16.85546875" style="414" customWidth="1"/>
    <col min="6917" max="6917" width="14.85546875" style="414" customWidth="1"/>
    <col min="6918" max="6918" width="11.140625" style="414" customWidth="1"/>
    <col min="6919" max="6919" width="21.7109375" style="414" customWidth="1"/>
    <col min="6920" max="6920" width="0" style="414" hidden="1" customWidth="1"/>
    <col min="6921" max="6921" width="10.85546875" style="414" customWidth="1"/>
    <col min="6922" max="6922" width="11.5703125" style="414" customWidth="1"/>
    <col min="6923" max="6923" width="12.5703125" style="414" customWidth="1"/>
    <col min="6924" max="6924" width="29.7109375" style="414" customWidth="1"/>
    <col min="6925" max="6925" width="16.7109375" style="414" customWidth="1"/>
    <col min="6926" max="7168" width="9.140625" style="414"/>
    <col min="7169" max="7169" width="39" style="414" customWidth="1"/>
    <col min="7170" max="7170" width="10.5703125" style="414" customWidth="1"/>
    <col min="7171" max="7171" width="13.5703125" style="414" customWidth="1"/>
    <col min="7172" max="7172" width="16.85546875" style="414" customWidth="1"/>
    <col min="7173" max="7173" width="14.85546875" style="414" customWidth="1"/>
    <col min="7174" max="7174" width="11.140625" style="414" customWidth="1"/>
    <col min="7175" max="7175" width="21.7109375" style="414" customWidth="1"/>
    <col min="7176" max="7176" width="0" style="414" hidden="1" customWidth="1"/>
    <col min="7177" max="7177" width="10.85546875" style="414" customWidth="1"/>
    <col min="7178" max="7178" width="11.5703125" style="414" customWidth="1"/>
    <col min="7179" max="7179" width="12.5703125" style="414" customWidth="1"/>
    <col min="7180" max="7180" width="29.7109375" style="414" customWidth="1"/>
    <col min="7181" max="7181" width="16.7109375" style="414" customWidth="1"/>
    <col min="7182" max="7424" width="9.140625" style="414"/>
    <col min="7425" max="7425" width="39" style="414" customWidth="1"/>
    <col min="7426" max="7426" width="10.5703125" style="414" customWidth="1"/>
    <col min="7427" max="7427" width="13.5703125" style="414" customWidth="1"/>
    <col min="7428" max="7428" width="16.85546875" style="414" customWidth="1"/>
    <col min="7429" max="7429" width="14.85546875" style="414" customWidth="1"/>
    <col min="7430" max="7430" width="11.140625" style="414" customWidth="1"/>
    <col min="7431" max="7431" width="21.7109375" style="414" customWidth="1"/>
    <col min="7432" max="7432" width="0" style="414" hidden="1" customWidth="1"/>
    <col min="7433" max="7433" width="10.85546875" style="414" customWidth="1"/>
    <col min="7434" max="7434" width="11.5703125" style="414" customWidth="1"/>
    <col min="7435" max="7435" width="12.5703125" style="414" customWidth="1"/>
    <col min="7436" max="7436" width="29.7109375" style="414" customWidth="1"/>
    <col min="7437" max="7437" width="16.7109375" style="414" customWidth="1"/>
    <col min="7438" max="7680" width="9.140625" style="414"/>
    <col min="7681" max="7681" width="39" style="414" customWidth="1"/>
    <col min="7682" max="7682" width="10.5703125" style="414" customWidth="1"/>
    <col min="7683" max="7683" width="13.5703125" style="414" customWidth="1"/>
    <col min="7684" max="7684" width="16.85546875" style="414" customWidth="1"/>
    <col min="7685" max="7685" width="14.85546875" style="414" customWidth="1"/>
    <col min="7686" max="7686" width="11.140625" style="414" customWidth="1"/>
    <col min="7687" max="7687" width="21.7109375" style="414" customWidth="1"/>
    <col min="7688" max="7688" width="0" style="414" hidden="1" customWidth="1"/>
    <col min="7689" max="7689" width="10.85546875" style="414" customWidth="1"/>
    <col min="7690" max="7690" width="11.5703125" style="414" customWidth="1"/>
    <col min="7691" max="7691" width="12.5703125" style="414" customWidth="1"/>
    <col min="7692" max="7692" width="29.7109375" style="414" customWidth="1"/>
    <col min="7693" max="7693" width="16.7109375" style="414" customWidth="1"/>
    <col min="7694" max="7936" width="9.140625" style="414"/>
    <col min="7937" max="7937" width="39" style="414" customWidth="1"/>
    <col min="7938" max="7938" width="10.5703125" style="414" customWidth="1"/>
    <col min="7939" max="7939" width="13.5703125" style="414" customWidth="1"/>
    <col min="7940" max="7940" width="16.85546875" style="414" customWidth="1"/>
    <col min="7941" max="7941" width="14.85546875" style="414" customWidth="1"/>
    <col min="7942" max="7942" width="11.140625" style="414" customWidth="1"/>
    <col min="7943" max="7943" width="21.7109375" style="414" customWidth="1"/>
    <col min="7944" max="7944" width="0" style="414" hidden="1" customWidth="1"/>
    <col min="7945" max="7945" width="10.85546875" style="414" customWidth="1"/>
    <col min="7946" max="7946" width="11.5703125" style="414" customWidth="1"/>
    <col min="7947" max="7947" width="12.5703125" style="414" customWidth="1"/>
    <col min="7948" max="7948" width="29.7109375" style="414" customWidth="1"/>
    <col min="7949" max="7949" width="16.7109375" style="414" customWidth="1"/>
    <col min="7950" max="8192" width="9.140625" style="414"/>
    <col min="8193" max="8193" width="39" style="414" customWidth="1"/>
    <col min="8194" max="8194" width="10.5703125" style="414" customWidth="1"/>
    <col min="8195" max="8195" width="13.5703125" style="414" customWidth="1"/>
    <col min="8196" max="8196" width="16.85546875" style="414" customWidth="1"/>
    <col min="8197" max="8197" width="14.85546875" style="414" customWidth="1"/>
    <col min="8198" max="8198" width="11.140625" style="414" customWidth="1"/>
    <col min="8199" max="8199" width="21.7109375" style="414" customWidth="1"/>
    <col min="8200" max="8200" width="0" style="414" hidden="1" customWidth="1"/>
    <col min="8201" max="8201" width="10.85546875" style="414" customWidth="1"/>
    <col min="8202" max="8202" width="11.5703125" style="414" customWidth="1"/>
    <col min="8203" max="8203" width="12.5703125" style="414" customWidth="1"/>
    <col min="8204" max="8204" width="29.7109375" style="414" customWidth="1"/>
    <col min="8205" max="8205" width="16.7109375" style="414" customWidth="1"/>
    <col min="8206" max="8448" width="9.140625" style="414"/>
    <col min="8449" max="8449" width="39" style="414" customWidth="1"/>
    <col min="8450" max="8450" width="10.5703125" style="414" customWidth="1"/>
    <col min="8451" max="8451" width="13.5703125" style="414" customWidth="1"/>
    <col min="8452" max="8452" width="16.85546875" style="414" customWidth="1"/>
    <col min="8453" max="8453" width="14.85546875" style="414" customWidth="1"/>
    <col min="8454" max="8454" width="11.140625" style="414" customWidth="1"/>
    <col min="8455" max="8455" width="21.7109375" style="414" customWidth="1"/>
    <col min="8456" max="8456" width="0" style="414" hidden="1" customWidth="1"/>
    <col min="8457" max="8457" width="10.85546875" style="414" customWidth="1"/>
    <col min="8458" max="8458" width="11.5703125" style="414" customWidth="1"/>
    <col min="8459" max="8459" width="12.5703125" style="414" customWidth="1"/>
    <col min="8460" max="8460" width="29.7109375" style="414" customWidth="1"/>
    <col min="8461" max="8461" width="16.7109375" style="414" customWidth="1"/>
    <col min="8462" max="8704" width="9.140625" style="414"/>
    <col min="8705" max="8705" width="39" style="414" customWidth="1"/>
    <col min="8706" max="8706" width="10.5703125" style="414" customWidth="1"/>
    <col min="8707" max="8707" width="13.5703125" style="414" customWidth="1"/>
    <col min="8708" max="8708" width="16.85546875" style="414" customWidth="1"/>
    <col min="8709" max="8709" width="14.85546875" style="414" customWidth="1"/>
    <col min="8710" max="8710" width="11.140625" style="414" customWidth="1"/>
    <col min="8711" max="8711" width="21.7109375" style="414" customWidth="1"/>
    <col min="8712" max="8712" width="0" style="414" hidden="1" customWidth="1"/>
    <col min="8713" max="8713" width="10.85546875" style="414" customWidth="1"/>
    <col min="8714" max="8714" width="11.5703125" style="414" customWidth="1"/>
    <col min="8715" max="8715" width="12.5703125" style="414" customWidth="1"/>
    <col min="8716" max="8716" width="29.7109375" style="414" customWidth="1"/>
    <col min="8717" max="8717" width="16.7109375" style="414" customWidth="1"/>
    <col min="8718" max="8960" width="9.140625" style="414"/>
    <col min="8961" max="8961" width="39" style="414" customWidth="1"/>
    <col min="8962" max="8962" width="10.5703125" style="414" customWidth="1"/>
    <col min="8963" max="8963" width="13.5703125" style="414" customWidth="1"/>
    <col min="8964" max="8964" width="16.85546875" style="414" customWidth="1"/>
    <col min="8965" max="8965" width="14.85546875" style="414" customWidth="1"/>
    <col min="8966" max="8966" width="11.140625" style="414" customWidth="1"/>
    <col min="8967" max="8967" width="21.7109375" style="414" customWidth="1"/>
    <col min="8968" max="8968" width="0" style="414" hidden="1" customWidth="1"/>
    <col min="8969" max="8969" width="10.85546875" style="414" customWidth="1"/>
    <col min="8970" max="8970" width="11.5703125" style="414" customWidth="1"/>
    <col min="8971" max="8971" width="12.5703125" style="414" customWidth="1"/>
    <col min="8972" max="8972" width="29.7109375" style="414" customWidth="1"/>
    <col min="8973" max="8973" width="16.7109375" style="414" customWidth="1"/>
    <col min="8974" max="9216" width="9.140625" style="414"/>
    <col min="9217" max="9217" width="39" style="414" customWidth="1"/>
    <col min="9218" max="9218" width="10.5703125" style="414" customWidth="1"/>
    <col min="9219" max="9219" width="13.5703125" style="414" customWidth="1"/>
    <col min="9220" max="9220" width="16.85546875" style="414" customWidth="1"/>
    <col min="9221" max="9221" width="14.85546875" style="414" customWidth="1"/>
    <col min="9222" max="9222" width="11.140625" style="414" customWidth="1"/>
    <col min="9223" max="9223" width="21.7109375" style="414" customWidth="1"/>
    <col min="9224" max="9224" width="0" style="414" hidden="1" customWidth="1"/>
    <col min="9225" max="9225" width="10.85546875" style="414" customWidth="1"/>
    <col min="9226" max="9226" width="11.5703125" style="414" customWidth="1"/>
    <col min="9227" max="9227" width="12.5703125" style="414" customWidth="1"/>
    <col min="9228" max="9228" width="29.7109375" style="414" customWidth="1"/>
    <col min="9229" max="9229" width="16.7109375" style="414" customWidth="1"/>
    <col min="9230" max="9472" width="9.140625" style="414"/>
    <col min="9473" max="9473" width="39" style="414" customWidth="1"/>
    <col min="9474" max="9474" width="10.5703125" style="414" customWidth="1"/>
    <col min="9475" max="9475" width="13.5703125" style="414" customWidth="1"/>
    <col min="9476" max="9476" width="16.85546875" style="414" customWidth="1"/>
    <col min="9477" max="9477" width="14.85546875" style="414" customWidth="1"/>
    <col min="9478" max="9478" width="11.140625" style="414" customWidth="1"/>
    <col min="9479" max="9479" width="21.7109375" style="414" customWidth="1"/>
    <col min="9480" max="9480" width="0" style="414" hidden="1" customWidth="1"/>
    <col min="9481" max="9481" width="10.85546875" style="414" customWidth="1"/>
    <col min="9482" max="9482" width="11.5703125" style="414" customWidth="1"/>
    <col min="9483" max="9483" width="12.5703125" style="414" customWidth="1"/>
    <col min="9484" max="9484" width="29.7109375" style="414" customWidth="1"/>
    <col min="9485" max="9485" width="16.7109375" style="414" customWidth="1"/>
    <col min="9486" max="9728" width="9.140625" style="414"/>
    <col min="9729" max="9729" width="39" style="414" customWidth="1"/>
    <col min="9730" max="9730" width="10.5703125" style="414" customWidth="1"/>
    <col min="9731" max="9731" width="13.5703125" style="414" customWidth="1"/>
    <col min="9732" max="9732" width="16.85546875" style="414" customWidth="1"/>
    <col min="9733" max="9733" width="14.85546875" style="414" customWidth="1"/>
    <col min="9734" max="9734" width="11.140625" style="414" customWidth="1"/>
    <col min="9735" max="9735" width="21.7109375" style="414" customWidth="1"/>
    <col min="9736" max="9736" width="0" style="414" hidden="1" customWidth="1"/>
    <col min="9737" max="9737" width="10.85546875" style="414" customWidth="1"/>
    <col min="9738" max="9738" width="11.5703125" style="414" customWidth="1"/>
    <col min="9739" max="9739" width="12.5703125" style="414" customWidth="1"/>
    <col min="9740" max="9740" width="29.7109375" style="414" customWidth="1"/>
    <col min="9741" max="9741" width="16.7109375" style="414" customWidth="1"/>
    <col min="9742" max="9984" width="9.140625" style="414"/>
    <col min="9985" max="9985" width="39" style="414" customWidth="1"/>
    <col min="9986" max="9986" width="10.5703125" style="414" customWidth="1"/>
    <col min="9987" max="9987" width="13.5703125" style="414" customWidth="1"/>
    <col min="9988" max="9988" width="16.85546875" style="414" customWidth="1"/>
    <col min="9989" max="9989" width="14.85546875" style="414" customWidth="1"/>
    <col min="9990" max="9990" width="11.140625" style="414" customWidth="1"/>
    <col min="9991" max="9991" width="21.7109375" style="414" customWidth="1"/>
    <col min="9992" max="9992" width="0" style="414" hidden="1" customWidth="1"/>
    <col min="9993" max="9993" width="10.85546875" style="414" customWidth="1"/>
    <col min="9994" max="9994" width="11.5703125" style="414" customWidth="1"/>
    <col min="9995" max="9995" width="12.5703125" style="414" customWidth="1"/>
    <col min="9996" max="9996" width="29.7109375" style="414" customWidth="1"/>
    <col min="9997" max="9997" width="16.7109375" style="414" customWidth="1"/>
    <col min="9998" max="10240" width="9.140625" style="414"/>
    <col min="10241" max="10241" width="39" style="414" customWidth="1"/>
    <col min="10242" max="10242" width="10.5703125" style="414" customWidth="1"/>
    <col min="10243" max="10243" width="13.5703125" style="414" customWidth="1"/>
    <col min="10244" max="10244" width="16.85546875" style="414" customWidth="1"/>
    <col min="10245" max="10245" width="14.85546875" style="414" customWidth="1"/>
    <col min="10246" max="10246" width="11.140625" style="414" customWidth="1"/>
    <col min="10247" max="10247" width="21.7109375" style="414" customWidth="1"/>
    <col min="10248" max="10248" width="0" style="414" hidden="1" customWidth="1"/>
    <col min="10249" max="10249" width="10.85546875" style="414" customWidth="1"/>
    <col min="10250" max="10250" width="11.5703125" style="414" customWidth="1"/>
    <col min="10251" max="10251" width="12.5703125" style="414" customWidth="1"/>
    <col min="10252" max="10252" width="29.7109375" style="414" customWidth="1"/>
    <col min="10253" max="10253" width="16.7109375" style="414" customWidth="1"/>
    <col min="10254" max="10496" width="9.140625" style="414"/>
    <col min="10497" max="10497" width="39" style="414" customWidth="1"/>
    <col min="10498" max="10498" width="10.5703125" style="414" customWidth="1"/>
    <col min="10499" max="10499" width="13.5703125" style="414" customWidth="1"/>
    <col min="10500" max="10500" width="16.85546875" style="414" customWidth="1"/>
    <col min="10501" max="10501" width="14.85546875" style="414" customWidth="1"/>
    <col min="10502" max="10502" width="11.140625" style="414" customWidth="1"/>
    <col min="10503" max="10503" width="21.7109375" style="414" customWidth="1"/>
    <col min="10504" max="10504" width="0" style="414" hidden="1" customWidth="1"/>
    <col min="10505" max="10505" width="10.85546875" style="414" customWidth="1"/>
    <col min="10506" max="10506" width="11.5703125" style="414" customWidth="1"/>
    <col min="10507" max="10507" width="12.5703125" style="414" customWidth="1"/>
    <col min="10508" max="10508" width="29.7109375" style="414" customWidth="1"/>
    <col min="10509" max="10509" width="16.7109375" style="414" customWidth="1"/>
    <col min="10510" max="10752" width="9.140625" style="414"/>
    <col min="10753" max="10753" width="39" style="414" customWidth="1"/>
    <col min="10754" max="10754" width="10.5703125" style="414" customWidth="1"/>
    <col min="10755" max="10755" width="13.5703125" style="414" customWidth="1"/>
    <col min="10756" max="10756" width="16.85546875" style="414" customWidth="1"/>
    <col min="10757" max="10757" width="14.85546875" style="414" customWidth="1"/>
    <col min="10758" max="10758" width="11.140625" style="414" customWidth="1"/>
    <col min="10759" max="10759" width="21.7109375" style="414" customWidth="1"/>
    <col min="10760" max="10760" width="0" style="414" hidden="1" customWidth="1"/>
    <col min="10761" max="10761" width="10.85546875" style="414" customWidth="1"/>
    <col min="10762" max="10762" width="11.5703125" style="414" customWidth="1"/>
    <col min="10763" max="10763" width="12.5703125" style="414" customWidth="1"/>
    <col min="10764" max="10764" width="29.7109375" style="414" customWidth="1"/>
    <col min="10765" max="10765" width="16.7109375" style="414" customWidth="1"/>
    <col min="10766" max="11008" width="9.140625" style="414"/>
    <col min="11009" max="11009" width="39" style="414" customWidth="1"/>
    <col min="11010" max="11010" width="10.5703125" style="414" customWidth="1"/>
    <col min="11011" max="11011" width="13.5703125" style="414" customWidth="1"/>
    <col min="11012" max="11012" width="16.85546875" style="414" customWidth="1"/>
    <col min="11013" max="11013" width="14.85546875" style="414" customWidth="1"/>
    <col min="11014" max="11014" width="11.140625" style="414" customWidth="1"/>
    <col min="11015" max="11015" width="21.7109375" style="414" customWidth="1"/>
    <col min="11016" max="11016" width="0" style="414" hidden="1" customWidth="1"/>
    <col min="11017" max="11017" width="10.85546875" style="414" customWidth="1"/>
    <col min="11018" max="11018" width="11.5703125" style="414" customWidth="1"/>
    <col min="11019" max="11019" width="12.5703125" style="414" customWidth="1"/>
    <col min="11020" max="11020" width="29.7109375" style="414" customWidth="1"/>
    <col min="11021" max="11021" width="16.7109375" style="414" customWidth="1"/>
    <col min="11022" max="11264" width="9.140625" style="414"/>
    <col min="11265" max="11265" width="39" style="414" customWidth="1"/>
    <col min="11266" max="11266" width="10.5703125" style="414" customWidth="1"/>
    <col min="11267" max="11267" width="13.5703125" style="414" customWidth="1"/>
    <col min="11268" max="11268" width="16.85546875" style="414" customWidth="1"/>
    <col min="11269" max="11269" width="14.85546875" style="414" customWidth="1"/>
    <col min="11270" max="11270" width="11.140625" style="414" customWidth="1"/>
    <col min="11271" max="11271" width="21.7109375" style="414" customWidth="1"/>
    <col min="11272" max="11272" width="0" style="414" hidden="1" customWidth="1"/>
    <col min="11273" max="11273" width="10.85546875" style="414" customWidth="1"/>
    <col min="11274" max="11274" width="11.5703125" style="414" customWidth="1"/>
    <col min="11275" max="11275" width="12.5703125" style="414" customWidth="1"/>
    <col min="11276" max="11276" width="29.7109375" style="414" customWidth="1"/>
    <col min="11277" max="11277" width="16.7109375" style="414" customWidth="1"/>
    <col min="11278" max="11520" width="9.140625" style="414"/>
    <col min="11521" max="11521" width="39" style="414" customWidth="1"/>
    <col min="11522" max="11522" width="10.5703125" style="414" customWidth="1"/>
    <col min="11523" max="11523" width="13.5703125" style="414" customWidth="1"/>
    <col min="11524" max="11524" width="16.85546875" style="414" customWidth="1"/>
    <col min="11525" max="11525" width="14.85546875" style="414" customWidth="1"/>
    <col min="11526" max="11526" width="11.140625" style="414" customWidth="1"/>
    <col min="11527" max="11527" width="21.7109375" style="414" customWidth="1"/>
    <col min="11528" max="11528" width="0" style="414" hidden="1" customWidth="1"/>
    <col min="11529" max="11529" width="10.85546875" style="414" customWidth="1"/>
    <col min="11530" max="11530" width="11.5703125" style="414" customWidth="1"/>
    <col min="11531" max="11531" width="12.5703125" style="414" customWidth="1"/>
    <col min="11532" max="11532" width="29.7109375" style="414" customWidth="1"/>
    <col min="11533" max="11533" width="16.7109375" style="414" customWidth="1"/>
    <col min="11534" max="11776" width="9.140625" style="414"/>
    <col min="11777" max="11777" width="39" style="414" customWidth="1"/>
    <col min="11778" max="11778" width="10.5703125" style="414" customWidth="1"/>
    <col min="11779" max="11779" width="13.5703125" style="414" customWidth="1"/>
    <col min="11780" max="11780" width="16.85546875" style="414" customWidth="1"/>
    <col min="11781" max="11781" width="14.85546875" style="414" customWidth="1"/>
    <col min="11782" max="11782" width="11.140625" style="414" customWidth="1"/>
    <col min="11783" max="11783" width="21.7109375" style="414" customWidth="1"/>
    <col min="11784" max="11784" width="0" style="414" hidden="1" customWidth="1"/>
    <col min="11785" max="11785" width="10.85546875" style="414" customWidth="1"/>
    <col min="11786" max="11786" width="11.5703125" style="414" customWidth="1"/>
    <col min="11787" max="11787" width="12.5703125" style="414" customWidth="1"/>
    <col min="11788" max="11788" width="29.7109375" style="414" customWidth="1"/>
    <col min="11789" max="11789" width="16.7109375" style="414" customWidth="1"/>
    <col min="11790" max="12032" width="9.140625" style="414"/>
    <col min="12033" max="12033" width="39" style="414" customWidth="1"/>
    <col min="12034" max="12034" width="10.5703125" style="414" customWidth="1"/>
    <col min="12035" max="12035" width="13.5703125" style="414" customWidth="1"/>
    <col min="12036" max="12036" width="16.85546875" style="414" customWidth="1"/>
    <col min="12037" max="12037" width="14.85546875" style="414" customWidth="1"/>
    <col min="12038" max="12038" width="11.140625" style="414" customWidth="1"/>
    <col min="12039" max="12039" width="21.7109375" style="414" customWidth="1"/>
    <col min="12040" max="12040" width="0" style="414" hidden="1" customWidth="1"/>
    <col min="12041" max="12041" width="10.85546875" style="414" customWidth="1"/>
    <col min="12042" max="12042" width="11.5703125" style="414" customWidth="1"/>
    <col min="12043" max="12043" width="12.5703125" style="414" customWidth="1"/>
    <col min="12044" max="12044" width="29.7109375" style="414" customWidth="1"/>
    <col min="12045" max="12045" width="16.7109375" style="414" customWidth="1"/>
    <col min="12046" max="12288" width="9.140625" style="414"/>
    <col min="12289" max="12289" width="39" style="414" customWidth="1"/>
    <col min="12290" max="12290" width="10.5703125" style="414" customWidth="1"/>
    <col min="12291" max="12291" width="13.5703125" style="414" customWidth="1"/>
    <col min="12292" max="12292" width="16.85546875" style="414" customWidth="1"/>
    <col min="12293" max="12293" width="14.85546875" style="414" customWidth="1"/>
    <col min="12294" max="12294" width="11.140625" style="414" customWidth="1"/>
    <col min="12295" max="12295" width="21.7109375" style="414" customWidth="1"/>
    <col min="12296" max="12296" width="0" style="414" hidden="1" customWidth="1"/>
    <col min="12297" max="12297" width="10.85546875" style="414" customWidth="1"/>
    <col min="12298" max="12298" width="11.5703125" style="414" customWidth="1"/>
    <col min="12299" max="12299" width="12.5703125" style="414" customWidth="1"/>
    <col min="12300" max="12300" width="29.7109375" style="414" customWidth="1"/>
    <col min="12301" max="12301" width="16.7109375" style="414" customWidth="1"/>
    <col min="12302" max="12544" width="9.140625" style="414"/>
    <col min="12545" max="12545" width="39" style="414" customWidth="1"/>
    <col min="12546" max="12546" width="10.5703125" style="414" customWidth="1"/>
    <col min="12547" max="12547" width="13.5703125" style="414" customWidth="1"/>
    <col min="12548" max="12548" width="16.85546875" style="414" customWidth="1"/>
    <col min="12549" max="12549" width="14.85546875" style="414" customWidth="1"/>
    <col min="12550" max="12550" width="11.140625" style="414" customWidth="1"/>
    <col min="12551" max="12551" width="21.7109375" style="414" customWidth="1"/>
    <col min="12552" max="12552" width="0" style="414" hidden="1" customWidth="1"/>
    <col min="12553" max="12553" width="10.85546875" style="414" customWidth="1"/>
    <col min="12554" max="12554" width="11.5703125" style="414" customWidth="1"/>
    <col min="12555" max="12555" width="12.5703125" style="414" customWidth="1"/>
    <col min="12556" max="12556" width="29.7109375" style="414" customWidth="1"/>
    <col min="12557" max="12557" width="16.7109375" style="414" customWidth="1"/>
    <col min="12558" max="12800" width="9.140625" style="414"/>
    <col min="12801" max="12801" width="39" style="414" customWidth="1"/>
    <col min="12802" max="12802" width="10.5703125" style="414" customWidth="1"/>
    <col min="12803" max="12803" width="13.5703125" style="414" customWidth="1"/>
    <col min="12804" max="12804" width="16.85546875" style="414" customWidth="1"/>
    <col min="12805" max="12805" width="14.85546875" style="414" customWidth="1"/>
    <col min="12806" max="12806" width="11.140625" style="414" customWidth="1"/>
    <col min="12807" max="12807" width="21.7109375" style="414" customWidth="1"/>
    <col min="12808" max="12808" width="0" style="414" hidden="1" customWidth="1"/>
    <col min="12809" max="12809" width="10.85546875" style="414" customWidth="1"/>
    <col min="12810" max="12810" width="11.5703125" style="414" customWidth="1"/>
    <col min="12811" max="12811" width="12.5703125" style="414" customWidth="1"/>
    <col min="12812" max="12812" width="29.7109375" style="414" customWidth="1"/>
    <col min="12813" max="12813" width="16.7109375" style="414" customWidth="1"/>
    <col min="12814" max="13056" width="9.140625" style="414"/>
    <col min="13057" max="13057" width="39" style="414" customWidth="1"/>
    <col min="13058" max="13058" width="10.5703125" style="414" customWidth="1"/>
    <col min="13059" max="13059" width="13.5703125" style="414" customWidth="1"/>
    <col min="13060" max="13060" width="16.85546875" style="414" customWidth="1"/>
    <col min="13061" max="13061" width="14.85546875" style="414" customWidth="1"/>
    <col min="13062" max="13062" width="11.140625" style="414" customWidth="1"/>
    <col min="13063" max="13063" width="21.7109375" style="414" customWidth="1"/>
    <col min="13064" max="13064" width="0" style="414" hidden="1" customWidth="1"/>
    <col min="13065" max="13065" width="10.85546875" style="414" customWidth="1"/>
    <col min="13066" max="13066" width="11.5703125" style="414" customWidth="1"/>
    <col min="13067" max="13067" width="12.5703125" style="414" customWidth="1"/>
    <col min="13068" max="13068" width="29.7109375" style="414" customWidth="1"/>
    <col min="13069" max="13069" width="16.7109375" style="414" customWidth="1"/>
    <col min="13070" max="13312" width="9.140625" style="414"/>
    <col min="13313" max="13313" width="39" style="414" customWidth="1"/>
    <col min="13314" max="13314" width="10.5703125" style="414" customWidth="1"/>
    <col min="13315" max="13315" width="13.5703125" style="414" customWidth="1"/>
    <col min="13316" max="13316" width="16.85546875" style="414" customWidth="1"/>
    <col min="13317" max="13317" width="14.85546875" style="414" customWidth="1"/>
    <col min="13318" max="13318" width="11.140625" style="414" customWidth="1"/>
    <col min="13319" max="13319" width="21.7109375" style="414" customWidth="1"/>
    <col min="13320" max="13320" width="0" style="414" hidden="1" customWidth="1"/>
    <col min="13321" max="13321" width="10.85546875" style="414" customWidth="1"/>
    <col min="13322" max="13322" width="11.5703125" style="414" customWidth="1"/>
    <col min="13323" max="13323" width="12.5703125" style="414" customWidth="1"/>
    <col min="13324" max="13324" width="29.7109375" style="414" customWidth="1"/>
    <col min="13325" max="13325" width="16.7109375" style="414" customWidth="1"/>
    <col min="13326" max="13568" width="9.140625" style="414"/>
    <col min="13569" max="13569" width="39" style="414" customWidth="1"/>
    <col min="13570" max="13570" width="10.5703125" style="414" customWidth="1"/>
    <col min="13571" max="13571" width="13.5703125" style="414" customWidth="1"/>
    <col min="13572" max="13572" width="16.85546875" style="414" customWidth="1"/>
    <col min="13573" max="13573" width="14.85546875" style="414" customWidth="1"/>
    <col min="13574" max="13574" width="11.140625" style="414" customWidth="1"/>
    <col min="13575" max="13575" width="21.7109375" style="414" customWidth="1"/>
    <col min="13576" max="13576" width="0" style="414" hidden="1" customWidth="1"/>
    <col min="13577" max="13577" width="10.85546875" style="414" customWidth="1"/>
    <col min="13578" max="13578" width="11.5703125" style="414" customWidth="1"/>
    <col min="13579" max="13579" width="12.5703125" style="414" customWidth="1"/>
    <col min="13580" max="13580" width="29.7109375" style="414" customWidth="1"/>
    <col min="13581" max="13581" width="16.7109375" style="414" customWidth="1"/>
    <col min="13582" max="13824" width="9.140625" style="414"/>
    <col min="13825" max="13825" width="39" style="414" customWidth="1"/>
    <col min="13826" max="13826" width="10.5703125" style="414" customWidth="1"/>
    <col min="13827" max="13827" width="13.5703125" style="414" customWidth="1"/>
    <col min="13828" max="13828" width="16.85546875" style="414" customWidth="1"/>
    <col min="13829" max="13829" width="14.85546875" style="414" customWidth="1"/>
    <col min="13830" max="13830" width="11.140625" style="414" customWidth="1"/>
    <col min="13831" max="13831" width="21.7109375" style="414" customWidth="1"/>
    <col min="13832" max="13832" width="0" style="414" hidden="1" customWidth="1"/>
    <col min="13833" max="13833" width="10.85546875" style="414" customWidth="1"/>
    <col min="13834" max="13834" width="11.5703125" style="414" customWidth="1"/>
    <col min="13835" max="13835" width="12.5703125" style="414" customWidth="1"/>
    <col min="13836" max="13836" width="29.7109375" style="414" customWidth="1"/>
    <col min="13837" max="13837" width="16.7109375" style="414" customWidth="1"/>
    <col min="13838" max="14080" width="9.140625" style="414"/>
    <col min="14081" max="14081" width="39" style="414" customWidth="1"/>
    <col min="14082" max="14082" width="10.5703125" style="414" customWidth="1"/>
    <col min="14083" max="14083" width="13.5703125" style="414" customWidth="1"/>
    <col min="14084" max="14084" width="16.85546875" style="414" customWidth="1"/>
    <col min="14085" max="14085" width="14.85546875" style="414" customWidth="1"/>
    <col min="14086" max="14086" width="11.140625" style="414" customWidth="1"/>
    <col min="14087" max="14087" width="21.7109375" style="414" customWidth="1"/>
    <col min="14088" max="14088" width="0" style="414" hidden="1" customWidth="1"/>
    <col min="14089" max="14089" width="10.85546875" style="414" customWidth="1"/>
    <col min="14090" max="14090" width="11.5703125" style="414" customWidth="1"/>
    <col min="14091" max="14091" width="12.5703125" style="414" customWidth="1"/>
    <col min="14092" max="14092" width="29.7109375" style="414" customWidth="1"/>
    <col min="14093" max="14093" width="16.7109375" style="414" customWidth="1"/>
    <col min="14094" max="14336" width="9.140625" style="414"/>
    <col min="14337" max="14337" width="39" style="414" customWidth="1"/>
    <col min="14338" max="14338" width="10.5703125" style="414" customWidth="1"/>
    <col min="14339" max="14339" width="13.5703125" style="414" customWidth="1"/>
    <col min="14340" max="14340" width="16.85546875" style="414" customWidth="1"/>
    <col min="14341" max="14341" width="14.85546875" style="414" customWidth="1"/>
    <col min="14342" max="14342" width="11.140625" style="414" customWidth="1"/>
    <col min="14343" max="14343" width="21.7109375" style="414" customWidth="1"/>
    <col min="14344" max="14344" width="0" style="414" hidden="1" customWidth="1"/>
    <col min="14345" max="14345" width="10.85546875" style="414" customWidth="1"/>
    <col min="14346" max="14346" width="11.5703125" style="414" customWidth="1"/>
    <col min="14347" max="14347" width="12.5703125" style="414" customWidth="1"/>
    <col min="14348" max="14348" width="29.7109375" style="414" customWidth="1"/>
    <col min="14349" max="14349" width="16.7109375" style="414" customWidth="1"/>
    <col min="14350" max="14592" width="9.140625" style="414"/>
    <col min="14593" max="14593" width="39" style="414" customWidth="1"/>
    <col min="14594" max="14594" width="10.5703125" style="414" customWidth="1"/>
    <col min="14595" max="14595" width="13.5703125" style="414" customWidth="1"/>
    <col min="14596" max="14596" width="16.85546875" style="414" customWidth="1"/>
    <col min="14597" max="14597" width="14.85546875" style="414" customWidth="1"/>
    <col min="14598" max="14598" width="11.140625" style="414" customWidth="1"/>
    <col min="14599" max="14599" width="21.7109375" style="414" customWidth="1"/>
    <col min="14600" max="14600" width="0" style="414" hidden="1" customWidth="1"/>
    <col min="14601" max="14601" width="10.85546875" style="414" customWidth="1"/>
    <col min="14602" max="14602" width="11.5703125" style="414" customWidth="1"/>
    <col min="14603" max="14603" width="12.5703125" style="414" customWidth="1"/>
    <col min="14604" max="14604" width="29.7109375" style="414" customWidth="1"/>
    <col min="14605" max="14605" width="16.7109375" style="414" customWidth="1"/>
    <col min="14606" max="14848" width="9.140625" style="414"/>
    <col min="14849" max="14849" width="39" style="414" customWidth="1"/>
    <col min="14850" max="14850" width="10.5703125" style="414" customWidth="1"/>
    <col min="14851" max="14851" width="13.5703125" style="414" customWidth="1"/>
    <col min="14852" max="14852" width="16.85546875" style="414" customWidth="1"/>
    <col min="14853" max="14853" width="14.85546875" style="414" customWidth="1"/>
    <col min="14854" max="14854" width="11.140625" style="414" customWidth="1"/>
    <col min="14855" max="14855" width="21.7109375" style="414" customWidth="1"/>
    <col min="14856" max="14856" width="0" style="414" hidden="1" customWidth="1"/>
    <col min="14857" max="14857" width="10.85546875" style="414" customWidth="1"/>
    <col min="14858" max="14858" width="11.5703125" style="414" customWidth="1"/>
    <col min="14859" max="14859" width="12.5703125" style="414" customWidth="1"/>
    <col min="14860" max="14860" width="29.7109375" style="414" customWidth="1"/>
    <col min="14861" max="14861" width="16.7109375" style="414" customWidth="1"/>
    <col min="14862" max="15104" width="9.140625" style="414"/>
    <col min="15105" max="15105" width="39" style="414" customWidth="1"/>
    <col min="15106" max="15106" width="10.5703125" style="414" customWidth="1"/>
    <col min="15107" max="15107" width="13.5703125" style="414" customWidth="1"/>
    <col min="15108" max="15108" width="16.85546875" style="414" customWidth="1"/>
    <col min="15109" max="15109" width="14.85546875" style="414" customWidth="1"/>
    <col min="15110" max="15110" width="11.140625" style="414" customWidth="1"/>
    <col min="15111" max="15111" width="21.7109375" style="414" customWidth="1"/>
    <col min="15112" max="15112" width="0" style="414" hidden="1" customWidth="1"/>
    <col min="15113" max="15113" width="10.85546875" style="414" customWidth="1"/>
    <col min="15114" max="15114" width="11.5703125" style="414" customWidth="1"/>
    <col min="15115" max="15115" width="12.5703125" style="414" customWidth="1"/>
    <col min="15116" max="15116" width="29.7109375" style="414" customWidth="1"/>
    <col min="15117" max="15117" width="16.7109375" style="414" customWidth="1"/>
    <col min="15118" max="15360" width="9.140625" style="414"/>
    <col min="15361" max="15361" width="39" style="414" customWidth="1"/>
    <col min="15362" max="15362" width="10.5703125" style="414" customWidth="1"/>
    <col min="15363" max="15363" width="13.5703125" style="414" customWidth="1"/>
    <col min="15364" max="15364" width="16.85546875" style="414" customWidth="1"/>
    <col min="15365" max="15365" width="14.85546875" style="414" customWidth="1"/>
    <col min="15366" max="15366" width="11.140625" style="414" customWidth="1"/>
    <col min="15367" max="15367" width="21.7109375" style="414" customWidth="1"/>
    <col min="15368" max="15368" width="0" style="414" hidden="1" customWidth="1"/>
    <col min="15369" max="15369" width="10.85546875" style="414" customWidth="1"/>
    <col min="15370" max="15370" width="11.5703125" style="414" customWidth="1"/>
    <col min="15371" max="15371" width="12.5703125" style="414" customWidth="1"/>
    <col min="15372" max="15372" width="29.7109375" style="414" customWidth="1"/>
    <col min="15373" max="15373" width="16.7109375" style="414" customWidth="1"/>
    <col min="15374" max="15616" width="9.140625" style="414"/>
    <col min="15617" max="15617" width="39" style="414" customWidth="1"/>
    <col min="15618" max="15618" width="10.5703125" style="414" customWidth="1"/>
    <col min="15619" max="15619" width="13.5703125" style="414" customWidth="1"/>
    <col min="15620" max="15620" width="16.85546875" style="414" customWidth="1"/>
    <col min="15621" max="15621" width="14.85546875" style="414" customWidth="1"/>
    <col min="15622" max="15622" width="11.140625" style="414" customWidth="1"/>
    <col min="15623" max="15623" width="21.7109375" style="414" customWidth="1"/>
    <col min="15624" max="15624" width="0" style="414" hidden="1" customWidth="1"/>
    <col min="15625" max="15625" width="10.85546875" style="414" customWidth="1"/>
    <col min="15626" max="15626" width="11.5703125" style="414" customWidth="1"/>
    <col min="15627" max="15627" width="12.5703125" style="414" customWidth="1"/>
    <col min="15628" max="15628" width="29.7109375" style="414" customWidth="1"/>
    <col min="15629" max="15629" width="16.7109375" style="414" customWidth="1"/>
    <col min="15630" max="15872" width="9.140625" style="414"/>
    <col min="15873" max="15873" width="39" style="414" customWidth="1"/>
    <col min="15874" max="15874" width="10.5703125" style="414" customWidth="1"/>
    <col min="15875" max="15875" width="13.5703125" style="414" customWidth="1"/>
    <col min="15876" max="15876" width="16.85546875" style="414" customWidth="1"/>
    <col min="15877" max="15877" width="14.85546875" style="414" customWidth="1"/>
    <col min="15878" max="15878" width="11.140625" style="414" customWidth="1"/>
    <col min="15879" max="15879" width="21.7109375" style="414" customWidth="1"/>
    <col min="15880" max="15880" width="0" style="414" hidden="1" customWidth="1"/>
    <col min="15881" max="15881" width="10.85546875" style="414" customWidth="1"/>
    <col min="15882" max="15882" width="11.5703125" style="414" customWidth="1"/>
    <col min="15883" max="15883" width="12.5703125" style="414" customWidth="1"/>
    <col min="15884" max="15884" width="29.7109375" style="414" customWidth="1"/>
    <col min="15885" max="15885" width="16.7109375" style="414" customWidth="1"/>
    <col min="15886" max="16128" width="9.140625" style="414"/>
    <col min="16129" max="16129" width="39" style="414" customWidth="1"/>
    <col min="16130" max="16130" width="10.5703125" style="414" customWidth="1"/>
    <col min="16131" max="16131" width="13.5703125" style="414" customWidth="1"/>
    <col min="16132" max="16132" width="16.85546875" style="414" customWidth="1"/>
    <col min="16133" max="16133" width="14.85546875" style="414" customWidth="1"/>
    <col min="16134" max="16134" width="11.140625" style="414" customWidth="1"/>
    <col min="16135" max="16135" width="21.7109375" style="414" customWidth="1"/>
    <col min="16136" max="16136" width="0" style="414" hidden="1" customWidth="1"/>
    <col min="16137" max="16137" width="10.85546875" style="414" customWidth="1"/>
    <col min="16138" max="16138" width="11.5703125" style="414" customWidth="1"/>
    <col min="16139" max="16139" width="12.5703125" style="414" customWidth="1"/>
    <col min="16140" max="16140" width="29.7109375" style="414" customWidth="1"/>
    <col min="16141" max="16141" width="16.7109375" style="414" customWidth="1"/>
    <col min="16142" max="16384" width="9.140625" style="414"/>
  </cols>
  <sheetData>
    <row r="1" spans="1:15" ht="33" customHeight="1" x14ac:dyDescent="0.2">
      <c r="A1" s="494" t="s">
        <v>753</v>
      </c>
      <c r="B1" s="494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</row>
    <row r="2" spans="1:15" ht="22.5" customHeight="1" x14ac:dyDescent="0.2">
      <c r="A2" s="511" t="s">
        <v>646</v>
      </c>
      <c r="B2" s="496" t="s">
        <v>351</v>
      </c>
      <c r="C2" s="530" t="s">
        <v>647</v>
      </c>
      <c r="D2" s="530" t="s">
        <v>648</v>
      </c>
      <c r="E2" s="531" t="s">
        <v>649</v>
      </c>
      <c r="F2" s="490" t="s">
        <v>16</v>
      </c>
      <c r="G2" s="490"/>
      <c r="H2" s="490"/>
      <c r="I2" s="490"/>
      <c r="J2" s="511" t="s">
        <v>650</v>
      </c>
      <c r="K2" s="415" t="s">
        <v>16</v>
      </c>
      <c r="L2" s="525" t="s">
        <v>651</v>
      </c>
      <c r="M2" s="525" t="s">
        <v>652</v>
      </c>
    </row>
    <row r="3" spans="1:15" ht="96.75" customHeight="1" x14ac:dyDescent="0.2">
      <c r="A3" s="511"/>
      <c r="B3" s="497"/>
      <c r="C3" s="530"/>
      <c r="D3" s="530"/>
      <c r="E3" s="531"/>
      <c r="F3" s="461" t="s">
        <v>754</v>
      </c>
      <c r="G3" s="416" t="s">
        <v>653</v>
      </c>
      <c r="H3" s="416" t="s">
        <v>654</v>
      </c>
      <c r="I3" s="416" t="s">
        <v>655</v>
      </c>
      <c r="J3" s="511"/>
      <c r="K3" s="417" t="s">
        <v>656</v>
      </c>
      <c r="L3" s="526"/>
      <c r="M3" s="526"/>
    </row>
    <row r="4" spans="1:15" ht="15" customHeight="1" x14ac:dyDescent="0.2">
      <c r="A4" s="415">
        <v>1</v>
      </c>
      <c r="B4" s="417">
        <v>2</v>
      </c>
      <c r="C4" s="417">
        <v>3</v>
      </c>
      <c r="D4" s="416">
        <v>4</v>
      </c>
      <c r="E4" s="416">
        <v>5</v>
      </c>
      <c r="F4" s="416">
        <v>6</v>
      </c>
      <c r="G4" s="416">
        <v>7</v>
      </c>
      <c r="H4" s="416">
        <v>8</v>
      </c>
      <c r="I4" s="415">
        <v>9</v>
      </c>
      <c r="J4" s="417">
        <v>10</v>
      </c>
      <c r="K4" s="417">
        <v>11</v>
      </c>
      <c r="L4" s="417">
        <v>12</v>
      </c>
      <c r="M4" s="460">
        <v>13</v>
      </c>
    </row>
    <row r="5" spans="1:15" x14ac:dyDescent="0.2">
      <c r="A5" s="418">
        <v>1</v>
      </c>
      <c r="B5" s="449" t="s">
        <v>172</v>
      </c>
      <c r="C5" s="419" t="s">
        <v>657</v>
      </c>
      <c r="D5" s="420" t="s">
        <v>658</v>
      </c>
      <c r="E5" s="421">
        <f>726-5-20-29</f>
        <v>672</v>
      </c>
      <c r="F5" s="421"/>
      <c r="G5" s="421"/>
      <c r="H5" s="421"/>
      <c r="I5" s="421">
        <f t="shared" ref="I5:I10" si="0">E5-F5-G5</f>
        <v>672</v>
      </c>
      <c r="J5" s="420"/>
      <c r="K5" s="420"/>
      <c r="L5" s="421">
        <f t="shared" ref="L5:L51" si="1">E5+J5</f>
        <v>672</v>
      </c>
      <c r="M5" s="415"/>
      <c r="N5" s="423"/>
      <c r="O5" s="444"/>
    </row>
    <row r="6" spans="1:15" x14ac:dyDescent="0.2">
      <c r="A6" s="418">
        <v>2</v>
      </c>
      <c r="B6" s="449" t="s">
        <v>168</v>
      </c>
      <c r="C6" s="419" t="s">
        <v>659</v>
      </c>
      <c r="D6" s="420" t="s">
        <v>658</v>
      </c>
      <c r="E6" s="421">
        <f>701+20-32</f>
        <v>689</v>
      </c>
      <c r="F6" s="421"/>
      <c r="G6" s="421"/>
      <c r="H6" s="421"/>
      <c r="I6" s="421">
        <f t="shared" si="0"/>
        <v>689</v>
      </c>
      <c r="J6" s="422"/>
      <c r="K6" s="422"/>
      <c r="L6" s="421">
        <f t="shared" si="1"/>
        <v>689</v>
      </c>
      <c r="M6" s="415"/>
      <c r="O6" s="444"/>
    </row>
    <row r="7" spans="1:15" x14ac:dyDescent="0.2">
      <c r="A7" s="418">
        <v>3</v>
      </c>
      <c r="B7" s="450" t="s">
        <v>39</v>
      </c>
      <c r="C7" s="419" t="s">
        <v>40</v>
      </c>
      <c r="D7" s="420" t="s">
        <v>658</v>
      </c>
      <c r="E7" s="421">
        <f>3076+1-135</f>
        <v>2942</v>
      </c>
      <c r="F7" s="421"/>
      <c r="G7" s="421"/>
      <c r="H7" s="421"/>
      <c r="I7" s="421">
        <f t="shared" si="0"/>
        <v>2942</v>
      </c>
      <c r="J7" s="422"/>
      <c r="K7" s="422"/>
      <c r="L7" s="421">
        <f t="shared" si="1"/>
        <v>2942</v>
      </c>
      <c r="M7" s="415"/>
      <c r="O7" s="444"/>
    </row>
    <row r="8" spans="1:15" x14ac:dyDescent="0.2">
      <c r="A8" s="418">
        <v>4</v>
      </c>
      <c r="B8" s="451" t="s">
        <v>119</v>
      </c>
      <c r="C8" s="419" t="s">
        <v>120</v>
      </c>
      <c r="D8" s="420" t="s">
        <v>658</v>
      </c>
      <c r="E8" s="421">
        <f>1859-2-82+125</f>
        <v>1900</v>
      </c>
      <c r="F8" s="421"/>
      <c r="G8" s="421"/>
      <c r="H8" s="421"/>
      <c r="I8" s="421">
        <f t="shared" si="0"/>
        <v>1900</v>
      </c>
      <c r="J8" s="422"/>
      <c r="K8" s="422"/>
      <c r="L8" s="421">
        <f t="shared" si="1"/>
        <v>1900</v>
      </c>
      <c r="M8" s="415"/>
      <c r="O8" s="444"/>
    </row>
    <row r="9" spans="1:15" x14ac:dyDescent="0.2">
      <c r="A9" s="418">
        <v>5</v>
      </c>
      <c r="B9" s="450" t="s">
        <v>41</v>
      </c>
      <c r="C9" s="419" t="s">
        <v>42</v>
      </c>
      <c r="D9" s="420" t="s">
        <v>658</v>
      </c>
      <c r="E9" s="421">
        <f>4086-64-185</f>
        <v>3837</v>
      </c>
      <c r="F9" s="421"/>
      <c r="G9" s="421"/>
      <c r="H9" s="421"/>
      <c r="I9" s="421">
        <f t="shared" si="0"/>
        <v>3837</v>
      </c>
      <c r="J9" s="422"/>
      <c r="K9" s="422"/>
      <c r="L9" s="421">
        <f t="shared" si="1"/>
        <v>3837</v>
      </c>
      <c r="M9" s="415"/>
      <c r="O9" s="444"/>
    </row>
    <row r="10" spans="1:15" x14ac:dyDescent="0.2">
      <c r="A10" s="418">
        <v>6</v>
      </c>
      <c r="B10" s="449" t="s">
        <v>19</v>
      </c>
      <c r="C10" s="419" t="s">
        <v>20</v>
      </c>
      <c r="D10" s="420" t="s">
        <v>658</v>
      </c>
      <c r="E10" s="421">
        <f>2254-1-9+1-100+1+50</f>
        <v>2196</v>
      </c>
      <c r="F10" s="421"/>
      <c r="G10" s="421"/>
      <c r="H10" s="421"/>
      <c r="I10" s="421">
        <f t="shared" si="0"/>
        <v>2196</v>
      </c>
      <c r="J10" s="422"/>
      <c r="K10" s="422"/>
      <c r="L10" s="421">
        <f t="shared" si="1"/>
        <v>2196</v>
      </c>
      <c r="M10" s="415"/>
      <c r="O10" s="444"/>
    </row>
    <row r="11" spans="1:15" x14ac:dyDescent="0.2">
      <c r="A11" s="418">
        <v>7</v>
      </c>
      <c r="B11" s="450" t="s">
        <v>43</v>
      </c>
      <c r="C11" s="419" t="s">
        <v>156</v>
      </c>
      <c r="D11" s="420" t="s">
        <v>658</v>
      </c>
      <c r="E11" s="421">
        <f>6313+30-5</f>
        <v>6338</v>
      </c>
      <c r="F11" s="421"/>
      <c r="G11" s="421"/>
      <c r="H11" s="421">
        <f>1050+450-300-231</f>
        <v>969</v>
      </c>
      <c r="I11" s="421">
        <f>E11-F11-G11-H11</f>
        <v>5369</v>
      </c>
      <c r="J11" s="422"/>
      <c r="K11" s="422"/>
      <c r="L11" s="421">
        <f t="shared" si="1"/>
        <v>6338</v>
      </c>
      <c r="M11" s="415"/>
      <c r="O11" s="444"/>
    </row>
    <row r="12" spans="1:15" x14ac:dyDescent="0.2">
      <c r="A12" s="418">
        <v>8</v>
      </c>
      <c r="B12" s="449" t="s">
        <v>74</v>
      </c>
      <c r="C12" s="419" t="s">
        <v>161</v>
      </c>
      <c r="D12" s="420" t="s">
        <v>658</v>
      </c>
      <c r="E12" s="421">
        <f>2966-6-133+2-124+50</f>
        <v>2755</v>
      </c>
      <c r="F12" s="421"/>
      <c r="G12" s="421"/>
      <c r="H12" s="421"/>
      <c r="I12" s="421">
        <f>E12-F12-G12</f>
        <v>2755</v>
      </c>
      <c r="J12" s="422"/>
      <c r="K12" s="422"/>
      <c r="L12" s="421">
        <f t="shared" si="1"/>
        <v>2755</v>
      </c>
      <c r="M12" s="415"/>
      <c r="O12" s="444"/>
    </row>
    <row r="13" spans="1:15" x14ac:dyDescent="0.2">
      <c r="A13" s="418">
        <v>9</v>
      </c>
      <c r="B13" s="451" t="s">
        <v>21</v>
      </c>
      <c r="C13" s="419" t="s">
        <v>153</v>
      </c>
      <c r="D13" s="420" t="s">
        <v>658</v>
      </c>
      <c r="E13" s="421">
        <f>1813-26-80</f>
        <v>1707</v>
      </c>
      <c r="F13" s="421">
        <f>7-1</f>
        <v>6</v>
      </c>
      <c r="G13" s="421"/>
      <c r="H13" s="421"/>
      <c r="I13" s="421">
        <f>E13-F13-G13</f>
        <v>1701</v>
      </c>
      <c r="J13" s="422"/>
      <c r="K13" s="422"/>
      <c r="L13" s="421">
        <f t="shared" si="1"/>
        <v>1707</v>
      </c>
      <c r="M13" s="415"/>
      <c r="O13" s="444"/>
    </row>
    <row r="14" spans="1:15" x14ac:dyDescent="0.2">
      <c r="A14" s="418">
        <v>10</v>
      </c>
      <c r="B14" s="450" t="s">
        <v>121</v>
      </c>
      <c r="C14" s="419" t="s">
        <v>122</v>
      </c>
      <c r="D14" s="420" t="s">
        <v>658</v>
      </c>
      <c r="E14" s="421">
        <f>2122+30-3-19-50-107+100</f>
        <v>2073</v>
      </c>
      <c r="F14" s="421"/>
      <c r="G14" s="421"/>
      <c r="H14" s="421"/>
      <c r="I14" s="421">
        <f>E14-F14-G14</f>
        <v>2073</v>
      </c>
      <c r="J14" s="422"/>
      <c r="K14" s="422"/>
      <c r="L14" s="421">
        <f t="shared" si="1"/>
        <v>2073</v>
      </c>
      <c r="M14" s="415"/>
      <c r="O14" s="444"/>
    </row>
    <row r="15" spans="1:15" x14ac:dyDescent="0.2">
      <c r="A15" s="418">
        <v>11</v>
      </c>
      <c r="B15" s="450" t="s">
        <v>77</v>
      </c>
      <c r="C15" s="419" t="s">
        <v>78</v>
      </c>
      <c r="D15" s="420" t="s">
        <v>658</v>
      </c>
      <c r="E15" s="421">
        <f>2294+1+1-3-28-99+155</f>
        <v>2321</v>
      </c>
      <c r="F15" s="421"/>
      <c r="G15" s="421"/>
      <c r="H15" s="421"/>
      <c r="I15" s="421">
        <f>E15-F15-G15</f>
        <v>2321</v>
      </c>
      <c r="J15" s="422"/>
      <c r="K15" s="422"/>
      <c r="L15" s="421">
        <f t="shared" si="1"/>
        <v>2321</v>
      </c>
      <c r="M15" s="415"/>
      <c r="O15" s="444"/>
    </row>
    <row r="16" spans="1:15" x14ac:dyDescent="0.2">
      <c r="A16" s="418">
        <v>12</v>
      </c>
      <c r="B16" s="450" t="s">
        <v>123</v>
      </c>
      <c r="C16" s="419" t="s">
        <v>124</v>
      </c>
      <c r="D16" s="420" t="s">
        <v>658</v>
      </c>
      <c r="E16" s="421">
        <f>5133-75</f>
        <v>5058</v>
      </c>
      <c r="F16" s="421"/>
      <c r="G16" s="421"/>
      <c r="H16" s="421">
        <f>88+842+2-267-224</f>
        <v>441</v>
      </c>
      <c r="I16" s="421">
        <f>E16-F16-G16-H16</f>
        <v>4617</v>
      </c>
      <c r="J16" s="422"/>
      <c r="K16" s="422"/>
      <c r="L16" s="421">
        <f t="shared" si="1"/>
        <v>5058</v>
      </c>
      <c r="M16" s="415"/>
      <c r="O16" s="444"/>
    </row>
    <row r="17" spans="1:15" x14ac:dyDescent="0.2">
      <c r="A17" s="418">
        <v>13</v>
      </c>
      <c r="B17" s="451" t="s">
        <v>125</v>
      </c>
      <c r="C17" s="419" t="s">
        <v>126</v>
      </c>
      <c r="D17" s="420" t="s">
        <v>658</v>
      </c>
      <c r="E17" s="421">
        <f>2587+40-2-58-37-111+10+170+1</f>
        <v>2600</v>
      </c>
      <c r="F17" s="421"/>
      <c r="G17" s="421"/>
      <c r="H17" s="421"/>
      <c r="I17" s="421">
        <f t="shared" ref="I17:I51" si="2">E17-F17-G17-H17</f>
        <v>2600</v>
      </c>
      <c r="J17" s="422"/>
      <c r="K17" s="422"/>
      <c r="L17" s="421">
        <f t="shared" si="1"/>
        <v>2600</v>
      </c>
      <c r="M17" s="415"/>
      <c r="O17" s="444"/>
    </row>
    <row r="18" spans="1:15" x14ac:dyDescent="0.2">
      <c r="A18" s="418">
        <v>14</v>
      </c>
      <c r="B18" s="451" t="s">
        <v>127</v>
      </c>
      <c r="C18" s="419" t="s">
        <v>128</v>
      </c>
      <c r="D18" s="420" t="s">
        <v>658</v>
      </c>
      <c r="E18" s="421">
        <f>3516-35-153+180</f>
        <v>3508</v>
      </c>
      <c r="F18" s="421">
        <v>1</v>
      </c>
      <c r="G18" s="421"/>
      <c r="H18" s="421"/>
      <c r="I18" s="421">
        <f t="shared" si="2"/>
        <v>3507</v>
      </c>
      <c r="J18" s="422"/>
      <c r="K18" s="422"/>
      <c r="L18" s="421">
        <f t="shared" si="1"/>
        <v>3508</v>
      </c>
      <c r="M18" s="415"/>
      <c r="O18" s="444"/>
    </row>
    <row r="19" spans="1:15" x14ac:dyDescent="0.2">
      <c r="A19" s="418">
        <v>15</v>
      </c>
      <c r="B19" s="449" t="s">
        <v>24</v>
      </c>
      <c r="C19" s="419" t="s">
        <v>154</v>
      </c>
      <c r="D19" s="420" t="s">
        <v>658</v>
      </c>
      <c r="E19" s="421">
        <f>2004-43+1-88</f>
        <v>1874</v>
      </c>
      <c r="F19" s="421">
        <f>5-1-2</f>
        <v>2</v>
      </c>
      <c r="G19" s="421"/>
      <c r="H19" s="421"/>
      <c r="I19" s="421">
        <f t="shared" si="2"/>
        <v>1872</v>
      </c>
      <c r="J19" s="422"/>
      <c r="K19" s="422"/>
      <c r="L19" s="421">
        <f t="shared" si="1"/>
        <v>1874</v>
      </c>
      <c r="M19" s="415"/>
      <c r="O19" s="444"/>
    </row>
    <row r="20" spans="1:15" x14ac:dyDescent="0.2">
      <c r="A20" s="418">
        <v>16</v>
      </c>
      <c r="B20" s="449" t="s">
        <v>46</v>
      </c>
      <c r="C20" s="419" t="s">
        <v>47</v>
      </c>
      <c r="D20" s="420" t="s">
        <v>658</v>
      </c>
      <c r="E20" s="421">
        <f>1656+30-128-72+130</f>
        <v>1616</v>
      </c>
      <c r="F20" s="421"/>
      <c r="G20" s="421"/>
      <c r="H20" s="421"/>
      <c r="I20" s="421">
        <f t="shared" si="2"/>
        <v>1616</v>
      </c>
      <c r="J20" s="422"/>
      <c r="K20" s="422"/>
      <c r="L20" s="421">
        <f t="shared" si="1"/>
        <v>1616</v>
      </c>
      <c r="M20" s="415"/>
      <c r="O20" s="444"/>
    </row>
    <row r="21" spans="1:15" x14ac:dyDescent="0.2">
      <c r="A21" s="418">
        <v>17</v>
      </c>
      <c r="B21" s="449" t="s">
        <v>25</v>
      </c>
      <c r="C21" s="419" t="s">
        <v>26</v>
      </c>
      <c r="D21" s="420" t="s">
        <v>658</v>
      </c>
      <c r="E21" s="421">
        <f>2418+2-13-105+100</f>
        <v>2402</v>
      </c>
      <c r="F21" s="421"/>
      <c r="G21" s="421"/>
      <c r="H21" s="421"/>
      <c r="I21" s="421">
        <f t="shared" si="2"/>
        <v>2402</v>
      </c>
      <c r="J21" s="422"/>
      <c r="K21" s="422"/>
      <c r="L21" s="421">
        <f t="shared" si="1"/>
        <v>2402</v>
      </c>
      <c r="M21" s="415"/>
      <c r="O21" s="444"/>
    </row>
    <row r="22" spans="1:15" x14ac:dyDescent="0.2">
      <c r="A22" s="418">
        <v>18</v>
      </c>
      <c r="B22" s="450" t="s">
        <v>79</v>
      </c>
      <c r="C22" s="419" t="s">
        <v>162</v>
      </c>
      <c r="D22" s="420" t="s">
        <v>658</v>
      </c>
      <c r="E22" s="421">
        <f>3483-128-154</f>
        <v>3201</v>
      </c>
      <c r="F22" s="421">
        <v>1</v>
      </c>
      <c r="G22" s="421"/>
      <c r="H22" s="421">
        <v>1</v>
      </c>
      <c r="I22" s="421">
        <f t="shared" si="2"/>
        <v>3199</v>
      </c>
      <c r="J22" s="422"/>
      <c r="K22" s="422"/>
      <c r="L22" s="421">
        <f t="shared" si="1"/>
        <v>3201</v>
      </c>
      <c r="M22" s="415"/>
      <c r="O22" s="444"/>
    </row>
    <row r="23" spans="1:15" x14ac:dyDescent="0.2">
      <c r="A23" s="418">
        <v>19</v>
      </c>
      <c r="B23" s="451" t="s">
        <v>80</v>
      </c>
      <c r="C23" s="419" t="s">
        <v>81</v>
      </c>
      <c r="D23" s="420" t="s">
        <v>658</v>
      </c>
      <c r="E23" s="421">
        <f>4253+29-102+34+1-159+50</f>
        <v>4106</v>
      </c>
      <c r="F23" s="421"/>
      <c r="G23" s="421"/>
      <c r="H23" s="421"/>
      <c r="I23" s="421">
        <f t="shared" si="2"/>
        <v>4106</v>
      </c>
      <c r="J23" s="422"/>
      <c r="K23" s="422"/>
      <c r="L23" s="421">
        <f t="shared" si="1"/>
        <v>4106</v>
      </c>
      <c r="M23" s="415"/>
      <c r="O23" s="444"/>
    </row>
    <row r="24" spans="1:15" x14ac:dyDescent="0.2">
      <c r="A24" s="418">
        <v>20</v>
      </c>
      <c r="B24" s="450" t="s">
        <v>82</v>
      </c>
      <c r="C24" s="419" t="s">
        <v>83</v>
      </c>
      <c r="D24" s="420" t="s">
        <v>658</v>
      </c>
      <c r="E24" s="421">
        <f>1572-11-69+20</f>
        <v>1512</v>
      </c>
      <c r="F24" s="421"/>
      <c r="G24" s="421"/>
      <c r="H24" s="421"/>
      <c r="I24" s="421">
        <f t="shared" si="2"/>
        <v>1512</v>
      </c>
      <c r="J24" s="422"/>
      <c r="K24" s="422"/>
      <c r="L24" s="421">
        <f t="shared" si="1"/>
        <v>1512</v>
      </c>
      <c r="M24" s="415"/>
      <c r="O24" s="444"/>
    </row>
    <row r="25" spans="1:15" x14ac:dyDescent="0.2">
      <c r="A25" s="418">
        <v>21</v>
      </c>
      <c r="B25" s="449" t="s">
        <v>48</v>
      </c>
      <c r="C25" s="419" t="s">
        <v>157</v>
      </c>
      <c r="D25" s="420" t="s">
        <v>658</v>
      </c>
      <c r="E25" s="421">
        <f>1596-103-81+203</f>
        <v>1615</v>
      </c>
      <c r="F25" s="421"/>
      <c r="G25" s="421"/>
      <c r="H25" s="421"/>
      <c r="I25" s="421">
        <f t="shared" si="2"/>
        <v>1615</v>
      </c>
      <c r="J25" s="422"/>
      <c r="K25" s="422"/>
      <c r="L25" s="421">
        <f t="shared" si="1"/>
        <v>1615</v>
      </c>
      <c r="M25" s="415"/>
      <c r="O25" s="444"/>
    </row>
    <row r="26" spans="1:15" x14ac:dyDescent="0.2">
      <c r="A26" s="418">
        <v>22</v>
      </c>
      <c r="B26" s="449" t="s">
        <v>129</v>
      </c>
      <c r="C26" s="419" t="s">
        <v>130</v>
      </c>
      <c r="D26" s="420" t="s">
        <v>658</v>
      </c>
      <c r="E26" s="421">
        <f>3394-33</f>
        <v>3361</v>
      </c>
      <c r="F26" s="421"/>
      <c r="G26" s="421"/>
      <c r="H26" s="421">
        <f>236+751-387+86</f>
        <v>686</v>
      </c>
      <c r="I26" s="421">
        <f t="shared" si="2"/>
        <v>2675</v>
      </c>
      <c r="J26" s="422"/>
      <c r="K26" s="422"/>
      <c r="L26" s="421">
        <f t="shared" si="1"/>
        <v>3361</v>
      </c>
      <c r="M26" s="415"/>
      <c r="O26" s="444"/>
    </row>
    <row r="27" spans="1:15" x14ac:dyDescent="0.2">
      <c r="A27" s="418">
        <v>23</v>
      </c>
      <c r="B27" s="451" t="s">
        <v>60</v>
      </c>
      <c r="C27" s="419" t="s">
        <v>61</v>
      </c>
      <c r="D27" s="420" t="s">
        <v>658</v>
      </c>
      <c r="E27" s="421">
        <f>2897-1-146-121+50</f>
        <v>2679</v>
      </c>
      <c r="F27" s="421"/>
      <c r="G27" s="421"/>
      <c r="H27" s="421"/>
      <c r="I27" s="421">
        <f t="shared" si="2"/>
        <v>2679</v>
      </c>
      <c r="J27" s="422"/>
      <c r="K27" s="422"/>
      <c r="L27" s="421">
        <f t="shared" si="1"/>
        <v>2679</v>
      </c>
      <c r="M27" s="415"/>
      <c r="O27" s="444"/>
    </row>
    <row r="28" spans="1:15" x14ac:dyDescent="0.2">
      <c r="A28" s="418">
        <v>24</v>
      </c>
      <c r="B28" s="450" t="s">
        <v>29</v>
      </c>
      <c r="C28" s="419" t="s">
        <v>30</v>
      </c>
      <c r="D28" s="420" t="s">
        <v>658</v>
      </c>
      <c r="E28" s="421">
        <f>1972-9-86+50</f>
        <v>1927</v>
      </c>
      <c r="F28" s="421"/>
      <c r="G28" s="421"/>
      <c r="H28" s="421"/>
      <c r="I28" s="421">
        <f t="shared" si="2"/>
        <v>1927</v>
      </c>
      <c r="J28" s="422"/>
      <c r="K28" s="422"/>
      <c r="L28" s="421">
        <f t="shared" si="1"/>
        <v>1927</v>
      </c>
      <c r="M28" s="415"/>
      <c r="O28" s="444"/>
    </row>
    <row r="29" spans="1:15" x14ac:dyDescent="0.2">
      <c r="A29" s="418">
        <v>25</v>
      </c>
      <c r="B29" s="450" t="s">
        <v>31</v>
      </c>
      <c r="C29" s="419" t="s">
        <v>32</v>
      </c>
      <c r="D29" s="420" t="s">
        <v>658</v>
      </c>
      <c r="E29" s="421">
        <f>2915-60-139+50</f>
        <v>2766</v>
      </c>
      <c r="F29" s="421"/>
      <c r="G29" s="421"/>
      <c r="H29" s="421"/>
      <c r="I29" s="421">
        <f t="shared" si="2"/>
        <v>2766</v>
      </c>
      <c r="J29" s="422"/>
      <c r="K29" s="422"/>
      <c r="L29" s="421">
        <f t="shared" si="1"/>
        <v>2766</v>
      </c>
      <c r="M29" s="415"/>
      <c r="O29" s="444"/>
    </row>
    <row r="30" spans="1:15" x14ac:dyDescent="0.2">
      <c r="A30" s="418">
        <v>26</v>
      </c>
      <c r="B30" s="449" t="s">
        <v>131</v>
      </c>
      <c r="C30" s="419" t="s">
        <v>132</v>
      </c>
      <c r="D30" s="420" t="s">
        <v>658</v>
      </c>
      <c r="E30" s="421">
        <f>4506-8-101-229+150</f>
        <v>4318</v>
      </c>
      <c r="F30" s="421">
        <f>11-8-1</f>
        <v>2</v>
      </c>
      <c r="G30" s="421"/>
      <c r="H30" s="421"/>
      <c r="I30" s="421">
        <f t="shared" si="2"/>
        <v>4316</v>
      </c>
      <c r="J30" s="422"/>
      <c r="K30" s="422"/>
      <c r="L30" s="421">
        <f t="shared" si="1"/>
        <v>4318</v>
      </c>
      <c r="M30" s="415"/>
      <c r="O30" s="444"/>
    </row>
    <row r="31" spans="1:15" x14ac:dyDescent="0.2">
      <c r="A31" s="418">
        <v>27</v>
      </c>
      <c r="B31" s="450" t="s">
        <v>133</v>
      </c>
      <c r="C31" s="419" t="s">
        <v>134</v>
      </c>
      <c r="D31" s="420" t="s">
        <v>658</v>
      </c>
      <c r="E31" s="421">
        <f>1659-10+50</f>
        <v>1699</v>
      </c>
      <c r="F31" s="421"/>
      <c r="G31" s="421"/>
      <c r="H31" s="421">
        <f>307+50-59+4</f>
        <v>302</v>
      </c>
      <c r="I31" s="421">
        <f t="shared" si="2"/>
        <v>1397</v>
      </c>
      <c r="J31" s="422"/>
      <c r="K31" s="422"/>
      <c r="L31" s="421">
        <f t="shared" si="1"/>
        <v>1699</v>
      </c>
      <c r="M31" s="415"/>
      <c r="O31" s="444"/>
    </row>
    <row r="32" spans="1:15" x14ac:dyDescent="0.2">
      <c r="A32" s="418">
        <v>28</v>
      </c>
      <c r="B32" s="450" t="s">
        <v>33</v>
      </c>
      <c r="C32" s="419" t="s">
        <v>34</v>
      </c>
      <c r="D32" s="420" t="s">
        <v>658</v>
      </c>
      <c r="E32" s="421">
        <f>2099-92+100</f>
        <v>2107</v>
      </c>
      <c r="F32" s="421"/>
      <c r="G32" s="421"/>
      <c r="H32" s="421"/>
      <c r="I32" s="421">
        <f t="shared" si="2"/>
        <v>2107</v>
      </c>
      <c r="J32" s="422"/>
      <c r="K32" s="422"/>
      <c r="L32" s="421">
        <f t="shared" si="1"/>
        <v>2107</v>
      </c>
      <c r="M32" s="415"/>
      <c r="O32" s="444"/>
    </row>
    <row r="33" spans="1:15" x14ac:dyDescent="0.2">
      <c r="A33" s="418">
        <v>29</v>
      </c>
      <c r="B33" s="451" t="s">
        <v>64</v>
      </c>
      <c r="C33" s="419" t="s">
        <v>65</v>
      </c>
      <c r="D33" s="420" t="s">
        <v>658</v>
      </c>
      <c r="E33" s="421">
        <f>3233-95-144</f>
        <v>2994</v>
      </c>
      <c r="F33" s="421"/>
      <c r="G33" s="421"/>
      <c r="H33" s="421"/>
      <c r="I33" s="421">
        <f t="shared" si="2"/>
        <v>2994</v>
      </c>
      <c r="J33" s="422"/>
      <c r="K33" s="422"/>
      <c r="L33" s="421">
        <f t="shared" si="1"/>
        <v>2994</v>
      </c>
      <c r="M33" s="415"/>
      <c r="O33" s="444"/>
    </row>
    <row r="34" spans="1:15" x14ac:dyDescent="0.2">
      <c r="A34" s="418">
        <v>30</v>
      </c>
      <c r="B34" s="449" t="s">
        <v>135</v>
      </c>
      <c r="C34" s="419" t="s">
        <v>136</v>
      </c>
      <c r="D34" s="420" t="s">
        <v>658</v>
      </c>
      <c r="E34" s="421">
        <f>2421+1-11-107</f>
        <v>2304</v>
      </c>
      <c r="F34" s="421"/>
      <c r="G34" s="421"/>
      <c r="H34" s="421"/>
      <c r="I34" s="421">
        <f t="shared" si="2"/>
        <v>2304</v>
      </c>
      <c r="J34" s="422"/>
      <c r="K34" s="422"/>
      <c r="L34" s="421">
        <f t="shared" si="1"/>
        <v>2304</v>
      </c>
      <c r="M34" s="415"/>
      <c r="O34" s="444"/>
    </row>
    <row r="35" spans="1:15" x14ac:dyDescent="0.2">
      <c r="A35" s="418">
        <v>31</v>
      </c>
      <c r="B35" s="449" t="s">
        <v>137</v>
      </c>
      <c r="C35" s="419" t="s">
        <v>138</v>
      </c>
      <c r="D35" s="420" t="s">
        <v>658</v>
      </c>
      <c r="E35" s="421">
        <f>3330-62-8-125+50</f>
        <v>3185</v>
      </c>
      <c r="F35" s="421">
        <f>15+5-3</f>
        <v>17</v>
      </c>
      <c r="G35" s="421"/>
      <c r="H35" s="421"/>
      <c r="I35" s="421">
        <f t="shared" si="2"/>
        <v>3168</v>
      </c>
      <c r="J35" s="422"/>
      <c r="K35" s="422"/>
      <c r="L35" s="421">
        <f t="shared" si="1"/>
        <v>3185</v>
      </c>
      <c r="M35" s="415"/>
      <c r="O35" s="444"/>
    </row>
    <row r="36" spans="1:15" x14ac:dyDescent="0.2">
      <c r="A36" s="418">
        <v>32</v>
      </c>
      <c r="B36" s="450" t="s">
        <v>35</v>
      </c>
      <c r="C36" s="419" t="s">
        <v>36</v>
      </c>
      <c r="D36" s="420" t="s">
        <v>658</v>
      </c>
      <c r="E36" s="421">
        <f>2643-42-114</f>
        <v>2487</v>
      </c>
      <c r="F36" s="421"/>
      <c r="G36" s="421"/>
      <c r="H36" s="421"/>
      <c r="I36" s="421">
        <f t="shared" si="2"/>
        <v>2487</v>
      </c>
      <c r="J36" s="422"/>
      <c r="K36" s="422"/>
      <c r="L36" s="421">
        <f t="shared" si="1"/>
        <v>2487</v>
      </c>
      <c r="M36" s="415"/>
      <c r="O36" s="444"/>
    </row>
    <row r="37" spans="1:15" x14ac:dyDescent="0.2">
      <c r="A37" s="418">
        <v>33</v>
      </c>
      <c r="B37" s="451" t="s">
        <v>84</v>
      </c>
      <c r="C37" s="419" t="s">
        <v>85</v>
      </c>
      <c r="D37" s="420" t="s">
        <v>658</v>
      </c>
      <c r="E37" s="421">
        <f>3053+1-28-134+50</f>
        <v>2942</v>
      </c>
      <c r="F37" s="421">
        <f>6-1</f>
        <v>5</v>
      </c>
      <c r="G37" s="421"/>
      <c r="H37" s="421"/>
      <c r="I37" s="421">
        <f t="shared" si="2"/>
        <v>2937</v>
      </c>
      <c r="J37" s="422"/>
      <c r="K37" s="422"/>
      <c r="L37" s="421">
        <f t="shared" si="1"/>
        <v>2942</v>
      </c>
      <c r="M37" s="415"/>
      <c r="O37" s="444"/>
    </row>
    <row r="38" spans="1:15" x14ac:dyDescent="0.2">
      <c r="A38" s="418">
        <v>34</v>
      </c>
      <c r="B38" s="452" t="s">
        <v>67</v>
      </c>
      <c r="C38" s="419" t="s">
        <v>159</v>
      </c>
      <c r="D38" s="420" t="s">
        <v>658</v>
      </c>
      <c r="E38" s="421">
        <f>3319-139-152+50</f>
        <v>3078</v>
      </c>
      <c r="F38" s="421"/>
      <c r="G38" s="421"/>
      <c r="H38" s="421"/>
      <c r="I38" s="421">
        <f t="shared" si="2"/>
        <v>3078</v>
      </c>
      <c r="J38" s="422"/>
      <c r="K38" s="422"/>
      <c r="L38" s="421">
        <f t="shared" si="1"/>
        <v>3078</v>
      </c>
      <c r="M38" s="415"/>
      <c r="O38" s="444"/>
    </row>
    <row r="39" spans="1:15" x14ac:dyDescent="0.2">
      <c r="A39" s="418">
        <v>35</v>
      </c>
      <c r="B39" s="450" t="s">
        <v>141</v>
      </c>
      <c r="C39" s="419" t="s">
        <v>142</v>
      </c>
      <c r="D39" s="420" t="s">
        <v>658</v>
      </c>
      <c r="E39" s="421">
        <f>1958-19-88+100</f>
        <v>1951</v>
      </c>
      <c r="F39" s="421">
        <v>1</v>
      </c>
      <c r="G39" s="421"/>
      <c r="H39" s="421"/>
      <c r="I39" s="421">
        <f t="shared" si="2"/>
        <v>1950</v>
      </c>
      <c r="J39" s="422"/>
      <c r="K39" s="422"/>
      <c r="L39" s="421">
        <f t="shared" si="1"/>
        <v>1951</v>
      </c>
      <c r="M39" s="415"/>
      <c r="O39" s="444"/>
    </row>
    <row r="40" spans="1:15" x14ac:dyDescent="0.2">
      <c r="A40" s="418">
        <v>36</v>
      </c>
      <c r="B40" s="450" t="s">
        <v>86</v>
      </c>
      <c r="C40" s="419" t="s">
        <v>163</v>
      </c>
      <c r="D40" s="420" t="s">
        <v>658</v>
      </c>
      <c r="E40" s="421">
        <f>4260-29-4-125-34-183+300</f>
        <v>4185</v>
      </c>
      <c r="F40" s="421"/>
      <c r="G40" s="421"/>
      <c r="H40" s="421"/>
      <c r="I40" s="421">
        <f t="shared" si="2"/>
        <v>4185</v>
      </c>
      <c r="J40" s="422"/>
      <c r="K40" s="422"/>
      <c r="L40" s="421">
        <f t="shared" si="1"/>
        <v>4185</v>
      </c>
      <c r="M40" s="415"/>
      <c r="O40" s="444"/>
    </row>
    <row r="41" spans="1:15" x14ac:dyDescent="0.2">
      <c r="A41" s="418">
        <v>37</v>
      </c>
      <c r="B41" s="449" t="s">
        <v>68</v>
      </c>
      <c r="C41" s="419" t="s">
        <v>160</v>
      </c>
      <c r="D41" s="420" t="s">
        <v>658</v>
      </c>
      <c r="E41" s="421">
        <f>2016-59-88</f>
        <v>1869</v>
      </c>
      <c r="F41" s="421"/>
      <c r="G41" s="421"/>
      <c r="H41" s="421"/>
      <c r="I41" s="421">
        <f t="shared" si="2"/>
        <v>1869</v>
      </c>
      <c r="J41" s="422"/>
      <c r="K41" s="422"/>
      <c r="L41" s="421">
        <f t="shared" si="1"/>
        <v>1869</v>
      </c>
      <c r="M41" s="415"/>
      <c r="O41" s="444"/>
    </row>
    <row r="42" spans="1:15" x14ac:dyDescent="0.2">
      <c r="A42" s="418">
        <v>38</v>
      </c>
      <c r="B42" s="449" t="s">
        <v>69</v>
      </c>
      <c r="C42" s="419" t="s">
        <v>70</v>
      </c>
      <c r="D42" s="420" t="s">
        <v>658</v>
      </c>
      <c r="E42" s="421">
        <f>2774-4-45-119+100</f>
        <v>2706</v>
      </c>
      <c r="F42" s="421"/>
      <c r="G42" s="421"/>
      <c r="H42" s="421"/>
      <c r="I42" s="421">
        <f t="shared" si="2"/>
        <v>2706</v>
      </c>
      <c r="J42" s="422"/>
      <c r="K42" s="422"/>
      <c r="L42" s="421">
        <f t="shared" si="1"/>
        <v>2706</v>
      </c>
      <c r="M42" s="415"/>
      <c r="O42" s="444"/>
    </row>
    <row r="43" spans="1:15" x14ac:dyDescent="0.2">
      <c r="A43" s="418">
        <v>39</v>
      </c>
      <c r="B43" s="450" t="s">
        <v>174</v>
      </c>
      <c r="C43" s="419" t="s">
        <v>175</v>
      </c>
      <c r="D43" s="420" t="s">
        <v>658</v>
      </c>
      <c r="E43" s="421">
        <f>1562-11-69</f>
        <v>1482</v>
      </c>
      <c r="F43" s="421"/>
      <c r="G43" s="421"/>
      <c r="H43" s="421"/>
      <c r="I43" s="421">
        <f t="shared" si="2"/>
        <v>1482</v>
      </c>
      <c r="J43" s="422"/>
      <c r="K43" s="422"/>
      <c r="L43" s="421">
        <f t="shared" si="1"/>
        <v>1482</v>
      </c>
      <c r="M43" s="415"/>
      <c r="O43" s="444"/>
    </row>
    <row r="44" spans="1:15" x14ac:dyDescent="0.2">
      <c r="A44" s="418">
        <v>40</v>
      </c>
      <c r="B44" s="450" t="s">
        <v>143</v>
      </c>
      <c r="C44" s="419" t="s">
        <v>144</v>
      </c>
      <c r="D44" s="420" t="s">
        <v>658</v>
      </c>
      <c r="E44" s="421">
        <f>2848+1-1-72-119+50</f>
        <v>2707</v>
      </c>
      <c r="F44" s="421">
        <f>2-1</f>
        <v>1</v>
      </c>
      <c r="G44" s="421"/>
      <c r="H44" s="421"/>
      <c r="I44" s="421">
        <f t="shared" si="2"/>
        <v>2706</v>
      </c>
      <c r="J44" s="422"/>
      <c r="K44" s="422"/>
      <c r="L44" s="421">
        <f t="shared" si="1"/>
        <v>2707</v>
      </c>
      <c r="M44" s="415"/>
      <c r="O44" s="444"/>
    </row>
    <row r="45" spans="1:15" x14ac:dyDescent="0.2">
      <c r="A45" s="418">
        <v>41</v>
      </c>
      <c r="B45" s="449" t="s">
        <v>145</v>
      </c>
      <c r="C45" s="419" t="s">
        <v>146</v>
      </c>
      <c r="D45" s="420" t="s">
        <v>658</v>
      </c>
      <c r="E45" s="421">
        <v>4182</v>
      </c>
      <c r="F45" s="421"/>
      <c r="G45" s="421"/>
      <c r="H45" s="421">
        <f>934-78</f>
        <v>856</v>
      </c>
      <c r="I45" s="421">
        <f t="shared" si="2"/>
        <v>3326</v>
      </c>
      <c r="J45" s="422"/>
      <c r="K45" s="422"/>
      <c r="L45" s="421">
        <f t="shared" si="1"/>
        <v>4182</v>
      </c>
      <c r="M45" s="415"/>
      <c r="O45" s="444"/>
    </row>
    <row r="46" spans="1:15" x14ac:dyDescent="0.2">
      <c r="A46" s="418">
        <v>42</v>
      </c>
      <c r="B46" s="450" t="s">
        <v>89</v>
      </c>
      <c r="C46" s="419" t="s">
        <v>164</v>
      </c>
      <c r="D46" s="420" t="s">
        <v>658</v>
      </c>
      <c r="E46" s="421">
        <f>2534-2-48-110+200</f>
        <v>2574</v>
      </c>
      <c r="F46" s="421">
        <f>4-2</f>
        <v>2</v>
      </c>
      <c r="G46" s="421"/>
      <c r="H46" s="421"/>
      <c r="I46" s="421">
        <f t="shared" si="2"/>
        <v>2572</v>
      </c>
      <c r="J46" s="422"/>
      <c r="K46" s="422"/>
      <c r="L46" s="421">
        <f t="shared" si="1"/>
        <v>2574</v>
      </c>
      <c r="M46" s="415"/>
      <c r="O46" s="444"/>
    </row>
    <row r="47" spans="1:15" x14ac:dyDescent="0.2">
      <c r="A47" s="418">
        <v>43</v>
      </c>
      <c r="B47" s="451" t="s">
        <v>147</v>
      </c>
      <c r="C47" s="419" t="s">
        <v>165</v>
      </c>
      <c r="D47" s="420" t="s">
        <v>658</v>
      </c>
      <c r="E47" s="421">
        <f>2097+1-57-90</f>
        <v>1951</v>
      </c>
      <c r="F47" s="421"/>
      <c r="G47" s="421"/>
      <c r="H47" s="421"/>
      <c r="I47" s="421">
        <f t="shared" si="2"/>
        <v>1951</v>
      </c>
      <c r="J47" s="422"/>
      <c r="K47" s="422"/>
      <c r="L47" s="421">
        <f t="shared" si="1"/>
        <v>1951</v>
      </c>
      <c r="M47" s="415"/>
      <c r="O47" s="444"/>
    </row>
    <row r="48" spans="1:15" x14ac:dyDescent="0.2">
      <c r="A48" s="418">
        <v>44</v>
      </c>
      <c r="B48" s="450" t="s">
        <v>37</v>
      </c>
      <c r="C48" s="419" t="s">
        <v>38</v>
      </c>
      <c r="D48" s="420" t="s">
        <v>658</v>
      </c>
      <c r="E48" s="421">
        <f>5186+1-105+2+1-225+1+150</f>
        <v>5011</v>
      </c>
      <c r="F48" s="421">
        <f>1+1</f>
        <v>2</v>
      </c>
      <c r="G48" s="421"/>
      <c r="H48" s="421"/>
      <c r="I48" s="421">
        <f t="shared" si="2"/>
        <v>5009</v>
      </c>
      <c r="J48" s="422"/>
      <c r="K48" s="422"/>
      <c r="L48" s="421">
        <f t="shared" si="1"/>
        <v>5011</v>
      </c>
      <c r="M48" s="415"/>
      <c r="O48" s="444"/>
    </row>
    <row r="49" spans="1:15" x14ac:dyDescent="0.2">
      <c r="A49" s="418">
        <v>45</v>
      </c>
      <c r="B49" s="449" t="s">
        <v>110</v>
      </c>
      <c r="C49" s="419" t="s">
        <v>660</v>
      </c>
      <c r="D49" s="415" t="s">
        <v>658</v>
      </c>
      <c r="E49" s="421">
        <f>875-53-167</f>
        <v>655</v>
      </c>
      <c r="F49" s="421"/>
      <c r="G49" s="421"/>
      <c r="H49" s="421"/>
      <c r="I49" s="421">
        <f t="shared" si="2"/>
        <v>655</v>
      </c>
      <c r="J49" s="422"/>
      <c r="K49" s="422"/>
      <c r="L49" s="421">
        <f t="shared" si="1"/>
        <v>655</v>
      </c>
      <c r="M49" s="415"/>
      <c r="O49" s="444"/>
    </row>
    <row r="50" spans="1:15" x14ac:dyDescent="0.2">
      <c r="A50" s="418">
        <v>46</v>
      </c>
      <c r="B50" s="449" t="s">
        <v>108</v>
      </c>
      <c r="C50" s="419" t="s">
        <v>661</v>
      </c>
      <c r="D50" s="415" t="s">
        <v>662</v>
      </c>
      <c r="E50" s="421">
        <f>3617+340+800+50-79</f>
        <v>4728</v>
      </c>
      <c r="F50" s="421"/>
      <c r="G50" s="421">
        <f>794-198-206-11+21</f>
        <v>400</v>
      </c>
      <c r="H50" s="421">
        <f>2119+4+11+800-121-21-55</f>
        <v>2737</v>
      </c>
      <c r="I50" s="421">
        <f t="shared" si="2"/>
        <v>1591</v>
      </c>
      <c r="J50" s="422"/>
      <c r="K50" s="422"/>
      <c r="L50" s="421">
        <f t="shared" si="1"/>
        <v>4728</v>
      </c>
      <c r="M50" s="415"/>
      <c r="O50" s="444"/>
    </row>
    <row r="51" spans="1:15" x14ac:dyDescent="0.2">
      <c r="A51" s="418">
        <v>47</v>
      </c>
      <c r="B51" s="450" t="s">
        <v>54</v>
      </c>
      <c r="C51" s="419" t="s">
        <v>663</v>
      </c>
      <c r="D51" s="415" t="s">
        <v>662</v>
      </c>
      <c r="E51" s="421">
        <f>5542-304</f>
        <v>5238</v>
      </c>
      <c r="F51" s="421"/>
      <c r="G51" s="421"/>
      <c r="H51" s="421"/>
      <c r="I51" s="421">
        <f t="shared" si="2"/>
        <v>5238</v>
      </c>
      <c r="J51" s="422"/>
      <c r="K51" s="422"/>
      <c r="L51" s="421">
        <f t="shared" si="1"/>
        <v>5238</v>
      </c>
      <c r="M51" s="415"/>
      <c r="O51" s="444"/>
    </row>
    <row r="52" spans="1:15" x14ac:dyDescent="0.2">
      <c r="A52" s="418">
        <v>48</v>
      </c>
      <c r="B52" s="453" t="s">
        <v>338</v>
      </c>
      <c r="C52" s="419" t="s">
        <v>339</v>
      </c>
      <c r="D52" s="415" t="s">
        <v>662</v>
      </c>
      <c r="E52" s="421"/>
      <c r="F52" s="421"/>
      <c r="G52" s="421"/>
      <c r="H52" s="421"/>
      <c r="I52" s="421"/>
      <c r="J52" s="422"/>
      <c r="K52" s="422"/>
      <c r="L52" s="420"/>
      <c r="M52" s="421">
        <f>3543-200-704-442</f>
        <v>2197</v>
      </c>
      <c r="O52" s="444"/>
    </row>
    <row r="53" spans="1:15" x14ac:dyDescent="0.2">
      <c r="A53" s="418">
        <v>49</v>
      </c>
      <c r="B53" s="454" t="s">
        <v>340</v>
      </c>
      <c r="C53" s="419" t="s">
        <v>664</v>
      </c>
      <c r="D53" s="415" t="s">
        <v>662</v>
      </c>
      <c r="E53" s="421"/>
      <c r="F53" s="421"/>
      <c r="G53" s="421"/>
      <c r="H53" s="421"/>
      <c r="I53" s="421"/>
      <c r="J53" s="422"/>
      <c r="K53" s="422"/>
      <c r="L53" s="420"/>
      <c r="M53" s="421">
        <f>2092+200-838-454</f>
        <v>1000</v>
      </c>
      <c r="O53" s="444"/>
    </row>
    <row r="54" spans="1:15" x14ac:dyDescent="0.2">
      <c r="A54" s="424">
        <v>50</v>
      </c>
      <c r="B54" s="450" t="s">
        <v>11</v>
      </c>
      <c r="C54" s="419" t="s">
        <v>8</v>
      </c>
      <c r="D54" s="420" t="s">
        <v>662</v>
      </c>
      <c r="E54" s="421">
        <f>21976+800+1000+1300-1000</f>
        <v>24076</v>
      </c>
      <c r="F54" s="421"/>
      <c r="G54" s="421"/>
      <c r="H54" s="421">
        <f>14545+1000+1300-381</f>
        <v>16464</v>
      </c>
      <c r="I54" s="421">
        <f>E54-F54-G54-H54</f>
        <v>7612</v>
      </c>
      <c r="J54" s="422"/>
      <c r="K54" s="422"/>
      <c r="L54" s="421">
        <f t="shared" ref="L54:L70" si="3">E54+J54</f>
        <v>24076</v>
      </c>
      <c r="M54" s="415"/>
      <c r="O54" s="444"/>
    </row>
    <row r="55" spans="1:15" x14ac:dyDescent="0.2">
      <c r="A55" s="424">
        <v>51</v>
      </c>
      <c r="B55" s="450" t="s">
        <v>192</v>
      </c>
      <c r="C55" s="419" t="s">
        <v>308</v>
      </c>
      <c r="D55" s="420" t="s">
        <v>662</v>
      </c>
      <c r="E55" s="421">
        <v>2</v>
      </c>
      <c r="F55" s="421"/>
      <c r="G55" s="421"/>
      <c r="H55" s="421"/>
      <c r="I55" s="421">
        <v>2</v>
      </c>
      <c r="J55" s="422"/>
      <c r="K55" s="422"/>
      <c r="L55" s="421">
        <f t="shared" si="3"/>
        <v>2</v>
      </c>
      <c r="M55" s="415"/>
      <c r="O55" s="444"/>
    </row>
    <row r="56" spans="1:15" x14ac:dyDescent="0.2">
      <c r="A56" s="424">
        <v>52</v>
      </c>
      <c r="B56" s="449" t="s">
        <v>75</v>
      </c>
      <c r="C56" s="419" t="s">
        <v>76</v>
      </c>
      <c r="D56" s="420" t="s">
        <v>665</v>
      </c>
      <c r="E56" s="421">
        <f>13060-15+500-100</f>
        <v>13445</v>
      </c>
      <c r="F56" s="421">
        <f>47-15-20</f>
        <v>12</v>
      </c>
      <c r="G56" s="421"/>
      <c r="H56" s="421">
        <f>2931+639+20+500-328-100-423</f>
        <v>3239</v>
      </c>
      <c r="I56" s="421">
        <f>E56-F56-G56-H56</f>
        <v>10194</v>
      </c>
      <c r="J56" s="422"/>
      <c r="K56" s="422"/>
      <c r="L56" s="421">
        <f t="shared" si="3"/>
        <v>13445</v>
      </c>
      <c r="M56" s="415"/>
      <c r="O56" s="444"/>
    </row>
    <row r="57" spans="1:15" x14ac:dyDescent="0.2">
      <c r="A57" s="424">
        <v>53</v>
      </c>
      <c r="B57" s="450" t="s">
        <v>22</v>
      </c>
      <c r="C57" s="419" t="s">
        <v>23</v>
      </c>
      <c r="D57" s="420" t="s">
        <v>665</v>
      </c>
      <c r="E57" s="421">
        <f>8826-1-250</f>
        <v>8575</v>
      </c>
      <c r="F57" s="421">
        <f>3-3</f>
        <v>0</v>
      </c>
      <c r="G57" s="421"/>
      <c r="H57" s="421">
        <f>1136+3+481-250-48</f>
        <v>1322</v>
      </c>
      <c r="I57" s="421">
        <f>E57-F57-G57-H57</f>
        <v>7253</v>
      </c>
      <c r="J57" s="422"/>
      <c r="K57" s="422"/>
      <c r="L57" s="421">
        <f t="shared" si="3"/>
        <v>8575</v>
      </c>
      <c r="M57" s="415"/>
      <c r="O57" s="444"/>
    </row>
    <row r="58" spans="1:15" x14ac:dyDescent="0.2">
      <c r="A58" s="424">
        <v>54</v>
      </c>
      <c r="B58" s="450" t="s">
        <v>106</v>
      </c>
      <c r="C58" s="419" t="s">
        <v>666</v>
      </c>
      <c r="D58" s="420" t="s">
        <v>665</v>
      </c>
      <c r="E58" s="421">
        <f>9207-106+4+5+290+9+313+1000-184</f>
        <v>10538</v>
      </c>
      <c r="F58" s="421">
        <f>11-4-4</f>
        <v>3</v>
      </c>
      <c r="G58" s="421"/>
      <c r="H58" s="421">
        <f>6050+696+4+1000+90-180</f>
        <v>7660</v>
      </c>
      <c r="I58" s="421">
        <f>E58-F58-G58-H58</f>
        <v>2875</v>
      </c>
      <c r="J58" s="422"/>
      <c r="K58" s="422"/>
      <c r="L58" s="421">
        <f t="shared" si="3"/>
        <v>10538</v>
      </c>
      <c r="M58" s="415"/>
      <c r="O58" s="444"/>
    </row>
    <row r="59" spans="1:15" x14ac:dyDescent="0.2">
      <c r="A59" s="424">
        <v>55</v>
      </c>
      <c r="B59" s="449" t="s">
        <v>28</v>
      </c>
      <c r="C59" s="419" t="s">
        <v>155</v>
      </c>
      <c r="D59" s="420" t="s">
        <v>665</v>
      </c>
      <c r="E59" s="421">
        <f>7852+1-8-40</f>
        <v>7805</v>
      </c>
      <c r="F59" s="421">
        <f>12-8</f>
        <v>4</v>
      </c>
      <c r="G59" s="421"/>
      <c r="H59" s="421">
        <f>264+540-264-10</f>
        <v>530</v>
      </c>
      <c r="I59" s="421">
        <f t="shared" ref="I59:I66" si="4">E59-F59-G59-H59</f>
        <v>7271</v>
      </c>
      <c r="J59" s="422"/>
      <c r="K59" s="422"/>
      <c r="L59" s="421">
        <f t="shared" si="3"/>
        <v>7805</v>
      </c>
      <c r="M59" s="415"/>
      <c r="O59" s="444"/>
    </row>
    <row r="60" spans="1:15" x14ac:dyDescent="0.2">
      <c r="A60" s="424">
        <v>56</v>
      </c>
      <c r="B60" s="450" t="s">
        <v>62</v>
      </c>
      <c r="C60" s="419" t="s">
        <v>63</v>
      </c>
      <c r="D60" s="420" t="s">
        <v>665</v>
      </c>
      <c r="E60" s="421">
        <f>10618-30-115+90-438</f>
        <v>10125</v>
      </c>
      <c r="F60" s="421">
        <f>82-30-6</f>
        <v>46</v>
      </c>
      <c r="G60" s="421"/>
      <c r="H60" s="421">
        <v>63</v>
      </c>
      <c r="I60" s="421">
        <f t="shared" si="4"/>
        <v>10016</v>
      </c>
      <c r="J60" s="422"/>
      <c r="K60" s="422"/>
      <c r="L60" s="421">
        <f t="shared" si="3"/>
        <v>10125</v>
      </c>
      <c r="M60" s="415"/>
      <c r="O60" s="444"/>
    </row>
    <row r="61" spans="1:15" x14ac:dyDescent="0.2">
      <c r="A61" s="424">
        <v>57</v>
      </c>
      <c r="B61" s="449" t="s">
        <v>66</v>
      </c>
      <c r="C61" s="419" t="s">
        <v>158</v>
      </c>
      <c r="D61" s="420" t="s">
        <v>665</v>
      </c>
      <c r="E61" s="421">
        <f>10456+1+1+2-240+1+1+1</f>
        <v>10223</v>
      </c>
      <c r="F61" s="421">
        <f>579-240-37</f>
        <v>302</v>
      </c>
      <c r="G61" s="421"/>
      <c r="H61" s="421">
        <f>1000+1163+37-517-181</f>
        <v>1502</v>
      </c>
      <c r="I61" s="421">
        <f t="shared" si="4"/>
        <v>8419</v>
      </c>
      <c r="J61" s="422"/>
      <c r="K61" s="422"/>
      <c r="L61" s="421">
        <f t="shared" si="3"/>
        <v>10223</v>
      </c>
      <c r="M61" s="415"/>
      <c r="O61" s="444"/>
    </row>
    <row r="62" spans="1:15" x14ac:dyDescent="0.2">
      <c r="A62" s="424">
        <v>58</v>
      </c>
      <c r="B62" s="450" t="s">
        <v>5</v>
      </c>
      <c r="C62" s="419" t="s">
        <v>667</v>
      </c>
      <c r="D62" s="420" t="s">
        <v>665</v>
      </c>
      <c r="E62" s="421">
        <f>15125-1-45-184-1050-433</f>
        <v>13412</v>
      </c>
      <c r="F62" s="421">
        <f>241-184-6</f>
        <v>51</v>
      </c>
      <c r="G62" s="421"/>
      <c r="H62" s="421">
        <f>740+1201+1242+6+138-690-433-78</f>
        <v>2126</v>
      </c>
      <c r="I62" s="421">
        <f t="shared" si="4"/>
        <v>11235</v>
      </c>
      <c r="J62" s="421"/>
      <c r="K62" s="421"/>
      <c r="L62" s="421">
        <f t="shared" si="3"/>
        <v>13412</v>
      </c>
      <c r="M62" s="425"/>
      <c r="O62" s="444"/>
    </row>
    <row r="63" spans="1:15" x14ac:dyDescent="0.2">
      <c r="A63" s="424">
        <v>59</v>
      </c>
      <c r="B63" s="450" t="s">
        <v>87</v>
      </c>
      <c r="C63" s="419" t="s">
        <v>88</v>
      </c>
      <c r="D63" s="420" t="s">
        <v>665</v>
      </c>
      <c r="E63" s="421">
        <f>15076+1-210+2</f>
        <v>14869</v>
      </c>
      <c r="F63" s="421">
        <f>457+1-210+2-92</f>
        <v>158</v>
      </c>
      <c r="G63" s="421"/>
      <c r="H63" s="421">
        <f>2261+1408+92-315-110</f>
        <v>3336</v>
      </c>
      <c r="I63" s="421">
        <f t="shared" si="4"/>
        <v>11375</v>
      </c>
      <c r="J63" s="422"/>
      <c r="K63" s="422"/>
      <c r="L63" s="421">
        <f t="shared" si="3"/>
        <v>14869</v>
      </c>
      <c r="M63" s="425"/>
      <c r="O63" s="444"/>
    </row>
    <row r="64" spans="1:15" x14ac:dyDescent="0.2">
      <c r="A64" s="424">
        <v>60</v>
      </c>
      <c r="B64" s="449" t="s">
        <v>49</v>
      </c>
      <c r="C64" s="426" t="s">
        <v>50</v>
      </c>
      <c r="D64" s="420" t="s">
        <v>665</v>
      </c>
      <c r="E64" s="421">
        <f>9339-112</f>
        <v>9227</v>
      </c>
      <c r="F64" s="421">
        <f>25+2</f>
        <v>27</v>
      </c>
      <c r="G64" s="421">
        <v>233</v>
      </c>
      <c r="H64" s="421">
        <f>1305+500-109-112-210-2</f>
        <v>1372</v>
      </c>
      <c r="I64" s="421">
        <f t="shared" si="4"/>
        <v>7595</v>
      </c>
      <c r="J64" s="422"/>
      <c r="K64" s="422"/>
      <c r="L64" s="421">
        <f t="shared" si="3"/>
        <v>9227</v>
      </c>
      <c r="M64" s="425"/>
      <c r="O64" s="444"/>
    </row>
    <row r="65" spans="1:15" x14ac:dyDescent="0.2">
      <c r="A65" s="424">
        <v>61</v>
      </c>
      <c r="B65" s="450" t="s">
        <v>118</v>
      </c>
      <c r="C65" s="419" t="s">
        <v>668</v>
      </c>
      <c r="D65" s="420" t="s">
        <v>665</v>
      </c>
      <c r="E65" s="421">
        <f>6826+200</f>
        <v>7026</v>
      </c>
      <c r="F65" s="421">
        <v>6</v>
      </c>
      <c r="G65" s="421">
        <f>533+200</f>
        <v>733</v>
      </c>
      <c r="H65" s="421"/>
      <c r="I65" s="421">
        <f t="shared" si="4"/>
        <v>6287</v>
      </c>
      <c r="J65" s="422"/>
      <c r="K65" s="422"/>
      <c r="L65" s="421">
        <f t="shared" si="3"/>
        <v>7026</v>
      </c>
      <c r="M65" s="425"/>
      <c r="O65" s="444"/>
    </row>
    <row r="66" spans="1:15" x14ac:dyDescent="0.2">
      <c r="A66" s="424">
        <v>62</v>
      </c>
      <c r="B66" s="450" t="s">
        <v>322</v>
      </c>
      <c r="C66" s="419" t="s">
        <v>669</v>
      </c>
      <c r="D66" s="420" t="s">
        <v>670</v>
      </c>
      <c r="E66" s="421">
        <f>718-44-60-40-8</f>
        <v>566</v>
      </c>
      <c r="F66" s="421"/>
      <c r="G66" s="421"/>
      <c r="H66" s="421"/>
      <c r="I66" s="421">
        <f t="shared" si="4"/>
        <v>566</v>
      </c>
      <c r="J66" s="420">
        <f>280+27+60-15</f>
        <v>352</v>
      </c>
      <c r="K66" s="420"/>
      <c r="L66" s="421">
        <f t="shared" si="3"/>
        <v>918</v>
      </c>
      <c r="M66" s="425"/>
      <c r="O66" s="444"/>
    </row>
    <row r="67" spans="1:15" x14ac:dyDescent="0.2">
      <c r="A67" s="527">
        <v>63</v>
      </c>
      <c r="B67" s="455" t="s">
        <v>51</v>
      </c>
      <c r="C67" s="445" t="s">
        <v>671</v>
      </c>
      <c r="D67" s="428" t="s">
        <v>670</v>
      </c>
      <c r="E67" s="427">
        <f>E68+E69</f>
        <v>9333</v>
      </c>
      <c r="F67" s="427">
        <f>F68+F69</f>
        <v>22</v>
      </c>
      <c r="G67" s="427">
        <f>G68+G69</f>
        <v>198</v>
      </c>
      <c r="H67" s="427">
        <f>H68+H69</f>
        <v>2358</v>
      </c>
      <c r="I67" s="427">
        <f>I68+I69</f>
        <v>6755</v>
      </c>
      <c r="J67" s="428">
        <f>J69</f>
        <v>57</v>
      </c>
      <c r="K67" s="422"/>
      <c r="L67" s="427">
        <f t="shared" si="3"/>
        <v>9390</v>
      </c>
      <c r="M67" s="425"/>
      <c r="O67" s="444"/>
    </row>
    <row r="68" spans="1:15" x14ac:dyDescent="0.2">
      <c r="A68" s="528"/>
      <c r="B68" s="456"/>
      <c r="C68" s="429" t="s">
        <v>672</v>
      </c>
      <c r="D68" s="420" t="s">
        <v>665</v>
      </c>
      <c r="E68" s="421">
        <v>9276</v>
      </c>
      <c r="F68" s="421">
        <f>15+7</f>
        <v>22</v>
      </c>
      <c r="G68" s="421">
        <v>198</v>
      </c>
      <c r="H68" s="421">
        <f>3110-327-418-7</f>
        <v>2358</v>
      </c>
      <c r="I68" s="421">
        <f>E68-F68-G68-H68</f>
        <v>6698</v>
      </c>
      <c r="J68" s="420"/>
      <c r="K68" s="420"/>
      <c r="L68" s="421">
        <f t="shared" si="3"/>
        <v>9276</v>
      </c>
      <c r="M68" s="425"/>
      <c r="O68" s="444"/>
    </row>
    <row r="69" spans="1:15" x14ac:dyDescent="0.2">
      <c r="A69" s="529"/>
      <c r="B69" s="456"/>
      <c r="C69" s="424">
        <v>15062</v>
      </c>
      <c r="D69" s="420" t="s">
        <v>670</v>
      </c>
      <c r="E69" s="421">
        <v>57</v>
      </c>
      <c r="F69" s="421"/>
      <c r="G69" s="421"/>
      <c r="H69" s="421"/>
      <c r="I69" s="421">
        <f>E69-F69-G69-H69</f>
        <v>57</v>
      </c>
      <c r="J69" s="420">
        <v>57</v>
      </c>
      <c r="K69" s="420"/>
      <c r="L69" s="421">
        <f t="shared" si="3"/>
        <v>114</v>
      </c>
      <c r="M69" s="425"/>
      <c r="O69" s="444"/>
    </row>
    <row r="70" spans="1:15" x14ac:dyDescent="0.2">
      <c r="A70" s="504">
        <v>64</v>
      </c>
      <c r="B70" s="457" t="s">
        <v>56</v>
      </c>
      <c r="C70" s="446" t="s">
        <v>673</v>
      </c>
      <c r="D70" s="428" t="s">
        <v>670</v>
      </c>
      <c r="E70" s="427">
        <f t="shared" ref="E70:J70" si="5">E71+E72+E73</f>
        <v>11386</v>
      </c>
      <c r="F70" s="427">
        <f t="shared" si="5"/>
        <v>230</v>
      </c>
      <c r="G70" s="427">
        <f t="shared" si="5"/>
        <v>325</v>
      </c>
      <c r="H70" s="427">
        <f t="shared" si="5"/>
        <v>2326</v>
      </c>
      <c r="I70" s="427">
        <f t="shared" si="5"/>
        <v>8505</v>
      </c>
      <c r="J70" s="428">
        <f t="shared" si="5"/>
        <v>65</v>
      </c>
      <c r="K70" s="428"/>
      <c r="L70" s="427">
        <f t="shared" si="3"/>
        <v>11451</v>
      </c>
      <c r="M70" s="430"/>
      <c r="O70" s="444"/>
    </row>
    <row r="71" spans="1:15" ht="15" customHeight="1" x14ac:dyDescent="0.2">
      <c r="A71" s="504"/>
      <c r="B71" s="429"/>
      <c r="C71" s="429" t="s">
        <v>672</v>
      </c>
      <c r="D71" s="420" t="s">
        <v>662</v>
      </c>
      <c r="E71" s="421">
        <f>9959-1+1-1-2+2+2-5+74+480+1-100-400-1</f>
        <v>10009</v>
      </c>
      <c r="F71" s="421">
        <f>229+1+2+2-5+1</f>
        <v>230</v>
      </c>
      <c r="G71" s="421">
        <v>325</v>
      </c>
      <c r="H71" s="421">
        <f>2443+170+480-250-400-117</f>
        <v>2326</v>
      </c>
      <c r="I71" s="421">
        <f>E71-F71-G71-H71</f>
        <v>7128</v>
      </c>
      <c r="J71" s="422"/>
      <c r="K71" s="422"/>
      <c r="L71" s="421">
        <f>L70-L72-L73</f>
        <v>10009</v>
      </c>
      <c r="M71" s="425"/>
      <c r="O71" s="444"/>
    </row>
    <row r="72" spans="1:15" ht="14.25" customHeight="1" x14ac:dyDescent="0.2">
      <c r="A72" s="504"/>
      <c r="B72" s="429"/>
      <c r="C72" s="429">
        <v>10027</v>
      </c>
      <c r="D72" s="420" t="s">
        <v>670</v>
      </c>
      <c r="E72" s="420">
        <v>256</v>
      </c>
      <c r="F72" s="420"/>
      <c r="G72" s="420"/>
      <c r="H72" s="420"/>
      <c r="I72" s="420">
        <f>E72-F72-G72</f>
        <v>256</v>
      </c>
      <c r="J72" s="420">
        <v>65</v>
      </c>
      <c r="K72" s="420"/>
      <c r="L72" s="420">
        <f>E72+J72</f>
        <v>321</v>
      </c>
      <c r="M72" s="415"/>
      <c r="O72" s="444"/>
    </row>
    <row r="73" spans="1:15" x14ac:dyDescent="0.2">
      <c r="A73" s="504"/>
      <c r="B73" s="429"/>
      <c r="C73" s="429">
        <v>10012</v>
      </c>
      <c r="D73" s="490" t="s">
        <v>658</v>
      </c>
      <c r="E73" s="509">
        <v>1121</v>
      </c>
      <c r="F73" s="498"/>
      <c r="G73" s="498"/>
      <c r="H73" s="498"/>
      <c r="I73" s="498">
        <f>E73-F73-G73</f>
        <v>1121</v>
      </c>
      <c r="J73" s="521"/>
      <c r="K73" s="516"/>
      <c r="L73" s="509">
        <f>E73</f>
        <v>1121</v>
      </c>
      <c r="M73" s="510"/>
      <c r="O73" s="444"/>
    </row>
    <row r="74" spans="1:15" x14ac:dyDescent="0.2">
      <c r="A74" s="504"/>
      <c r="B74" s="429"/>
      <c r="C74" s="429">
        <v>10020</v>
      </c>
      <c r="D74" s="490"/>
      <c r="E74" s="509"/>
      <c r="F74" s="499"/>
      <c r="G74" s="499"/>
      <c r="H74" s="499"/>
      <c r="I74" s="499"/>
      <c r="J74" s="521"/>
      <c r="K74" s="520"/>
      <c r="L74" s="490"/>
      <c r="M74" s="511"/>
      <c r="O74" s="444"/>
    </row>
    <row r="75" spans="1:15" x14ac:dyDescent="0.2">
      <c r="A75" s="504"/>
      <c r="B75" s="429"/>
      <c r="C75" s="429">
        <v>10064</v>
      </c>
      <c r="D75" s="490"/>
      <c r="E75" s="509"/>
      <c r="F75" s="499"/>
      <c r="G75" s="499"/>
      <c r="H75" s="499"/>
      <c r="I75" s="499"/>
      <c r="J75" s="521"/>
      <c r="K75" s="520"/>
      <c r="L75" s="490"/>
      <c r="M75" s="511"/>
      <c r="O75" s="444"/>
    </row>
    <row r="76" spans="1:15" x14ac:dyDescent="0.2">
      <c r="A76" s="504"/>
      <c r="B76" s="429"/>
      <c r="C76" s="429">
        <v>10065</v>
      </c>
      <c r="D76" s="490"/>
      <c r="E76" s="509"/>
      <c r="F76" s="499"/>
      <c r="G76" s="499"/>
      <c r="H76" s="499"/>
      <c r="I76" s="499"/>
      <c r="J76" s="521"/>
      <c r="K76" s="520"/>
      <c r="L76" s="490"/>
      <c r="M76" s="511"/>
      <c r="O76" s="444"/>
    </row>
    <row r="77" spans="1:15" x14ac:dyDescent="0.2">
      <c r="A77" s="504"/>
      <c r="B77" s="429"/>
      <c r="C77" s="429">
        <v>10070</v>
      </c>
      <c r="D77" s="490"/>
      <c r="E77" s="509"/>
      <c r="F77" s="500"/>
      <c r="G77" s="500"/>
      <c r="H77" s="500"/>
      <c r="I77" s="500"/>
      <c r="J77" s="521"/>
      <c r="K77" s="517"/>
      <c r="L77" s="490"/>
      <c r="M77" s="511"/>
      <c r="O77" s="444"/>
    </row>
    <row r="78" spans="1:15" x14ac:dyDescent="0.2">
      <c r="A78" s="504">
        <v>65</v>
      </c>
      <c r="B78" s="457" t="s">
        <v>139</v>
      </c>
      <c r="C78" s="445" t="s">
        <v>140</v>
      </c>
      <c r="D78" s="428" t="s">
        <v>670</v>
      </c>
      <c r="E78" s="427">
        <f>E79+E80</f>
        <v>5427</v>
      </c>
      <c r="F78" s="427">
        <f>F79+F80</f>
        <v>190</v>
      </c>
      <c r="G78" s="427">
        <f>G79+G80</f>
        <v>374</v>
      </c>
      <c r="H78" s="427">
        <f>H79+H80</f>
        <v>845</v>
      </c>
      <c r="I78" s="427">
        <f>I79+I80</f>
        <v>4018</v>
      </c>
      <c r="J78" s="431">
        <f>J80+J81</f>
        <v>227</v>
      </c>
      <c r="K78" s="431"/>
      <c r="L78" s="427">
        <f>E78+J78</f>
        <v>5654</v>
      </c>
      <c r="M78" s="430"/>
      <c r="O78" s="444"/>
    </row>
    <row r="79" spans="1:15" ht="15" customHeight="1" x14ac:dyDescent="0.2">
      <c r="A79" s="504"/>
      <c r="B79" s="429"/>
      <c r="C79" s="429" t="s">
        <v>672</v>
      </c>
      <c r="D79" s="420" t="s">
        <v>662</v>
      </c>
      <c r="E79" s="421">
        <f>4160-150+150+60+180+50+2-20+3</f>
        <v>4435</v>
      </c>
      <c r="F79" s="421">
        <f>410-150-70</f>
        <v>190</v>
      </c>
      <c r="G79" s="421">
        <f>386-12</f>
        <v>374</v>
      </c>
      <c r="H79" s="421">
        <f>775+150-60-20</f>
        <v>845</v>
      </c>
      <c r="I79" s="421">
        <f>E79-F79-G79-H79</f>
        <v>3026</v>
      </c>
      <c r="J79" s="422"/>
      <c r="K79" s="422"/>
      <c r="L79" s="421">
        <f>L78-L80</f>
        <v>4435</v>
      </c>
      <c r="M79" s="425"/>
      <c r="O79" s="444"/>
    </row>
    <row r="80" spans="1:15" x14ac:dyDescent="0.2">
      <c r="A80" s="504"/>
      <c r="B80" s="429"/>
      <c r="C80" s="424">
        <v>6202</v>
      </c>
      <c r="D80" s="490" t="s">
        <v>670</v>
      </c>
      <c r="E80" s="514">
        <f>990+2</f>
        <v>992</v>
      </c>
      <c r="F80" s="514"/>
      <c r="G80" s="514"/>
      <c r="H80" s="514"/>
      <c r="I80" s="514">
        <f>E80-F80-G80</f>
        <v>992</v>
      </c>
      <c r="J80" s="432">
        <f>'[8]СВОД по ВМП'!$Q$24-2-24+3</f>
        <v>190</v>
      </c>
      <c r="K80" s="432"/>
      <c r="L80" s="498">
        <f>E80+J80+J81</f>
        <v>1219</v>
      </c>
      <c r="M80" s="522"/>
      <c r="O80" s="444"/>
    </row>
    <row r="81" spans="1:15" x14ac:dyDescent="0.2">
      <c r="A81" s="504"/>
      <c r="B81" s="429"/>
      <c r="C81" s="424">
        <v>6203</v>
      </c>
      <c r="D81" s="490"/>
      <c r="E81" s="519"/>
      <c r="F81" s="519"/>
      <c r="G81" s="519"/>
      <c r="H81" s="519"/>
      <c r="I81" s="519"/>
      <c r="J81" s="489">
        <f>'[8]СВОД по ВМП'!$Q$17+'[8]СВОД по ВМП'!$Q$26-3</f>
        <v>37</v>
      </c>
      <c r="K81" s="506"/>
      <c r="L81" s="499"/>
      <c r="M81" s="523"/>
      <c r="O81" s="444"/>
    </row>
    <row r="82" spans="1:15" ht="13.5" customHeight="1" x14ac:dyDescent="0.2">
      <c r="A82" s="504"/>
      <c r="B82" s="429"/>
      <c r="C82" s="424">
        <v>6204</v>
      </c>
      <c r="D82" s="490"/>
      <c r="E82" s="515"/>
      <c r="F82" s="515"/>
      <c r="G82" s="515"/>
      <c r="H82" s="515"/>
      <c r="I82" s="515"/>
      <c r="J82" s="490"/>
      <c r="K82" s="507"/>
      <c r="L82" s="500"/>
      <c r="M82" s="524"/>
      <c r="O82" s="444"/>
    </row>
    <row r="83" spans="1:15" x14ac:dyDescent="0.2">
      <c r="A83" s="504">
        <v>66</v>
      </c>
      <c r="B83" s="458" t="s">
        <v>44</v>
      </c>
      <c r="C83" s="445" t="s">
        <v>45</v>
      </c>
      <c r="D83" s="428" t="s">
        <v>670</v>
      </c>
      <c r="E83" s="427">
        <f>E84+E85</f>
        <v>17654</v>
      </c>
      <c r="F83" s="427">
        <f>F84+F85</f>
        <v>145</v>
      </c>
      <c r="G83" s="427">
        <f>G84+G85</f>
        <v>150</v>
      </c>
      <c r="H83" s="427">
        <f>H84+H85</f>
        <v>3735</v>
      </c>
      <c r="I83" s="427">
        <f>I84+I85</f>
        <v>13624</v>
      </c>
      <c r="J83" s="431">
        <f>J85+J86</f>
        <v>191</v>
      </c>
      <c r="K83" s="431"/>
      <c r="L83" s="427">
        <f>E83+J83</f>
        <v>17845</v>
      </c>
      <c r="M83" s="430"/>
      <c r="O83" s="444"/>
    </row>
    <row r="84" spans="1:15" ht="14.25" customHeight="1" x14ac:dyDescent="0.2">
      <c r="A84" s="504"/>
      <c r="B84" s="429"/>
      <c r="C84" s="429" t="s">
        <v>672</v>
      </c>
      <c r="D84" s="420" t="s">
        <v>662</v>
      </c>
      <c r="E84" s="421">
        <f>16800+1+1-40+2+1+100-201+21</f>
        <v>16685</v>
      </c>
      <c r="F84" s="421">
        <f>186+1+1-40+2+1-6</f>
        <v>145</v>
      </c>
      <c r="G84" s="421">
        <f>395-245</f>
        <v>150</v>
      </c>
      <c r="H84" s="421">
        <f>3102+960+245-195-377</f>
        <v>3735</v>
      </c>
      <c r="I84" s="421">
        <f>E84-F84-G84-H84</f>
        <v>12655</v>
      </c>
      <c r="J84" s="420"/>
      <c r="K84" s="420"/>
      <c r="L84" s="421">
        <f>L83-L85-L86</f>
        <v>16685</v>
      </c>
      <c r="M84" s="421"/>
      <c r="O84" s="444"/>
    </row>
    <row r="85" spans="1:15" x14ac:dyDescent="0.2">
      <c r="A85" s="504"/>
      <c r="B85" s="429"/>
      <c r="C85" s="424">
        <v>4132</v>
      </c>
      <c r="D85" s="490" t="s">
        <v>674</v>
      </c>
      <c r="E85" s="498">
        <f>479+595-5-100</f>
        <v>969</v>
      </c>
      <c r="F85" s="514"/>
      <c r="G85" s="514"/>
      <c r="H85" s="514"/>
      <c r="I85" s="498">
        <f>E85-F85-G85</f>
        <v>969</v>
      </c>
      <c r="J85" s="432">
        <f>'[8]СВОД по ВМП'!$AB$24-11</f>
        <v>168</v>
      </c>
      <c r="K85" s="432"/>
      <c r="L85" s="498">
        <f>E85+J85+J86</f>
        <v>1160</v>
      </c>
      <c r="M85" s="512"/>
      <c r="O85" s="444"/>
    </row>
    <row r="86" spans="1:15" x14ac:dyDescent="0.2">
      <c r="A86" s="504"/>
      <c r="B86" s="429"/>
      <c r="C86" s="424">
        <v>4017</v>
      </c>
      <c r="D86" s="490"/>
      <c r="E86" s="500"/>
      <c r="F86" s="515"/>
      <c r="G86" s="515"/>
      <c r="H86" s="515"/>
      <c r="I86" s="500"/>
      <c r="J86" s="432">
        <f>'[8]СВОД по ВМП'!$AB$26-10</f>
        <v>23</v>
      </c>
      <c r="K86" s="432"/>
      <c r="L86" s="500"/>
      <c r="M86" s="513"/>
      <c r="O86" s="444"/>
    </row>
    <row r="87" spans="1:15" s="447" customFormat="1" x14ac:dyDescent="0.2">
      <c r="A87" s="504">
        <v>67</v>
      </c>
      <c r="B87" s="458" t="s">
        <v>72</v>
      </c>
      <c r="C87" s="445" t="s">
        <v>675</v>
      </c>
      <c r="D87" s="428" t="s">
        <v>670</v>
      </c>
      <c r="E87" s="427">
        <f>E88+E89</f>
        <v>15016</v>
      </c>
      <c r="F87" s="427">
        <f>F88+F89</f>
        <v>423</v>
      </c>
      <c r="G87" s="427">
        <f>G88+G89</f>
        <v>489</v>
      </c>
      <c r="H87" s="427">
        <f>H88+H89</f>
        <v>1279</v>
      </c>
      <c r="I87" s="427">
        <f>I88+I89</f>
        <v>12825</v>
      </c>
      <c r="J87" s="428">
        <f>J89+J90+J91</f>
        <v>25</v>
      </c>
      <c r="K87" s="431">
        <f>K89+K90</f>
        <v>10</v>
      </c>
      <c r="L87" s="427">
        <f>E87+J87</f>
        <v>15041</v>
      </c>
      <c r="M87" s="430"/>
      <c r="O87" s="448"/>
    </row>
    <row r="88" spans="1:15" x14ac:dyDescent="0.2">
      <c r="A88" s="504"/>
      <c r="B88" s="429"/>
      <c r="C88" s="429" t="s">
        <v>672</v>
      </c>
      <c r="D88" s="420" t="s">
        <v>665</v>
      </c>
      <c r="E88" s="421">
        <f>14412+40-45-2-350-562-42-12</f>
        <v>13439</v>
      </c>
      <c r="F88" s="421">
        <f>27-12</f>
        <v>15</v>
      </c>
      <c r="G88" s="421">
        <f>661-204+32</f>
        <v>489</v>
      </c>
      <c r="H88" s="421">
        <f>327+1035+715+204-366-562-42-32</f>
        <v>1279</v>
      </c>
      <c r="I88" s="421">
        <f>E88-F88-G88-H88</f>
        <v>11656</v>
      </c>
      <c r="J88" s="422"/>
      <c r="K88" s="422"/>
      <c r="L88" s="421">
        <f>L87-L89-L90-L91</f>
        <v>13439</v>
      </c>
      <c r="M88" s="425"/>
      <c r="O88" s="444"/>
    </row>
    <row r="89" spans="1:15" x14ac:dyDescent="0.2">
      <c r="A89" s="504"/>
      <c r="B89" s="429"/>
      <c r="C89" s="424">
        <v>13023</v>
      </c>
      <c r="D89" s="490" t="s">
        <v>670</v>
      </c>
      <c r="E89" s="498">
        <f>1554+63+101-50+5-150+42+12</f>
        <v>1577</v>
      </c>
      <c r="F89" s="498">
        <f>240+63+101-50+42+12</f>
        <v>408</v>
      </c>
      <c r="G89" s="498"/>
      <c r="H89" s="498"/>
      <c r="I89" s="498">
        <f>E89-F89-G89</f>
        <v>1169</v>
      </c>
      <c r="J89" s="432">
        <f>'[8]СВОД по ВМП'!$AD$19</f>
        <v>10</v>
      </c>
      <c r="K89" s="432">
        <v>10</v>
      </c>
      <c r="L89" s="498">
        <f>E89+J89+J90</f>
        <v>1602</v>
      </c>
      <c r="M89" s="522"/>
      <c r="O89" s="444"/>
    </row>
    <row r="90" spans="1:15" x14ac:dyDescent="0.2">
      <c r="A90" s="504"/>
      <c r="B90" s="429"/>
      <c r="C90" s="424">
        <v>13013</v>
      </c>
      <c r="D90" s="490"/>
      <c r="E90" s="499"/>
      <c r="F90" s="499"/>
      <c r="G90" s="499"/>
      <c r="H90" s="499"/>
      <c r="I90" s="499"/>
      <c r="J90" s="489">
        <f>'[8]СВОД по ВМП'!$AD$26-5</f>
        <v>15</v>
      </c>
      <c r="K90" s="506"/>
      <c r="L90" s="519"/>
      <c r="M90" s="523"/>
      <c r="O90" s="444"/>
    </row>
    <row r="91" spans="1:15" x14ac:dyDescent="0.2">
      <c r="A91" s="504"/>
      <c r="B91" s="429"/>
      <c r="C91" s="424">
        <v>13012</v>
      </c>
      <c r="D91" s="490"/>
      <c r="E91" s="500"/>
      <c r="F91" s="500"/>
      <c r="G91" s="500"/>
      <c r="H91" s="500"/>
      <c r="I91" s="500"/>
      <c r="J91" s="490"/>
      <c r="K91" s="507"/>
      <c r="L91" s="515"/>
      <c r="M91" s="524"/>
      <c r="O91" s="444"/>
    </row>
    <row r="92" spans="1:15" s="447" customFormat="1" x14ac:dyDescent="0.2">
      <c r="A92" s="504">
        <v>68</v>
      </c>
      <c r="B92" s="458" t="s">
        <v>4</v>
      </c>
      <c r="C92" s="445" t="s">
        <v>676</v>
      </c>
      <c r="D92" s="428" t="s">
        <v>670</v>
      </c>
      <c r="E92" s="427">
        <f>E93+E94+E95</f>
        <v>21941</v>
      </c>
      <c r="F92" s="427">
        <f>F93+F94+F95</f>
        <v>338</v>
      </c>
      <c r="G92" s="427">
        <f>G93+G94+G95</f>
        <v>675</v>
      </c>
      <c r="H92" s="427">
        <f>H93+H94+H95</f>
        <v>3380</v>
      </c>
      <c r="I92" s="427">
        <f>I93+I94+I95</f>
        <v>17548</v>
      </c>
      <c r="J92" s="431">
        <f>J94</f>
        <v>162</v>
      </c>
      <c r="K92" s="431"/>
      <c r="L92" s="427">
        <f>E92+J92</f>
        <v>22103</v>
      </c>
      <c r="M92" s="430"/>
      <c r="O92" s="448"/>
    </row>
    <row r="93" spans="1:15" x14ac:dyDescent="0.2">
      <c r="A93" s="504"/>
      <c r="B93" s="429"/>
      <c r="C93" s="429" t="s">
        <v>672</v>
      </c>
      <c r="D93" s="420" t="s">
        <v>665</v>
      </c>
      <c r="E93" s="421">
        <f>20321-55+2+207+30-1-150+39</f>
        <v>20393</v>
      </c>
      <c r="F93" s="421">
        <f>318-55+30+6+39</f>
        <v>338</v>
      </c>
      <c r="G93" s="421">
        <v>675</v>
      </c>
      <c r="H93" s="421">
        <f>3235+410-150-109-6</f>
        <v>3380</v>
      </c>
      <c r="I93" s="421">
        <f>E93-F93-G93-H93</f>
        <v>16000</v>
      </c>
      <c r="J93" s="422"/>
      <c r="K93" s="422"/>
      <c r="L93" s="421">
        <f>L92-L94-L95</f>
        <v>20393</v>
      </c>
      <c r="M93" s="425"/>
      <c r="O93" s="444"/>
    </row>
    <row r="94" spans="1:15" x14ac:dyDescent="0.2">
      <c r="A94" s="504"/>
      <c r="B94" s="429"/>
      <c r="C94" s="424">
        <v>12232</v>
      </c>
      <c r="D94" s="420" t="s">
        <v>670</v>
      </c>
      <c r="E94" s="421">
        <f>374-5-207</f>
        <v>162</v>
      </c>
      <c r="F94" s="421"/>
      <c r="G94" s="421"/>
      <c r="H94" s="421"/>
      <c r="I94" s="421">
        <f>E94-F94-G94</f>
        <v>162</v>
      </c>
      <c r="J94" s="432">
        <f>'[8]СВОД по ВМП'!$AA$24</f>
        <v>162</v>
      </c>
      <c r="K94" s="432"/>
      <c r="L94" s="421">
        <f>E94+J94</f>
        <v>324</v>
      </c>
      <c r="M94" s="425"/>
      <c r="O94" s="444"/>
    </row>
    <row r="95" spans="1:15" x14ac:dyDescent="0.2">
      <c r="A95" s="504"/>
      <c r="B95" s="429"/>
      <c r="C95" s="424" t="s">
        <v>677</v>
      </c>
      <c r="D95" s="490" t="s">
        <v>658</v>
      </c>
      <c r="E95" s="509">
        <v>1386</v>
      </c>
      <c r="F95" s="498"/>
      <c r="G95" s="498"/>
      <c r="H95" s="498"/>
      <c r="I95" s="498">
        <f>E95-F95-G95</f>
        <v>1386</v>
      </c>
      <c r="J95" s="521"/>
      <c r="K95" s="516"/>
      <c r="L95" s="509">
        <f>E95+J95</f>
        <v>1386</v>
      </c>
      <c r="M95" s="510"/>
      <c r="O95" s="444"/>
    </row>
    <row r="96" spans="1:15" x14ac:dyDescent="0.2">
      <c r="A96" s="504"/>
      <c r="B96" s="429"/>
      <c r="C96" s="424" t="s">
        <v>678</v>
      </c>
      <c r="D96" s="490"/>
      <c r="E96" s="509"/>
      <c r="F96" s="499"/>
      <c r="G96" s="499"/>
      <c r="H96" s="499"/>
      <c r="I96" s="499"/>
      <c r="J96" s="521"/>
      <c r="K96" s="520"/>
      <c r="L96" s="490"/>
      <c r="M96" s="511"/>
      <c r="O96" s="444"/>
    </row>
    <row r="97" spans="1:15" x14ac:dyDescent="0.2">
      <c r="A97" s="504"/>
      <c r="B97" s="429"/>
      <c r="C97" s="424" t="s">
        <v>679</v>
      </c>
      <c r="D97" s="490"/>
      <c r="E97" s="509"/>
      <c r="F97" s="500"/>
      <c r="G97" s="500"/>
      <c r="H97" s="500"/>
      <c r="I97" s="500"/>
      <c r="J97" s="521"/>
      <c r="K97" s="517"/>
      <c r="L97" s="490"/>
      <c r="M97" s="511"/>
      <c r="O97" s="444"/>
    </row>
    <row r="98" spans="1:15" s="447" customFormat="1" x14ac:dyDescent="0.2">
      <c r="A98" s="504">
        <v>69</v>
      </c>
      <c r="B98" s="455" t="s">
        <v>58</v>
      </c>
      <c r="C98" s="446" t="s">
        <v>680</v>
      </c>
      <c r="D98" s="428" t="s">
        <v>670</v>
      </c>
      <c r="E98" s="427">
        <f>E99+E100</f>
        <v>17849</v>
      </c>
      <c r="F98" s="427">
        <f>F99+F101</f>
        <v>129</v>
      </c>
      <c r="G98" s="427">
        <f>G99+G101</f>
        <v>0</v>
      </c>
      <c r="H98" s="427">
        <f>H99+H101</f>
        <v>2188</v>
      </c>
      <c r="I98" s="427">
        <f>I99+I100</f>
        <v>15532</v>
      </c>
      <c r="J98" s="431">
        <f>J101+J100</f>
        <v>253</v>
      </c>
      <c r="K98" s="431"/>
      <c r="L98" s="427">
        <f>E98+J98</f>
        <v>18102</v>
      </c>
      <c r="M98" s="430"/>
      <c r="O98" s="448"/>
    </row>
    <row r="99" spans="1:15" x14ac:dyDescent="0.2">
      <c r="A99" s="504"/>
      <c r="B99" s="429"/>
      <c r="C99" s="429" t="s">
        <v>672</v>
      </c>
      <c r="D99" s="420" t="s">
        <v>662</v>
      </c>
      <c r="E99" s="421">
        <f>17305+20+2-152+4-30-480+80+28+200+3+2-350+7-6</f>
        <v>16633</v>
      </c>
      <c r="F99" s="421">
        <f>107+2-30+28+4+3+2+7+6</f>
        <v>129</v>
      </c>
      <c r="G99" s="421"/>
      <c r="H99" s="421">
        <f>1872+800-484</f>
        <v>2188</v>
      </c>
      <c r="I99" s="421">
        <f>E99-F99-G99-H99</f>
        <v>14316</v>
      </c>
      <c r="J99" s="422"/>
      <c r="K99" s="422"/>
      <c r="L99" s="421">
        <f>L98-L100-L102</f>
        <v>16633</v>
      </c>
      <c r="M99" s="433"/>
      <c r="O99" s="444"/>
    </row>
    <row r="100" spans="1:15" x14ac:dyDescent="0.2">
      <c r="A100" s="504"/>
      <c r="B100" s="429"/>
      <c r="C100" s="429">
        <v>14151</v>
      </c>
      <c r="D100" s="514" t="s">
        <v>670</v>
      </c>
      <c r="E100" s="498">
        <f>449+631+480-200-150+6</f>
        <v>1216</v>
      </c>
      <c r="F100" s="498"/>
      <c r="G100" s="498"/>
      <c r="H100" s="498"/>
      <c r="I100" s="498">
        <f>E100-F101-G101</f>
        <v>1216</v>
      </c>
      <c r="J100" s="420">
        <v>223</v>
      </c>
      <c r="K100" s="516"/>
      <c r="L100" s="498">
        <f>E100+E102+J101+J100</f>
        <v>1469</v>
      </c>
      <c r="M100" s="433"/>
      <c r="O100" s="444"/>
    </row>
    <row r="101" spans="1:15" x14ac:dyDescent="0.2">
      <c r="A101" s="504"/>
      <c r="B101" s="429"/>
      <c r="C101" s="429">
        <v>14029</v>
      </c>
      <c r="D101" s="519"/>
      <c r="E101" s="499"/>
      <c r="F101" s="499"/>
      <c r="G101" s="499"/>
      <c r="H101" s="499"/>
      <c r="I101" s="499"/>
      <c r="J101" s="489">
        <f>'[8]СВОД по ВМП'!$R$30</f>
        <v>30</v>
      </c>
      <c r="K101" s="520"/>
      <c r="L101" s="499"/>
      <c r="M101" s="510"/>
      <c r="O101" s="444"/>
    </row>
    <row r="102" spans="1:15" x14ac:dyDescent="0.2">
      <c r="A102" s="504"/>
      <c r="B102" s="429"/>
      <c r="C102" s="429">
        <v>14136</v>
      </c>
      <c r="D102" s="515"/>
      <c r="E102" s="500"/>
      <c r="F102" s="500"/>
      <c r="G102" s="500"/>
      <c r="H102" s="500"/>
      <c r="I102" s="500"/>
      <c r="J102" s="490"/>
      <c r="K102" s="517"/>
      <c r="L102" s="500"/>
      <c r="M102" s="511"/>
      <c r="O102" s="444"/>
    </row>
    <row r="103" spans="1:15" s="447" customFormat="1" x14ac:dyDescent="0.2">
      <c r="A103" s="504">
        <v>70</v>
      </c>
      <c r="B103" s="455" t="s">
        <v>6</v>
      </c>
      <c r="C103" s="445" t="s">
        <v>681</v>
      </c>
      <c r="D103" s="428" t="s">
        <v>670</v>
      </c>
      <c r="E103" s="427">
        <f>E104+E105</f>
        <v>26062</v>
      </c>
      <c r="F103" s="427">
        <f>F104+F105</f>
        <v>618</v>
      </c>
      <c r="G103" s="427">
        <f>G104+G105</f>
        <v>757</v>
      </c>
      <c r="H103" s="427"/>
      <c r="I103" s="427">
        <f>I104+I105</f>
        <v>24687</v>
      </c>
      <c r="J103" s="431">
        <f>J105+J106+J107+J108+J109+J113</f>
        <v>929</v>
      </c>
      <c r="K103" s="431">
        <f>K108</f>
        <v>126</v>
      </c>
      <c r="L103" s="427">
        <f>E103+J103</f>
        <v>26991</v>
      </c>
      <c r="M103" s="430"/>
      <c r="O103" s="448"/>
    </row>
    <row r="104" spans="1:15" x14ac:dyDescent="0.2">
      <c r="A104" s="504"/>
      <c r="B104" s="429"/>
      <c r="C104" s="429" t="s">
        <v>672</v>
      </c>
      <c r="D104" s="420" t="s">
        <v>662</v>
      </c>
      <c r="E104" s="421">
        <f>18995+152+1-133+70-80-15+150-6+14+1</f>
        <v>19149</v>
      </c>
      <c r="F104" s="421">
        <f>162-6+14</f>
        <v>170</v>
      </c>
      <c r="G104" s="421">
        <v>757</v>
      </c>
      <c r="H104" s="421"/>
      <c r="I104" s="421">
        <f>E104-F104-G104</f>
        <v>18222</v>
      </c>
      <c r="J104" s="422"/>
      <c r="K104" s="422"/>
      <c r="L104" s="421">
        <f>L103-L105-L106-L107-L108-L109-L113</f>
        <v>19149</v>
      </c>
      <c r="M104" s="425"/>
      <c r="O104" s="444"/>
    </row>
    <row r="105" spans="1:15" x14ac:dyDescent="0.2">
      <c r="A105" s="504"/>
      <c r="B105" s="429"/>
      <c r="C105" s="424">
        <v>16044</v>
      </c>
      <c r="D105" s="490" t="s">
        <v>670</v>
      </c>
      <c r="E105" s="498">
        <f>7044+1+1-200+75-50+42</f>
        <v>6913</v>
      </c>
      <c r="F105" s="498">
        <f>579+1+1-200+75-50+42</f>
        <v>448</v>
      </c>
      <c r="G105" s="498"/>
      <c r="H105" s="498"/>
      <c r="I105" s="498">
        <f>E105-F105-G105</f>
        <v>6465</v>
      </c>
      <c r="J105" s="432">
        <f>'[8]СВОД по ВМП'!$S$16+2+5+2</f>
        <v>34</v>
      </c>
      <c r="K105" s="432"/>
      <c r="L105" s="498">
        <f>E105+J105+J106+J107+J108+J109+J113</f>
        <v>7842</v>
      </c>
      <c r="M105" s="512"/>
      <c r="O105" s="444"/>
    </row>
    <row r="106" spans="1:15" x14ac:dyDescent="0.2">
      <c r="A106" s="504"/>
      <c r="B106" s="429"/>
      <c r="C106" s="424">
        <v>16050</v>
      </c>
      <c r="D106" s="490"/>
      <c r="E106" s="499"/>
      <c r="F106" s="499"/>
      <c r="G106" s="499"/>
      <c r="H106" s="499"/>
      <c r="I106" s="499"/>
      <c r="J106" s="432">
        <f>'[8]СВОД по ВМП'!$S$28-3+2</f>
        <v>19</v>
      </c>
      <c r="K106" s="432"/>
      <c r="L106" s="499"/>
      <c r="M106" s="518"/>
      <c r="O106" s="444"/>
    </row>
    <row r="107" spans="1:15" x14ac:dyDescent="0.2">
      <c r="A107" s="504"/>
      <c r="B107" s="429"/>
      <c r="C107" s="424">
        <v>16301</v>
      </c>
      <c r="D107" s="490"/>
      <c r="E107" s="499"/>
      <c r="F107" s="499"/>
      <c r="G107" s="499"/>
      <c r="H107" s="499"/>
      <c r="I107" s="499"/>
      <c r="J107" s="432">
        <f>'[8]СВОД по ВМП'!$S$23</f>
        <v>40</v>
      </c>
      <c r="K107" s="432"/>
      <c r="L107" s="499"/>
      <c r="M107" s="518"/>
      <c r="O107" s="444"/>
    </row>
    <row r="108" spans="1:15" x14ac:dyDescent="0.2">
      <c r="A108" s="504"/>
      <c r="B108" s="429"/>
      <c r="C108" s="424">
        <v>16054</v>
      </c>
      <c r="D108" s="490"/>
      <c r="E108" s="499"/>
      <c r="F108" s="499"/>
      <c r="G108" s="499"/>
      <c r="H108" s="499"/>
      <c r="I108" s="499"/>
      <c r="J108" s="432">
        <f>'[8]СВОД по ВМП'!$S$19+25+1</f>
        <v>126</v>
      </c>
      <c r="K108" s="432">
        <v>126</v>
      </c>
      <c r="L108" s="499"/>
      <c r="M108" s="518"/>
      <c r="O108" s="444"/>
    </row>
    <row r="109" spans="1:15" x14ac:dyDescent="0.2">
      <c r="A109" s="504"/>
      <c r="B109" s="429"/>
      <c r="C109" s="424">
        <v>16048</v>
      </c>
      <c r="D109" s="490"/>
      <c r="E109" s="499"/>
      <c r="F109" s="499"/>
      <c r="G109" s="499"/>
      <c r="H109" s="499"/>
      <c r="I109" s="499"/>
      <c r="J109" s="489">
        <f>'[8]СВОД по ВМП'!$S$26+'[8]СВОД по ВМП'!$S$17-8-3-9-50-9+3+1</f>
        <v>236</v>
      </c>
      <c r="K109" s="432"/>
      <c r="L109" s="499"/>
      <c r="M109" s="518"/>
      <c r="O109" s="444"/>
    </row>
    <row r="110" spans="1:15" x14ac:dyDescent="0.2">
      <c r="A110" s="504"/>
      <c r="B110" s="429"/>
      <c r="C110" s="424">
        <v>16045</v>
      </c>
      <c r="D110" s="490"/>
      <c r="E110" s="499"/>
      <c r="F110" s="499"/>
      <c r="G110" s="499"/>
      <c r="H110" s="499"/>
      <c r="I110" s="499"/>
      <c r="J110" s="490"/>
      <c r="K110" s="420"/>
      <c r="L110" s="499"/>
      <c r="M110" s="518"/>
      <c r="O110" s="444"/>
    </row>
    <row r="111" spans="1:15" ht="13.5" customHeight="1" x14ac:dyDescent="0.2">
      <c r="A111" s="504"/>
      <c r="B111" s="429"/>
      <c r="C111" s="424">
        <v>16304</v>
      </c>
      <c r="D111" s="490"/>
      <c r="E111" s="499"/>
      <c r="F111" s="499"/>
      <c r="G111" s="499"/>
      <c r="H111" s="499"/>
      <c r="I111" s="499"/>
      <c r="J111" s="490"/>
      <c r="K111" s="420"/>
      <c r="L111" s="499"/>
      <c r="M111" s="518"/>
      <c r="O111" s="444"/>
    </row>
    <row r="112" spans="1:15" x14ac:dyDescent="0.2">
      <c r="A112" s="504"/>
      <c r="B112" s="429"/>
      <c r="C112" s="424">
        <v>16281</v>
      </c>
      <c r="D112" s="490"/>
      <c r="E112" s="499"/>
      <c r="F112" s="499"/>
      <c r="G112" s="499"/>
      <c r="H112" s="499"/>
      <c r="I112" s="499"/>
      <c r="J112" s="490"/>
      <c r="K112" s="420"/>
      <c r="L112" s="499"/>
      <c r="M112" s="518"/>
      <c r="O112" s="444"/>
    </row>
    <row r="113" spans="1:15" x14ac:dyDescent="0.2">
      <c r="A113" s="504"/>
      <c r="B113" s="429"/>
      <c r="C113" s="424">
        <v>16303</v>
      </c>
      <c r="D113" s="490"/>
      <c r="E113" s="500"/>
      <c r="F113" s="500"/>
      <c r="G113" s="500"/>
      <c r="H113" s="500"/>
      <c r="I113" s="500"/>
      <c r="J113" s="432">
        <f>'[8]СВОД по ВМП'!$S$24+2+8+9+47-11-2-5+8</f>
        <v>474</v>
      </c>
      <c r="K113" s="432"/>
      <c r="L113" s="500"/>
      <c r="M113" s="513"/>
      <c r="O113" s="444"/>
    </row>
    <row r="114" spans="1:15" s="447" customFormat="1" x14ac:dyDescent="0.2">
      <c r="A114" s="504">
        <v>71</v>
      </c>
      <c r="B114" s="455" t="s">
        <v>111</v>
      </c>
      <c r="C114" s="445" t="s">
        <v>682</v>
      </c>
      <c r="D114" s="428" t="s">
        <v>670</v>
      </c>
      <c r="E114" s="427">
        <f>E115+E116</f>
        <v>7593</v>
      </c>
      <c r="F114" s="427">
        <f>F115+F116</f>
        <v>0</v>
      </c>
      <c r="G114" s="427">
        <f>G115+G116</f>
        <v>494</v>
      </c>
      <c r="H114" s="427">
        <f>H115+H116</f>
        <v>3491</v>
      </c>
      <c r="I114" s="427">
        <f>I115+I116</f>
        <v>3608</v>
      </c>
      <c r="J114" s="428">
        <f>J116</f>
        <v>200</v>
      </c>
      <c r="K114" s="428"/>
      <c r="L114" s="427">
        <f>E114+J114</f>
        <v>7793</v>
      </c>
      <c r="M114" s="430"/>
      <c r="O114" s="448"/>
    </row>
    <row r="115" spans="1:15" x14ac:dyDescent="0.2">
      <c r="A115" s="504"/>
      <c r="B115" s="429"/>
      <c r="C115" s="429" t="s">
        <v>672</v>
      </c>
      <c r="D115" s="420" t="s">
        <v>665</v>
      </c>
      <c r="E115" s="421">
        <f>4486-13+979+100+300-100-130</f>
        <v>5622</v>
      </c>
      <c r="F115" s="421"/>
      <c r="G115" s="421">
        <f>996-502</f>
        <v>494</v>
      </c>
      <c r="H115" s="421">
        <f>3244+177+300-230</f>
        <v>3491</v>
      </c>
      <c r="I115" s="421">
        <f>E115-F115-G115-H115</f>
        <v>1637</v>
      </c>
      <c r="J115" s="422"/>
      <c r="K115" s="422"/>
      <c r="L115" s="421">
        <f>L114-L116</f>
        <v>5622</v>
      </c>
      <c r="M115" s="425"/>
      <c r="O115" s="444"/>
    </row>
    <row r="116" spans="1:15" x14ac:dyDescent="0.2">
      <c r="A116" s="504"/>
      <c r="B116" s="429"/>
      <c r="C116" s="424">
        <v>163</v>
      </c>
      <c r="D116" s="490" t="s">
        <v>670</v>
      </c>
      <c r="E116" s="498">
        <f>2186-100+100-215</f>
        <v>1971</v>
      </c>
      <c r="F116" s="498"/>
      <c r="G116" s="498"/>
      <c r="H116" s="498"/>
      <c r="I116" s="498">
        <f>E116-F116-G116</f>
        <v>1971</v>
      </c>
      <c r="J116" s="489">
        <f>'[8]СВОД по ВМП'!$M$21</f>
        <v>200</v>
      </c>
      <c r="K116" s="506"/>
      <c r="L116" s="509">
        <f>E116+J116</f>
        <v>2171</v>
      </c>
      <c r="M116" s="510"/>
      <c r="O116" s="444"/>
    </row>
    <row r="117" spans="1:15" x14ac:dyDescent="0.2">
      <c r="A117" s="504"/>
      <c r="B117" s="429"/>
      <c r="C117" s="424">
        <v>164</v>
      </c>
      <c r="D117" s="490"/>
      <c r="E117" s="500"/>
      <c r="F117" s="500"/>
      <c r="G117" s="500"/>
      <c r="H117" s="500"/>
      <c r="I117" s="500"/>
      <c r="J117" s="490"/>
      <c r="K117" s="507"/>
      <c r="L117" s="490"/>
      <c r="M117" s="511"/>
      <c r="O117" s="444"/>
    </row>
    <row r="118" spans="1:15" s="447" customFormat="1" x14ac:dyDescent="0.2">
      <c r="A118" s="504">
        <v>72</v>
      </c>
      <c r="B118" s="455" t="s">
        <v>112</v>
      </c>
      <c r="C118" s="445" t="s">
        <v>257</v>
      </c>
      <c r="D118" s="428" t="s">
        <v>670</v>
      </c>
      <c r="E118" s="427">
        <f>E119+E120+E125</f>
        <v>12679</v>
      </c>
      <c r="F118" s="427">
        <f>F119+F120+F125</f>
        <v>776</v>
      </c>
      <c r="G118" s="427">
        <f>G119+G120+G125</f>
        <v>655</v>
      </c>
      <c r="H118" s="427">
        <f>H119+H120+H125</f>
        <v>2577</v>
      </c>
      <c r="I118" s="427">
        <f>I119+I120+I125</f>
        <v>8671</v>
      </c>
      <c r="J118" s="431">
        <f>J120+J121+J122+J123</f>
        <v>373</v>
      </c>
      <c r="K118" s="431"/>
      <c r="L118" s="427">
        <f>E118+J118</f>
        <v>13052</v>
      </c>
      <c r="M118" s="430"/>
      <c r="O118" s="448"/>
    </row>
    <row r="119" spans="1:15" x14ac:dyDescent="0.2">
      <c r="A119" s="504"/>
      <c r="B119" s="429"/>
      <c r="C119" s="429" t="s">
        <v>672</v>
      </c>
      <c r="D119" s="420" t="s">
        <v>665</v>
      </c>
      <c r="E119" s="421">
        <f>7811-5+2-5+92+1+201+300-15-30-25</f>
        <v>8327</v>
      </c>
      <c r="F119" s="421">
        <f>109-5+1-15-25</f>
        <v>65</v>
      </c>
      <c r="G119" s="421">
        <v>655</v>
      </c>
      <c r="H119" s="421">
        <f>1700+580+71+300-31-13-30</f>
        <v>2577</v>
      </c>
      <c r="I119" s="421">
        <f>E119-F119-G119-H119</f>
        <v>5030</v>
      </c>
      <c r="J119" s="422"/>
      <c r="K119" s="422"/>
      <c r="L119" s="421">
        <f>L118-L120-L121-L122-L123-L124-L125</f>
        <v>8327</v>
      </c>
      <c r="M119" s="421"/>
      <c r="O119" s="444"/>
    </row>
    <row r="120" spans="1:15" x14ac:dyDescent="0.2">
      <c r="A120" s="504"/>
      <c r="B120" s="429"/>
      <c r="C120" s="424">
        <v>70</v>
      </c>
      <c r="D120" s="490" t="s">
        <v>670</v>
      </c>
      <c r="E120" s="498">
        <f>3841-210+2+2+15+25</f>
        <v>3675</v>
      </c>
      <c r="F120" s="498">
        <f>877-210+2+2+15+25</f>
        <v>711</v>
      </c>
      <c r="G120" s="498"/>
      <c r="H120" s="498"/>
      <c r="I120" s="498">
        <f>E120-F120-G120</f>
        <v>2964</v>
      </c>
      <c r="J120" s="432">
        <f>'[8]СВОД по ВМП'!$N$20+11</f>
        <v>111</v>
      </c>
      <c r="K120" s="432"/>
      <c r="L120" s="498">
        <f>E120+J120+J121+J122+J123</f>
        <v>4048</v>
      </c>
      <c r="M120" s="501"/>
      <c r="O120" s="444"/>
    </row>
    <row r="121" spans="1:15" x14ac:dyDescent="0.2">
      <c r="A121" s="504"/>
      <c r="B121" s="429"/>
      <c r="C121" s="424">
        <v>73</v>
      </c>
      <c r="D121" s="490"/>
      <c r="E121" s="499"/>
      <c r="F121" s="499"/>
      <c r="G121" s="499"/>
      <c r="H121" s="499"/>
      <c r="I121" s="499"/>
      <c r="J121" s="432">
        <f>'[8]СВОД по ВМП'!$N$23+5</f>
        <v>175</v>
      </c>
      <c r="K121" s="432"/>
      <c r="L121" s="499"/>
      <c r="M121" s="502"/>
      <c r="O121" s="444"/>
    </row>
    <row r="122" spans="1:15" x14ac:dyDescent="0.2">
      <c r="A122" s="504"/>
      <c r="B122" s="429"/>
      <c r="C122" s="424">
        <v>74</v>
      </c>
      <c r="D122" s="490"/>
      <c r="E122" s="499"/>
      <c r="F122" s="499"/>
      <c r="G122" s="499"/>
      <c r="H122" s="499"/>
      <c r="I122" s="499"/>
      <c r="J122" s="432">
        <f>'[8]СВОД по ВМП'!$N$13</f>
        <v>24</v>
      </c>
      <c r="K122" s="432"/>
      <c r="L122" s="499"/>
      <c r="M122" s="502"/>
      <c r="O122" s="444"/>
    </row>
    <row r="123" spans="1:15" ht="12.75" customHeight="1" x14ac:dyDescent="0.2">
      <c r="A123" s="504"/>
      <c r="B123" s="429"/>
      <c r="C123" s="424">
        <v>178</v>
      </c>
      <c r="D123" s="490"/>
      <c r="E123" s="499"/>
      <c r="F123" s="499"/>
      <c r="G123" s="499"/>
      <c r="H123" s="499"/>
      <c r="I123" s="499"/>
      <c r="J123" s="489">
        <f>'[8]СВОД по ВМП'!$N$26-16</f>
        <v>63</v>
      </c>
      <c r="K123" s="432"/>
      <c r="L123" s="499"/>
      <c r="M123" s="502"/>
      <c r="O123" s="444"/>
    </row>
    <row r="124" spans="1:15" x14ac:dyDescent="0.2">
      <c r="A124" s="504"/>
      <c r="B124" s="429"/>
      <c r="C124" s="424">
        <v>181</v>
      </c>
      <c r="D124" s="490"/>
      <c r="E124" s="500"/>
      <c r="F124" s="500"/>
      <c r="G124" s="500"/>
      <c r="H124" s="500"/>
      <c r="I124" s="500"/>
      <c r="J124" s="490"/>
      <c r="K124" s="420"/>
      <c r="L124" s="500"/>
      <c r="M124" s="503"/>
      <c r="O124" s="444"/>
    </row>
    <row r="125" spans="1:15" x14ac:dyDescent="0.2">
      <c r="A125" s="504"/>
      <c r="B125" s="429"/>
      <c r="C125" s="424">
        <v>700</v>
      </c>
      <c r="D125" s="420" t="s">
        <v>658</v>
      </c>
      <c r="E125" s="421">
        <f>878-201</f>
        <v>677</v>
      </c>
      <c r="F125" s="421"/>
      <c r="G125" s="421"/>
      <c r="H125" s="421"/>
      <c r="I125" s="421">
        <f>E125-F125-G125</f>
        <v>677</v>
      </c>
      <c r="J125" s="422"/>
      <c r="K125" s="422"/>
      <c r="L125" s="421">
        <f>E125+J125</f>
        <v>677</v>
      </c>
      <c r="M125" s="425"/>
      <c r="O125" s="444"/>
    </row>
    <row r="126" spans="1:15" s="447" customFormat="1" x14ac:dyDescent="0.2">
      <c r="A126" s="504">
        <v>73</v>
      </c>
      <c r="B126" s="458" t="s">
        <v>109</v>
      </c>
      <c r="C126" s="445" t="s">
        <v>683</v>
      </c>
      <c r="D126" s="428" t="s">
        <v>670</v>
      </c>
      <c r="E126" s="427">
        <f>E127+E128</f>
        <v>14612</v>
      </c>
      <c r="F126" s="427">
        <f>F127+F128</f>
        <v>14</v>
      </c>
      <c r="G126" s="427">
        <f>G127+G128</f>
        <v>0</v>
      </c>
      <c r="H126" s="427">
        <f>H127+H128</f>
        <v>6373</v>
      </c>
      <c r="I126" s="427">
        <f>I127+I128</f>
        <v>8225</v>
      </c>
      <c r="J126" s="431">
        <f>J128</f>
        <v>30</v>
      </c>
      <c r="K126" s="431"/>
      <c r="L126" s="427">
        <f>E126+J126</f>
        <v>14642</v>
      </c>
      <c r="M126" s="430"/>
      <c r="O126" s="448"/>
    </row>
    <row r="127" spans="1:15" ht="18" customHeight="1" x14ac:dyDescent="0.2">
      <c r="A127" s="504"/>
      <c r="B127" s="429"/>
      <c r="C127" s="429" t="s">
        <v>672</v>
      </c>
      <c r="D127" s="420" t="s">
        <v>665</v>
      </c>
      <c r="E127" s="421">
        <f>14155-5-29+2-27+3+90+1154-150-553-447-302-700</f>
        <v>13191</v>
      </c>
      <c r="F127" s="421">
        <v>14</v>
      </c>
      <c r="G127" s="421"/>
      <c r="H127" s="421">
        <f>5895+2573-1668-427</f>
        <v>6373</v>
      </c>
      <c r="I127" s="421">
        <f>E127-F127-G127-H127</f>
        <v>6804</v>
      </c>
      <c r="J127" s="422"/>
      <c r="K127" s="422"/>
      <c r="L127" s="421">
        <f>L126-L128</f>
        <v>13191</v>
      </c>
      <c r="M127" s="425"/>
      <c r="O127" s="444"/>
    </row>
    <row r="128" spans="1:15" ht="15.75" customHeight="1" x14ac:dyDescent="0.2">
      <c r="A128" s="504"/>
      <c r="B128" s="429"/>
      <c r="C128" s="424">
        <v>53</v>
      </c>
      <c r="D128" s="420" t="s">
        <v>670</v>
      </c>
      <c r="E128" s="421">
        <f>2643-20-1154-150+302-200</f>
        <v>1421</v>
      </c>
      <c r="F128" s="421"/>
      <c r="G128" s="421"/>
      <c r="H128" s="421"/>
      <c r="I128" s="421">
        <f>E128-F128-G128</f>
        <v>1421</v>
      </c>
      <c r="J128" s="432">
        <f>'[8]СВОД по ВМП'!$AC$27</f>
        <v>30</v>
      </c>
      <c r="K128" s="432"/>
      <c r="L128" s="421">
        <f>E128+J128</f>
        <v>1451</v>
      </c>
      <c r="M128" s="425"/>
      <c r="O128" s="444"/>
    </row>
    <row r="129" spans="1:15" s="447" customFormat="1" x14ac:dyDescent="0.2">
      <c r="A129" s="504">
        <v>74</v>
      </c>
      <c r="B129" s="455" t="s">
        <v>114</v>
      </c>
      <c r="C129" s="445" t="s">
        <v>684</v>
      </c>
      <c r="D129" s="428" t="s">
        <v>670</v>
      </c>
      <c r="E129" s="427">
        <f>E130+E131</f>
        <v>9643</v>
      </c>
      <c r="F129" s="427">
        <f>F130+F132</f>
        <v>0</v>
      </c>
      <c r="G129" s="427">
        <f>G130+G132</f>
        <v>0</v>
      </c>
      <c r="H129" s="427"/>
      <c r="I129" s="427">
        <f>I130+I131</f>
        <v>9643</v>
      </c>
      <c r="J129" s="431">
        <f>J132+J131</f>
        <v>116</v>
      </c>
      <c r="K129" s="428"/>
      <c r="L129" s="427">
        <f>E129+J129</f>
        <v>9759</v>
      </c>
      <c r="M129" s="430"/>
      <c r="O129" s="448"/>
    </row>
    <row r="130" spans="1:15" ht="14.25" customHeight="1" x14ac:dyDescent="0.2">
      <c r="A130" s="504"/>
      <c r="B130" s="429"/>
      <c r="C130" s="429" t="s">
        <v>672</v>
      </c>
      <c r="D130" s="420" t="s">
        <v>662</v>
      </c>
      <c r="E130" s="421">
        <f>2490-307+1200+135+167+150</f>
        <v>3835</v>
      </c>
      <c r="F130" s="421"/>
      <c r="G130" s="421"/>
      <c r="H130" s="421"/>
      <c r="I130" s="421">
        <f>E130-F130-G130</f>
        <v>3835</v>
      </c>
      <c r="J130" s="422"/>
      <c r="K130" s="422"/>
      <c r="L130" s="421">
        <f>L129-L131</f>
        <v>3835</v>
      </c>
      <c r="M130" s="425"/>
      <c r="O130" s="444"/>
    </row>
    <row r="131" spans="1:15" ht="14.25" customHeight="1" x14ac:dyDescent="0.2">
      <c r="A131" s="504"/>
      <c r="B131" s="429"/>
      <c r="C131" s="429">
        <v>191</v>
      </c>
      <c r="D131" s="514" t="s">
        <v>670</v>
      </c>
      <c r="E131" s="498">
        <f>6724-1200-2-1+290-3</f>
        <v>5808</v>
      </c>
      <c r="F131" s="498"/>
      <c r="G131" s="498"/>
      <c r="H131" s="498"/>
      <c r="I131" s="498">
        <f>E131-F131-G131</f>
        <v>5808</v>
      </c>
      <c r="J131" s="420">
        <v>76</v>
      </c>
      <c r="K131" s="516"/>
      <c r="L131" s="498">
        <f>E131+J131+J132</f>
        <v>5924</v>
      </c>
      <c r="M131" s="425"/>
      <c r="O131" s="444"/>
    </row>
    <row r="132" spans="1:15" x14ac:dyDescent="0.2">
      <c r="A132" s="504"/>
      <c r="B132" s="429"/>
      <c r="C132" s="424">
        <v>295</v>
      </c>
      <c r="D132" s="515"/>
      <c r="E132" s="500"/>
      <c r="F132" s="500"/>
      <c r="G132" s="500"/>
      <c r="H132" s="500"/>
      <c r="I132" s="500"/>
      <c r="J132" s="432">
        <f>'[8]СВОД по ВМП'!$T$11</f>
        <v>40</v>
      </c>
      <c r="K132" s="517"/>
      <c r="L132" s="500"/>
      <c r="M132" s="425"/>
      <c r="O132" s="444"/>
    </row>
    <row r="133" spans="1:15" s="447" customFormat="1" x14ac:dyDescent="0.2">
      <c r="A133" s="504">
        <v>75</v>
      </c>
      <c r="B133" s="457" t="s">
        <v>71</v>
      </c>
      <c r="C133" s="445" t="s">
        <v>685</v>
      </c>
      <c r="D133" s="428" t="s">
        <v>670</v>
      </c>
      <c r="E133" s="427">
        <f>E134+E135</f>
        <v>492</v>
      </c>
      <c r="F133" s="427">
        <f>F134+F135</f>
        <v>11</v>
      </c>
      <c r="G133" s="427">
        <f>G134+G135</f>
        <v>0</v>
      </c>
      <c r="H133" s="427"/>
      <c r="I133" s="427">
        <f>I134+I135</f>
        <v>481</v>
      </c>
      <c r="J133" s="431">
        <f>J135+J136</f>
        <v>42</v>
      </c>
      <c r="K133" s="431">
        <f>K135</f>
        <v>3</v>
      </c>
      <c r="L133" s="431">
        <f>E133+J133</f>
        <v>534</v>
      </c>
      <c r="M133" s="434"/>
      <c r="O133" s="448"/>
    </row>
    <row r="134" spans="1:15" x14ac:dyDescent="0.2">
      <c r="A134" s="504"/>
      <c r="B134" s="429"/>
      <c r="C134" s="429" t="s">
        <v>672</v>
      </c>
      <c r="D134" s="420" t="s">
        <v>665</v>
      </c>
      <c r="E134" s="421">
        <f>444-14-15-2-27+25</f>
        <v>411</v>
      </c>
      <c r="F134" s="421">
        <f>52-20-15-2-10</f>
        <v>5</v>
      </c>
      <c r="G134" s="421"/>
      <c r="H134" s="421"/>
      <c r="I134" s="421">
        <f>E134-F134-G134</f>
        <v>406</v>
      </c>
      <c r="J134" s="422"/>
      <c r="K134" s="422"/>
      <c r="L134" s="432">
        <f>L133-L136-L135</f>
        <v>411</v>
      </c>
      <c r="M134" s="435"/>
      <c r="O134" s="444"/>
    </row>
    <row r="135" spans="1:15" x14ac:dyDescent="0.2">
      <c r="A135" s="504"/>
      <c r="B135" s="429"/>
      <c r="C135" s="424">
        <v>14038</v>
      </c>
      <c r="D135" s="490" t="s">
        <v>670</v>
      </c>
      <c r="E135" s="498">
        <f>161+14+2-71-25</f>
        <v>81</v>
      </c>
      <c r="F135" s="498">
        <f>4+2</f>
        <v>6</v>
      </c>
      <c r="G135" s="498"/>
      <c r="H135" s="498"/>
      <c r="I135" s="498">
        <f>E135-F135-G135</f>
        <v>75</v>
      </c>
      <c r="J135" s="432">
        <f>'[8]СВОД по ВМП'!$Y$19+'[8]СВОД по ВМП'!$Y$27</f>
        <v>10</v>
      </c>
      <c r="K135" s="432">
        <v>3</v>
      </c>
      <c r="L135" s="506">
        <f>E135+J135+J136</f>
        <v>123</v>
      </c>
      <c r="M135" s="512"/>
      <c r="O135" s="444"/>
    </row>
    <row r="136" spans="1:15" x14ac:dyDescent="0.2">
      <c r="A136" s="504"/>
      <c r="B136" s="429"/>
      <c r="C136" s="424">
        <v>14153</v>
      </c>
      <c r="D136" s="490"/>
      <c r="E136" s="500"/>
      <c r="F136" s="500"/>
      <c r="G136" s="500"/>
      <c r="H136" s="500"/>
      <c r="I136" s="500"/>
      <c r="J136" s="432">
        <f>15+15+2</f>
        <v>32</v>
      </c>
      <c r="K136" s="432"/>
      <c r="L136" s="507"/>
      <c r="M136" s="513"/>
      <c r="O136" s="444"/>
    </row>
    <row r="137" spans="1:15" s="447" customFormat="1" x14ac:dyDescent="0.2">
      <c r="A137" s="504">
        <v>76</v>
      </c>
      <c r="B137" s="458" t="s">
        <v>342</v>
      </c>
      <c r="C137" s="445" t="s">
        <v>686</v>
      </c>
      <c r="D137" s="428" t="s">
        <v>687</v>
      </c>
      <c r="E137" s="427">
        <f>E138+E139</f>
        <v>27768</v>
      </c>
      <c r="F137" s="427">
        <f>F138+F139</f>
        <v>26679</v>
      </c>
      <c r="G137" s="427">
        <f>G138+G139</f>
        <v>0</v>
      </c>
      <c r="H137" s="427"/>
      <c r="I137" s="427">
        <f>I138+I139</f>
        <v>1089</v>
      </c>
      <c r="J137" s="427">
        <f>J139</f>
        <v>1587</v>
      </c>
      <c r="K137" s="427">
        <f>K139</f>
        <v>1587</v>
      </c>
      <c r="L137" s="427">
        <f>E137+J137</f>
        <v>29355</v>
      </c>
      <c r="M137" s="430"/>
      <c r="O137" s="448"/>
    </row>
    <row r="138" spans="1:15" x14ac:dyDescent="0.2">
      <c r="A138" s="504"/>
      <c r="B138" s="429"/>
      <c r="C138" s="429" t="s">
        <v>672</v>
      </c>
      <c r="D138" s="420" t="s">
        <v>662</v>
      </c>
      <c r="E138" s="421">
        <f>6256-20+1041+400+1100-30+820-39+191</f>
        <v>9719</v>
      </c>
      <c r="F138" s="421">
        <f>6236+1041+400+1100-30+820-39+191</f>
        <v>9719</v>
      </c>
      <c r="G138" s="421"/>
      <c r="H138" s="421"/>
      <c r="I138" s="421">
        <f>E138-F138-G138</f>
        <v>0</v>
      </c>
      <c r="J138" s="422"/>
      <c r="K138" s="422"/>
      <c r="L138" s="421">
        <f>L137-L139</f>
        <v>9719</v>
      </c>
      <c r="M138" s="425"/>
      <c r="O138" s="444"/>
    </row>
    <row r="139" spans="1:15" x14ac:dyDescent="0.2">
      <c r="A139" s="504"/>
      <c r="B139" s="429"/>
      <c r="C139" s="424">
        <v>22100</v>
      </c>
      <c r="D139" s="490" t="s">
        <v>687</v>
      </c>
      <c r="E139" s="498">
        <f>19711-1-63-2-2-3-2-2-101-117-3-2+1099-1+32-4-2-28-1-1-1-1-3-2-2-6-1100-75-250-7-820-191</f>
        <v>18049</v>
      </c>
      <c r="F139" s="498">
        <f>18654-1-63-2-2-3-2-2-101-117-3-2+1099-1-4-2-28-1-1-1-1-3-2-2-6-1100-75-250-7-820-191</f>
        <v>16960</v>
      </c>
      <c r="G139" s="498"/>
      <c r="H139" s="498"/>
      <c r="I139" s="498">
        <f>E139-F139-G139</f>
        <v>1089</v>
      </c>
      <c r="J139" s="509">
        <f>'[9]Объемы на 01.01.2020г.'!J8</f>
        <v>1587</v>
      </c>
      <c r="K139" s="498">
        <f>J139</f>
        <v>1587</v>
      </c>
      <c r="L139" s="509">
        <f>E139+J139</f>
        <v>19636</v>
      </c>
      <c r="M139" s="510"/>
      <c r="O139" s="444"/>
    </row>
    <row r="140" spans="1:15" x14ac:dyDescent="0.2">
      <c r="A140" s="504"/>
      <c r="B140" s="429"/>
      <c r="C140" s="424">
        <v>22101</v>
      </c>
      <c r="D140" s="490"/>
      <c r="E140" s="499"/>
      <c r="F140" s="499"/>
      <c r="G140" s="499"/>
      <c r="H140" s="499"/>
      <c r="I140" s="499"/>
      <c r="J140" s="490"/>
      <c r="K140" s="499"/>
      <c r="L140" s="490"/>
      <c r="M140" s="511"/>
      <c r="O140" s="444"/>
    </row>
    <row r="141" spans="1:15" x14ac:dyDescent="0.2">
      <c r="A141" s="504"/>
      <c r="B141" s="429"/>
      <c r="C141" s="424">
        <v>22102</v>
      </c>
      <c r="D141" s="490"/>
      <c r="E141" s="499"/>
      <c r="F141" s="499"/>
      <c r="G141" s="499"/>
      <c r="H141" s="499"/>
      <c r="I141" s="499"/>
      <c r="J141" s="490"/>
      <c r="K141" s="499"/>
      <c r="L141" s="490"/>
      <c r="M141" s="511"/>
      <c r="O141" s="444"/>
    </row>
    <row r="142" spans="1:15" x14ac:dyDescent="0.2">
      <c r="A142" s="504"/>
      <c r="B142" s="429"/>
      <c r="C142" s="424">
        <v>22103</v>
      </c>
      <c r="D142" s="490"/>
      <c r="E142" s="499"/>
      <c r="F142" s="499"/>
      <c r="G142" s="499"/>
      <c r="H142" s="499"/>
      <c r="I142" s="499"/>
      <c r="J142" s="490"/>
      <c r="K142" s="499"/>
      <c r="L142" s="490"/>
      <c r="M142" s="511"/>
      <c r="O142" s="444"/>
    </row>
    <row r="143" spans="1:15" x14ac:dyDescent="0.2">
      <c r="A143" s="504"/>
      <c r="B143" s="429"/>
      <c r="C143" s="424">
        <v>22104</v>
      </c>
      <c r="D143" s="490"/>
      <c r="E143" s="499"/>
      <c r="F143" s="499"/>
      <c r="G143" s="499"/>
      <c r="H143" s="499"/>
      <c r="I143" s="499"/>
      <c r="J143" s="490"/>
      <c r="K143" s="499"/>
      <c r="L143" s="490"/>
      <c r="M143" s="511"/>
      <c r="O143" s="444"/>
    </row>
    <row r="144" spans="1:15" x14ac:dyDescent="0.2">
      <c r="A144" s="504"/>
      <c r="B144" s="429"/>
      <c r="C144" s="424">
        <v>22105</v>
      </c>
      <c r="D144" s="490"/>
      <c r="E144" s="499"/>
      <c r="F144" s="499"/>
      <c r="G144" s="499"/>
      <c r="H144" s="499"/>
      <c r="I144" s="499"/>
      <c r="J144" s="490"/>
      <c r="K144" s="499"/>
      <c r="L144" s="490"/>
      <c r="M144" s="511"/>
      <c r="O144" s="444"/>
    </row>
    <row r="145" spans="1:15" x14ac:dyDescent="0.2">
      <c r="A145" s="504"/>
      <c r="B145" s="429"/>
      <c r="C145" s="424">
        <v>22106</v>
      </c>
      <c r="D145" s="490"/>
      <c r="E145" s="499"/>
      <c r="F145" s="499"/>
      <c r="G145" s="499"/>
      <c r="H145" s="499"/>
      <c r="I145" s="499"/>
      <c r="J145" s="490"/>
      <c r="K145" s="499"/>
      <c r="L145" s="490"/>
      <c r="M145" s="511"/>
      <c r="O145" s="444"/>
    </row>
    <row r="146" spans="1:15" x14ac:dyDescent="0.2">
      <c r="A146" s="504"/>
      <c r="B146" s="429"/>
      <c r="C146" s="424">
        <v>22107</v>
      </c>
      <c r="D146" s="490"/>
      <c r="E146" s="499"/>
      <c r="F146" s="499"/>
      <c r="G146" s="499"/>
      <c r="H146" s="499"/>
      <c r="I146" s="499"/>
      <c r="J146" s="490"/>
      <c r="K146" s="499"/>
      <c r="L146" s="490"/>
      <c r="M146" s="511"/>
      <c r="O146" s="444"/>
    </row>
    <row r="147" spans="1:15" x14ac:dyDescent="0.2">
      <c r="A147" s="504"/>
      <c r="B147" s="429"/>
      <c r="C147" s="424" t="s">
        <v>688</v>
      </c>
      <c r="D147" s="490"/>
      <c r="E147" s="499"/>
      <c r="F147" s="499"/>
      <c r="G147" s="499"/>
      <c r="H147" s="499"/>
      <c r="I147" s="499"/>
      <c r="J147" s="490"/>
      <c r="K147" s="499"/>
      <c r="L147" s="490"/>
      <c r="M147" s="511"/>
      <c r="O147" s="444"/>
    </row>
    <row r="148" spans="1:15" x14ac:dyDescent="0.2">
      <c r="A148" s="504"/>
      <c r="B148" s="429"/>
      <c r="C148" s="424" t="s">
        <v>689</v>
      </c>
      <c r="D148" s="490"/>
      <c r="E148" s="499"/>
      <c r="F148" s="499"/>
      <c r="G148" s="499"/>
      <c r="H148" s="499"/>
      <c r="I148" s="499"/>
      <c r="J148" s="490"/>
      <c r="K148" s="499"/>
      <c r="L148" s="490"/>
      <c r="M148" s="511"/>
      <c r="O148" s="444"/>
    </row>
    <row r="149" spans="1:15" ht="13.5" customHeight="1" x14ac:dyDescent="0.2">
      <c r="A149" s="504"/>
      <c r="B149" s="429"/>
      <c r="C149" s="424" t="s">
        <v>690</v>
      </c>
      <c r="D149" s="490"/>
      <c r="E149" s="500"/>
      <c r="F149" s="500"/>
      <c r="G149" s="500"/>
      <c r="H149" s="500"/>
      <c r="I149" s="500"/>
      <c r="J149" s="490"/>
      <c r="K149" s="500"/>
      <c r="L149" s="490"/>
      <c r="M149" s="511"/>
      <c r="O149" s="444"/>
    </row>
    <row r="150" spans="1:15" s="447" customFormat="1" x14ac:dyDescent="0.2">
      <c r="A150" s="504">
        <v>77</v>
      </c>
      <c r="B150" s="458" t="s">
        <v>14</v>
      </c>
      <c r="C150" s="445" t="s">
        <v>691</v>
      </c>
      <c r="D150" s="428" t="s">
        <v>687</v>
      </c>
      <c r="E150" s="427">
        <f>E151+E152</f>
        <v>8145</v>
      </c>
      <c r="F150" s="427">
        <f>F151+F152</f>
        <v>0</v>
      </c>
      <c r="G150" s="427">
        <f>G151+G152</f>
        <v>701</v>
      </c>
      <c r="H150" s="427"/>
      <c r="I150" s="427">
        <f>I151+I152</f>
        <v>7444</v>
      </c>
      <c r="J150" s="427">
        <f>J152</f>
        <v>3408</v>
      </c>
      <c r="K150" s="427"/>
      <c r="L150" s="427">
        <f>E150+J150</f>
        <v>11553</v>
      </c>
      <c r="M150" s="430"/>
      <c r="O150" s="448"/>
    </row>
    <row r="151" spans="1:15" x14ac:dyDescent="0.2">
      <c r="A151" s="504"/>
      <c r="B151" s="429"/>
      <c r="C151" s="429" t="s">
        <v>672</v>
      </c>
      <c r="D151" s="420" t="s">
        <v>662</v>
      </c>
      <c r="E151" s="421">
        <f>824+600+54</f>
        <v>1478</v>
      </c>
      <c r="F151" s="421"/>
      <c r="G151" s="421">
        <v>701</v>
      </c>
      <c r="H151" s="421"/>
      <c r="I151" s="421">
        <f>E151-G151-F151</f>
        <v>777</v>
      </c>
      <c r="J151" s="422"/>
      <c r="K151" s="422"/>
      <c r="L151" s="421">
        <f>L150-L152</f>
        <v>1478</v>
      </c>
      <c r="M151" s="425"/>
      <c r="O151" s="444"/>
    </row>
    <row r="152" spans="1:15" x14ac:dyDescent="0.2">
      <c r="A152" s="504"/>
      <c r="B152" s="429"/>
      <c r="C152" s="424">
        <v>22137</v>
      </c>
      <c r="D152" s="490" t="s">
        <v>687</v>
      </c>
      <c r="E152" s="498">
        <f>7282-5-600+44-54</f>
        <v>6667</v>
      </c>
      <c r="F152" s="498"/>
      <c r="G152" s="498"/>
      <c r="H152" s="498"/>
      <c r="I152" s="498">
        <f>E152-F152-G152</f>
        <v>6667</v>
      </c>
      <c r="J152" s="509">
        <f>'[9]Объемы на 01.01.2020г.'!J95-27</f>
        <v>3408</v>
      </c>
      <c r="K152" s="498"/>
      <c r="L152" s="509">
        <f>E152+J152</f>
        <v>10075</v>
      </c>
      <c r="M152" s="510"/>
      <c r="O152" s="444"/>
    </row>
    <row r="153" spans="1:15" x14ac:dyDescent="0.2">
      <c r="A153" s="504"/>
      <c r="B153" s="429"/>
      <c r="C153" s="424">
        <v>22139</v>
      </c>
      <c r="D153" s="490"/>
      <c r="E153" s="499"/>
      <c r="F153" s="499"/>
      <c r="G153" s="499"/>
      <c r="H153" s="499"/>
      <c r="I153" s="499"/>
      <c r="J153" s="490"/>
      <c r="K153" s="499"/>
      <c r="L153" s="490"/>
      <c r="M153" s="511"/>
      <c r="O153" s="444"/>
    </row>
    <row r="154" spans="1:15" x14ac:dyDescent="0.2">
      <c r="A154" s="504"/>
      <c r="B154" s="429"/>
      <c r="C154" s="424">
        <v>22140</v>
      </c>
      <c r="D154" s="490"/>
      <c r="E154" s="499"/>
      <c r="F154" s="499"/>
      <c r="G154" s="499"/>
      <c r="H154" s="499"/>
      <c r="I154" s="499"/>
      <c r="J154" s="490"/>
      <c r="K154" s="499"/>
      <c r="L154" s="490"/>
      <c r="M154" s="511"/>
      <c r="O154" s="444"/>
    </row>
    <row r="155" spans="1:15" x14ac:dyDescent="0.2">
      <c r="A155" s="504"/>
      <c r="B155" s="429"/>
      <c r="C155" s="424">
        <v>22187</v>
      </c>
      <c r="D155" s="490"/>
      <c r="E155" s="499"/>
      <c r="F155" s="499"/>
      <c r="G155" s="499"/>
      <c r="H155" s="499"/>
      <c r="I155" s="499"/>
      <c r="J155" s="490"/>
      <c r="K155" s="499"/>
      <c r="L155" s="490"/>
      <c r="M155" s="511"/>
      <c r="O155" s="444"/>
    </row>
    <row r="156" spans="1:15" x14ac:dyDescent="0.2">
      <c r="A156" s="504"/>
      <c r="B156" s="429"/>
      <c r="C156" s="424">
        <v>22223</v>
      </c>
      <c r="D156" s="490"/>
      <c r="E156" s="499"/>
      <c r="F156" s="499"/>
      <c r="G156" s="499"/>
      <c r="H156" s="499"/>
      <c r="I156" s="499"/>
      <c r="J156" s="490"/>
      <c r="K156" s="499"/>
      <c r="L156" s="490"/>
      <c r="M156" s="511"/>
      <c r="O156" s="444"/>
    </row>
    <row r="157" spans="1:15" x14ac:dyDescent="0.2">
      <c r="A157" s="504"/>
      <c r="B157" s="429"/>
      <c r="C157" s="424">
        <v>22224</v>
      </c>
      <c r="D157" s="490"/>
      <c r="E157" s="499"/>
      <c r="F157" s="499"/>
      <c r="G157" s="499"/>
      <c r="H157" s="499"/>
      <c r="I157" s="499"/>
      <c r="J157" s="490"/>
      <c r="K157" s="499"/>
      <c r="L157" s="490"/>
      <c r="M157" s="511"/>
      <c r="O157" s="444"/>
    </row>
    <row r="158" spans="1:15" x14ac:dyDescent="0.2">
      <c r="A158" s="504"/>
      <c r="B158" s="429"/>
      <c r="C158" s="424">
        <v>22349</v>
      </c>
      <c r="D158" s="490"/>
      <c r="E158" s="499"/>
      <c r="F158" s="499"/>
      <c r="G158" s="499"/>
      <c r="H158" s="499"/>
      <c r="I158" s="499"/>
      <c r="J158" s="490"/>
      <c r="K158" s="499"/>
      <c r="L158" s="490"/>
      <c r="M158" s="511"/>
      <c r="O158" s="444"/>
    </row>
    <row r="159" spans="1:15" x14ac:dyDescent="0.2">
      <c r="A159" s="504"/>
      <c r="B159" s="429"/>
      <c r="C159" s="424">
        <v>22368</v>
      </c>
      <c r="D159" s="490"/>
      <c r="E159" s="499"/>
      <c r="F159" s="499"/>
      <c r="G159" s="499"/>
      <c r="H159" s="499"/>
      <c r="I159" s="499"/>
      <c r="J159" s="490"/>
      <c r="K159" s="499"/>
      <c r="L159" s="490"/>
      <c r="M159" s="511"/>
      <c r="O159" s="444"/>
    </row>
    <row r="160" spans="1:15" x14ac:dyDescent="0.2">
      <c r="A160" s="504"/>
      <c r="B160" s="429"/>
      <c r="C160" s="424">
        <v>22569</v>
      </c>
      <c r="D160" s="490"/>
      <c r="E160" s="499"/>
      <c r="F160" s="499"/>
      <c r="G160" s="499"/>
      <c r="H160" s="499"/>
      <c r="I160" s="499"/>
      <c r="J160" s="490"/>
      <c r="K160" s="499"/>
      <c r="L160" s="490"/>
      <c r="M160" s="511"/>
      <c r="O160" s="444"/>
    </row>
    <row r="161" spans="1:15" x14ac:dyDescent="0.2">
      <c r="A161" s="504"/>
      <c r="B161" s="429"/>
      <c r="C161" s="424">
        <v>22570</v>
      </c>
      <c r="D161" s="490"/>
      <c r="E161" s="500"/>
      <c r="F161" s="500"/>
      <c r="G161" s="500"/>
      <c r="H161" s="500"/>
      <c r="I161" s="500"/>
      <c r="J161" s="490"/>
      <c r="K161" s="500"/>
      <c r="L161" s="490"/>
      <c r="M161" s="511"/>
      <c r="O161" s="444"/>
    </row>
    <row r="162" spans="1:15" s="447" customFormat="1" x14ac:dyDescent="0.2">
      <c r="A162" s="504">
        <v>78</v>
      </c>
      <c r="B162" s="455" t="s">
        <v>149</v>
      </c>
      <c r="C162" s="445" t="s">
        <v>605</v>
      </c>
      <c r="D162" s="428" t="s">
        <v>692</v>
      </c>
      <c r="E162" s="427">
        <f>E163+E164</f>
        <v>5110</v>
      </c>
      <c r="F162" s="427">
        <f>F163+F164</f>
        <v>0</v>
      </c>
      <c r="G162" s="427">
        <f>G163+G164</f>
        <v>0</v>
      </c>
      <c r="H162" s="427"/>
      <c r="I162" s="427">
        <f>I163+I164</f>
        <v>5110</v>
      </c>
      <c r="J162" s="427">
        <f>J164</f>
        <v>52</v>
      </c>
      <c r="K162" s="427"/>
      <c r="L162" s="427">
        <f>E162+J162</f>
        <v>5162</v>
      </c>
      <c r="M162" s="430"/>
      <c r="O162" s="448"/>
    </row>
    <row r="163" spans="1:15" x14ac:dyDescent="0.2">
      <c r="A163" s="504"/>
      <c r="B163" s="429"/>
      <c r="C163" s="429" t="s">
        <v>672</v>
      </c>
      <c r="D163" s="420" t="s">
        <v>662</v>
      </c>
      <c r="E163" s="421">
        <f>2274+166</f>
        <v>2440</v>
      </c>
      <c r="F163" s="421"/>
      <c r="G163" s="421"/>
      <c r="H163" s="421"/>
      <c r="I163" s="421">
        <f>E163-F163-G163</f>
        <v>2440</v>
      </c>
      <c r="J163" s="422"/>
      <c r="K163" s="422"/>
      <c r="L163" s="421">
        <f>L162-L164</f>
        <v>2440</v>
      </c>
      <c r="M163" s="425"/>
      <c r="O163" s="444"/>
    </row>
    <row r="164" spans="1:15" x14ac:dyDescent="0.2">
      <c r="A164" s="504"/>
      <c r="B164" s="429"/>
      <c r="C164" s="424" t="s">
        <v>693</v>
      </c>
      <c r="D164" s="490" t="s">
        <v>687</v>
      </c>
      <c r="E164" s="498">
        <f>2836-166</f>
        <v>2670</v>
      </c>
      <c r="F164" s="498"/>
      <c r="G164" s="498"/>
      <c r="H164" s="498"/>
      <c r="I164" s="498">
        <f>E164-F164-G164</f>
        <v>2670</v>
      </c>
      <c r="J164" s="509">
        <f>'[9]Объемы на 01.01.2020г.'!J7</f>
        <v>52</v>
      </c>
      <c r="K164" s="498"/>
      <c r="L164" s="509">
        <f>E164+E165+E166+E167+J164</f>
        <v>2722</v>
      </c>
      <c r="M164" s="510"/>
      <c r="O164" s="444"/>
    </row>
    <row r="165" spans="1:15" x14ac:dyDescent="0.2">
      <c r="A165" s="504"/>
      <c r="B165" s="429"/>
      <c r="C165" s="424" t="s">
        <v>694</v>
      </c>
      <c r="D165" s="490"/>
      <c r="E165" s="499"/>
      <c r="F165" s="499"/>
      <c r="G165" s="499"/>
      <c r="H165" s="499"/>
      <c r="I165" s="499"/>
      <c r="J165" s="490"/>
      <c r="K165" s="499"/>
      <c r="L165" s="490"/>
      <c r="M165" s="511"/>
      <c r="O165" s="444"/>
    </row>
    <row r="166" spans="1:15" x14ac:dyDescent="0.2">
      <c r="A166" s="504"/>
      <c r="B166" s="429"/>
      <c r="C166" s="424" t="s">
        <v>695</v>
      </c>
      <c r="D166" s="490"/>
      <c r="E166" s="499"/>
      <c r="F166" s="499"/>
      <c r="G166" s="499"/>
      <c r="H166" s="499"/>
      <c r="I166" s="499"/>
      <c r="J166" s="490"/>
      <c r="K166" s="499"/>
      <c r="L166" s="490"/>
      <c r="M166" s="511"/>
      <c r="O166" s="444"/>
    </row>
    <row r="167" spans="1:15" x14ac:dyDescent="0.2">
      <c r="A167" s="504"/>
      <c r="B167" s="429"/>
      <c r="C167" s="424" t="s">
        <v>696</v>
      </c>
      <c r="D167" s="490"/>
      <c r="E167" s="500"/>
      <c r="F167" s="500"/>
      <c r="G167" s="500"/>
      <c r="H167" s="500"/>
      <c r="I167" s="500"/>
      <c r="J167" s="490"/>
      <c r="K167" s="500"/>
      <c r="L167" s="490"/>
      <c r="M167" s="511"/>
      <c r="O167" s="444"/>
    </row>
    <row r="168" spans="1:15" s="447" customFormat="1" x14ac:dyDescent="0.2">
      <c r="A168" s="504">
        <v>79</v>
      </c>
      <c r="B168" s="455" t="s">
        <v>151</v>
      </c>
      <c r="C168" s="445" t="s">
        <v>697</v>
      </c>
      <c r="D168" s="428" t="s">
        <v>687</v>
      </c>
      <c r="E168" s="427">
        <f>E169+E170</f>
        <v>23479</v>
      </c>
      <c r="F168" s="427">
        <f>F169+F170</f>
        <v>0</v>
      </c>
      <c r="G168" s="427">
        <f>G169+G170</f>
        <v>0</v>
      </c>
      <c r="H168" s="427"/>
      <c r="I168" s="427">
        <f>I169+I170</f>
        <v>23479</v>
      </c>
      <c r="J168" s="428">
        <f>J170+J174</f>
        <v>766</v>
      </c>
      <c r="K168" s="428"/>
      <c r="L168" s="427">
        <f>E168+J168</f>
        <v>24245</v>
      </c>
      <c r="M168" s="430"/>
      <c r="O168" s="448"/>
    </row>
    <row r="169" spans="1:15" ht="15" customHeight="1" x14ac:dyDescent="0.2">
      <c r="A169" s="504"/>
      <c r="B169" s="429"/>
      <c r="C169" s="429" t="s">
        <v>672</v>
      </c>
      <c r="D169" s="420" t="s">
        <v>662</v>
      </c>
      <c r="E169" s="421">
        <f>10054-5-1+1107-1</f>
        <v>11154</v>
      </c>
      <c r="F169" s="421"/>
      <c r="G169" s="421"/>
      <c r="H169" s="421"/>
      <c r="I169" s="421">
        <f>E169-F169-G169</f>
        <v>11154</v>
      </c>
      <c r="J169" s="422"/>
      <c r="K169" s="422"/>
      <c r="L169" s="421">
        <f>L168-L170</f>
        <v>11154</v>
      </c>
      <c r="M169" s="425"/>
      <c r="O169" s="444"/>
    </row>
    <row r="170" spans="1:15" ht="15" customHeight="1" x14ac:dyDescent="0.2">
      <c r="A170" s="504"/>
      <c r="B170" s="429"/>
      <c r="C170" s="424" t="s">
        <v>698</v>
      </c>
      <c r="D170" s="490" t="s">
        <v>687</v>
      </c>
      <c r="E170" s="498">
        <f>11186-1-2-1+16+1110-5+22</f>
        <v>12325</v>
      </c>
      <c r="F170" s="498"/>
      <c r="G170" s="498"/>
      <c r="H170" s="498"/>
      <c r="I170" s="498">
        <f>E170-F170-G170</f>
        <v>12325</v>
      </c>
      <c r="J170" s="489">
        <f>'[8]СВОД по ВМП'!$F$11+11+60-22</f>
        <v>279</v>
      </c>
      <c r="K170" s="506"/>
      <c r="L170" s="498">
        <f>E170+J170+J174</f>
        <v>13091</v>
      </c>
      <c r="M170" s="501"/>
      <c r="O170" s="444"/>
    </row>
    <row r="171" spans="1:15" ht="15" customHeight="1" x14ac:dyDescent="0.2">
      <c r="A171" s="504"/>
      <c r="B171" s="429"/>
      <c r="C171" s="424" t="s">
        <v>699</v>
      </c>
      <c r="D171" s="490"/>
      <c r="E171" s="499"/>
      <c r="F171" s="499"/>
      <c r="G171" s="499"/>
      <c r="H171" s="499"/>
      <c r="I171" s="499"/>
      <c r="J171" s="490"/>
      <c r="K171" s="508"/>
      <c r="L171" s="499"/>
      <c r="M171" s="502"/>
      <c r="O171" s="444"/>
    </row>
    <row r="172" spans="1:15" ht="15" customHeight="1" x14ac:dyDescent="0.2">
      <c r="A172" s="504"/>
      <c r="B172" s="429"/>
      <c r="C172" s="424" t="s">
        <v>700</v>
      </c>
      <c r="D172" s="490"/>
      <c r="E172" s="499"/>
      <c r="F172" s="499"/>
      <c r="G172" s="499"/>
      <c r="H172" s="499"/>
      <c r="I172" s="499"/>
      <c r="J172" s="490"/>
      <c r="K172" s="508"/>
      <c r="L172" s="499"/>
      <c r="M172" s="502"/>
      <c r="O172" s="444"/>
    </row>
    <row r="173" spans="1:15" ht="15" customHeight="1" x14ac:dyDescent="0.2">
      <c r="A173" s="504"/>
      <c r="B173" s="429"/>
      <c r="C173" s="424" t="s">
        <v>701</v>
      </c>
      <c r="D173" s="490"/>
      <c r="E173" s="499"/>
      <c r="F173" s="499"/>
      <c r="G173" s="499"/>
      <c r="H173" s="499"/>
      <c r="I173" s="499"/>
      <c r="J173" s="490"/>
      <c r="K173" s="508"/>
      <c r="L173" s="499"/>
      <c r="M173" s="502"/>
      <c r="O173" s="444"/>
    </row>
    <row r="174" spans="1:15" ht="15" customHeight="1" x14ac:dyDescent="0.2">
      <c r="A174" s="504"/>
      <c r="B174" s="429"/>
      <c r="C174" s="424" t="s">
        <v>702</v>
      </c>
      <c r="D174" s="490"/>
      <c r="E174" s="499"/>
      <c r="F174" s="499"/>
      <c r="G174" s="499"/>
      <c r="H174" s="499"/>
      <c r="I174" s="499"/>
      <c r="J174" s="489">
        <f>597-26-163+76+3</f>
        <v>487</v>
      </c>
      <c r="K174" s="508"/>
      <c r="L174" s="499"/>
      <c r="M174" s="502"/>
      <c r="O174" s="444"/>
    </row>
    <row r="175" spans="1:15" ht="15" customHeight="1" x14ac:dyDescent="0.2">
      <c r="A175" s="504"/>
      <c r="B175" s="429"/>
      <c r="C175" s="424" t="s">
        <v>703</v>
      </c>
      <c r="D175" s="490"/>
      <c r="E175" s="500"/>
      <c r="F175" s="500"/>
      <c r="G175" s="500"/>
      <c r="H175" s="500"/>
      <c r="I175" s="500"/>
      <c r="J175" s="490"/>
      <c r="K175" s="507"/>
      <c r="L175" s="500"/>
      <c r="M175" s="503"/>
      <c r="O175" s="444"/>
    </row>
    <row r="176" spans="1:15" s="447" customFormat="1" x14ac:dyDescent="0.2">
      <c r="A176" s="504">
        <v>80</v>
      </c>
      <c r="B176" s="455" t="s">
        <v>12</v>
      </c>
      <c r="C176" s="445" t="s">
        <v>704</v>
      </c>
      <c r="D176" s="428" t="s">
        <v>687</v>
      </c>
      <c r="E176" s="427">
        <f>E177+E179+E178</f>
        <v>22809</v>
      </c>
      <c r="F176" s="427">
        <f>F177+F179+F178</f>
        <v>135</v>
      </c>
      <c r="G176" s="427">
        <f>G177+G179+G178</f>
        <v>1432</v>
      </c>
      <c r="H176" s="427">
        <f>H177+H179+H178</f>
        <v>2715</v>
      </c>
      <c r="I176" s="427">
        <f>I177+I179+I178</f>
        <v>18527</v>
      </c>
      <c r="J176" s="427">
        <f>J179+J182+J183</f>
        <v>1001</v>
      </c>
      <c r="K176" s="431"/>
      <c r="L176" s="427">
        <f>E176+J176</f>
        <v>23810</v>
      </c>
      <c r="M176" s="430"/>
      <c r="O176" s="448"/>
    </row>
    <row r="177" spans="1:15" x14ac:dyDescent="0.2">
      <c r="A177" s="504"/>
      <c r="B177" s="429"/>
      <c r="C177" s="429" t="s">
        <v>672</v>
      </c>
      <c r="D177" s="420" t="s">
        <v>662</v>
      </c>
      <c r="E177" s="421">
        <f>16165-5-4-2-36+11+50+1350-3673+6+1330+8+202-2</f>
        <v>15400</v>
      </c>
      <c r="F177" s="421">
        <f>158-36</f>
        <v>122</v>
      </c>
      <c r="G177" s="421">
        <f>1326+50+6+50</f>
        <v>1432</v>
      </c>
      <c r="H177" s="421">
        <v>858</v>
      </c>
      <c r="I177" s="421">
        <f>E177-F177-G177-H177</f>
        <v>12988</v>
      </c>
      <c r="J177" s="422"/>
      <c r="K177" s="422"/>
      <c r="L177" s="421">
        <f>L176-L179-L178</f>
        <v>15400</v>
      </c>
      <c r="M177" s="425"/>
      <c r="O177" s="444"/>
    </row>
    <row r="178" spans="1:15" x14ac:dyDescent="0.2">
      <c r="A178" s="504"/>
      <c r="B178" s="429"/>
      <c r="C178" s="429">
        <v>10224001</v>
      </c>
      <c r="D178" s="420" t="s">
        <v>665</v>
      </c>
      <c r="E178" s="436">
        <f>3673-1601-215</f>
        <v>1857</v>
      </c>
      <c r="F178" s="436"/>
      <c r="G178" s="436"/>
      <c r="H178" s="436">
        <f>3673-1601-215</f>
        <v>1857</v>
      </c>
      <c r="I178" s="421"/>
      <c r="J178" s="422"/>
      <c r="K178" s="437"/>
      <c r="L178" s="436">
        <f>E178+J178</f>
        <v>1857</v>
      </c>
      <c r="M178" s="438"/>
      <c r="O178" s="444"/>
    </row>
    <row r="179" spans="1:15" ht="15.75" customHeight="1" x14ac:dyDescent="0.2">
      <c r="A179" s="504"/>
      <c r="B179" s="429"/>
      <c r="C179" s="424" t="s">
        <v>705</v>
      </c>
      <c r="D179" s="490" t="s">
        <v>687</v>
      </c>
      <c r="E179" s="498">
        <f>6648+20-50-1350+271+13</f>
        <v>5552</v>
      </c>
      <c r="F179" s="498">
        <v>13</v>
      </c>
      <c r="G179" s="498"/>
      <c r="H179" s="498"/>
      <c r="I179" s="498">
        <f>E179-F179-G179</f>
        <v>5539</v>
      </c>
      <c r="J179" s="489">
        <f>273+4+119-1+12</f>
        <v>407</v>
      </c>
      <c r="K179" s="506"/>
      <c r="L179" s="498">
        <f>E179+J179+J182+J183</f>
        <v>6553</v>
      </c>
      <c r="M179" s="501"/>
      <c r="O179" s="444"/>
    </row>
    <row r="180" spans="1:15" x14ac:dyDescent="0.2">
      <c r="A180" s="504"/>
      <c r="B180" s="429"/>
      <c r="C180" s="424" t="s">
        <v>706</v>
      </c>
      <c r="D180" s="490"/>
      <c r="E180" s="499"/>
      <c r="F180" s="499"/>
      <c r="G180" s="499"/>
      <c r="H180" s="499"/>
      <c r="I180" s="499"/>
      <c r="J180" s="490"/>
      <c r="K180" s="508"/>
      <c r="L180" s="499"/>
      <c r="M180" s="502"/>
      <c r="O180" s="444"/>
    </row>
    <row r="181" spans="1:15" x14ac:dyDescent="0.2">
      <c r="A181" s="504"/>
      <c r="B181" s="429"/>
      <c r="C181" s="424" t="s">
        <v>707</v>
      </c>
      <c r="D181" s="490"/>
      <c r="E181" s="499"/>
      <c r="F181" s="499"/>
      <c r="G181" s="499"/>
      <c r="H181" s="499"/>
      <c r="I181" s="499"/>
      <c r="J181" s="490"/>
      <c r="K181" s="507"/>
      <c r="L181" s="499"/>
      <c r="M181" s="502"/>
      <c r="O181" s="444"/>
    </row>
    <row r="182" spans="1:15" x14ac:dyDescent="0.2">
      <c r="A182" s="504"/>
      <c r="B182" s="429"/>
      <c r="C182" s="424" t="s">
        <v>708</v>
      </c>
      <c r="D182" s="490"/>
      <c r="E182" s="499"/>
      <c r="F182" s="499"/>
      <c r="G182" s="499"/>
      <c r="H182" s="499"/>
      <c r="I182" s="499"/>
      <c r="J182" s="432">
        <f>'[8]СВОД по ВМП'!$E$20-1-2</f>
        <v>2</v>
      </c>
      <c r="K182" s="432"/>
      <c r="L182" s="499"/>
      <c r="M182" s="502"/>
      <c r="O182" s="444"/>
    </row>
    <row r="183" spans="1:15" x14ac:dyDescent="0.2">
      <c r="A183" s="504"/>
      <c r="B183" s="429"/>
      <c r="C183" s="424" t="s">
        <v>709</v>
      </c>
      <c r="D183" s="490"/>
      <c r="E183" s="499"/>
      <c r="F183" s="499"/>
      <c r="G183" s="499"/>
      <c r="H183" s="499"/>
      <c r="I183" s="499"/>
      <c r="J183" s="506">
        <f>'[8]СВОД по ВМП'!$E$24-139-10-4-7-12</f>
        <v>592</v>
      </c>
      <c r="K183" s="506"/>
      <c r="L183" s="499"/>
      <c r="M183" s="502"/>
      <c r="O183" s="444"/>
    </row>
    <row r="184" spans="1:15" x14ac:dyDescent="0.2">
      <c r="A184" s="504"/>
      <c r="B184" s="429"/>
      <c r="C184" s="424" t="s">
        <v>710</v>
      </c>
      <c r="D184" s="490"/>
      <c r="E184" s="500"/>
      <c r="F184" s="500"/>
      <c r="G184" s="500"/>
      <c r="H184" s="500"/>
      <c r="I184" s="500"/>
      <c r="J184" s="507"/>
      <c r="K184" s="507"/>
      <c r="L184" s="500"/>
      <c r="M184" s="503"/>
      <c r="O184" s="444"/>
    </row>
    <row r="185" spans="1:15" x14ac:dyDescent="0.2">
      <c r="A185" s="504">
        <v>81</v>
      </c>
      <c r="B185" s="455" t="s">
        <v>113</v>
      </c>
      <c r="C185" s="445" t="s">
        <v>711</v>
      </c>
      <c r="D185" s="428" t="s">
        <v>687</v>
      </c>
      <c r="E185" s="427">
        <f>E186+E187</f>
        <v>14376</v>
      </c>
      <c r="F185" s="427">
        <f>F186+F187</f>
        <v>0</v>
      </c>
      <c r="G185" s="427">
        <f>G186+G187</f>
        <v>3270</v>
      </c>
      <c r="H185" s="427">
        <f>H186+H187</f>
        <v>73</v>
      </c>
      <c r="I185" s="427">
        <f>I186+I187</f>
        <v>11033</v>
      </c>
      <c r="J185" s="428">
        <f>J187+J190+J191+J192+J193</f>
        <v>405</v>
      </c>
      <c r="K185" s="428"/>
      <c r="L185" s="427">
        <f>E185+J185</f>
        <v>14781</v>
      </c>
      <c r="M185" s="430"/>
      <c r="O185" s="444"/>
    </row>
    <row r="186" spans="1:15" x14ac:dyDescent="0.2">
      <c r="A186" s="504"/>
      <c r="B186" s="429"/>
      <c r="C186" s="429" t="s">
        <v>672</v>
      </c>
      <c r="D186" s="420" t="s">
        <v>662</v>
      </c>
      <c r="E186" s="421">
        <f>8943-1+160+3+1-2-176-11+6-80-37+7</f>
        <v>8813</v>
      </c>
      <c r="F186" s="421"/>
      <c r="G186" s="421">
        <f>3000+260+10</f>
        <v>3270</v>
      </c>
      <c r="H186" s="421"/>
      <c r="I186" s="421">
        <f>E186-F186-G186-H186</f>
        <v>5543</v>
      </c>
      <c r="J186" s="422"/>
      <c r="K186" s="422"/>
      <c r="L186" s="421">
        <f>L185-L187-L190-L191-L193</f>
        <v>8813</v>
      </c>
      <c r="M186" s="425"/>
      <c r="O186" s="444"/>
    </row>
    <row r="187" spans="1:15" x14ac:dyDescent="0.2">
      <c r="A187" s="504"/>
      <c r="B187" s="429"/>
      <c r="C187" s="424">
        <v>26</v>
      </c>
      <c r="D187" s="490" t="s">
        <v>687</v>
      </c>
      <c r="E187" s="498">
        <f>5485-2-150+1-4-17+176+80+1-7</f>
        <v>5563</v>
      </c>
      <c r="F187" s="498"/>
      <c r="G187" s="498"/>
      <c r="H187" s="498">
        <f>80-7</f>
        <v>73</v>
      </c>
      <c r="I187" s="498">
        <f>E187-F187-G187-H187</f>
        <v>5490</v>
      </c>
      <c r="J187" s="506">
        <f>120-30-10-10-10-2</f>
        <v>58</v>
      </c>
      <c r="K187" s="506"/>
      <c r="L187" s="498">
        <f>E187+J187+J190+J191+J193</f>
        <v>5968</v>
      </c>
      <c r="M187" s="501"/>
      <c r="O187" s="444"/>
    </row>
    <row r="188" spans="1:15" x14ac:dyDescent="0.2">
      <c r="A188" s="504"/>
      <c r="B188" s="429"/>
      <c r="C188" s="424">
        <v>27</v>
      </c>
      <c r="D188" s="490"/>
      <c r="E188" s="499"/>
      <c r="F188" s="499"/>
      <c r="G188" s="499"/>
      <c r="H188" s="499"/>
      <c r="I188" s="499"/>
      <c r="J188" s="508"/>
      <c r="K188" s="508"/>
      <c r="L188" s="499"/>
      <c r="M188" s="502"/>
      <c r="O188" s="444"/>
    </row>
    <row r="189" spans="1:15" x14ac:dyDescent="0.2">
      <c r="A189" s="504"/>
      <c r="B189" s="429"/>
      <c r="C189" s="424">
        <v>10212001</v>
      </c>
      <c r="D189" s="490"/>
      <c r="E189" s="499"/>
      <c r="F189" s="499"/>
      <c r="G189" s="499"/>
      <c r="H189" s="499"/>
      <c r="I189" s="499"/>
      <c r="J189" s="507"/>
      <c r="K189" s="507"/>
      <c r="L189" s="499"/>
      <c r="M189" s="502"/>
      <c r="O189" s="444"/>
    </row>
    <row r="190" spans="1:15" x14ac:dyDescent="0.2">
      <c r="A190" s="504"/>
      <c r="B190" s="429"/>
      <c r="C190" s="424">
        <v>290</v>
      </c>
      <c r="D190" s="490"/>
      <c r="E190" s="499"/>
      <c r="F190" s="499"/>
      <c r="G190" s="499"/>
      <c r="H190" s="499"/>
      <c r="I190" s="499"/>
      <c r="J190" s="432">
        <f>'[8]СВОД по ВМП'!$L$27+8-4</f>
        <v>40</v>
      </c>
      <c r="K190" s="432"/>
      <c r="L190" s="499"/>
      <c r="M190" s="502"/>
      <c r="O190" s="444"/>
    </row>
    <row r="191" spans="1:15" x14ac:dyDescent="0.2">
      <c r="A191" s="504"/>
      <c r="B191" s="429"/>
      <c r="C191" s="424">
        <v>292</v>
      </c>
      <c r="D191" s="490"/>
      <c r="E191" s="499"/>
      <c r="F191" s="499"/>
      <c r="G191" s="499"/>
      <c r="H191" s="499"/>
      <c r="I191" s="499"/>
      <c r="J191" s="489">
        <f>'[8]СВОД по ВМП'!$L$26+28+13+37-18</f>
        <v>291</v>
      </c>
      <c r="K191" s="506"/>
      <c r="L191" s="499"/>
      <c r="M191" s="502"/>
      <c r="O191" s="444"/>
    </row>
    <row r="192" spans="1:15" x14ac:dyDescent="0.2">
      <c r="A192" s="504"/>
      <c r="B192" s="429"/>
      <c r="C192" s="424">
        <v>289</v>
      </c>
      <c r="D192" s="490"/>
      <c r="E192" s="499"/>
      <c r="F192" s="499"/>
      <c r="G192" s="499"/>
      <c r="H192" s="499"/>
      <c r="I192" s="499"/>
      <c r="J192" s="490"/>
      <c r="K192" s="507"/>
      <c r="L192" s="499"/>
      <c r="M192" s="502"/>
      <c r="O192" s="444"/>
    </row>
    <row r="193" spans="1:15" x14ac:dyDescent="0.2">
      <c r="A193" s="504"/>
      <c r="B193" s="429"/>
      <c r="C193" s="424">
        <v>291</v>
      </c>
      <c r="D193" s="490"/>
      <c r="E193" s="500"/>
      <c r="F193" s="500"/>
      <c r="G193" s="500"/>
      <c r="H193" s="500"/>
      <c r="I193" s="500"/>
      <c r="J193" s="432">
        <f>'[8]СВОД по ВМП'!$L$17-1-4</f>
        <v>16</v>
      </c>
      <c r="K193" s="432"/>
      <c r="L193" s="500"/>
      <c r="M193" s="503"/>
      <c r="O193" s="444"/>
    </row>
    <row r="194" spans="1:15" x14ac:dyDescent="0.2">
      <c r="A194" s="504">
        <v>82</v>
      </c>
      <c r="B194" s="455" t="s">
        <v>9</v>
      </c>
      <c r="C194" s="445" t="s">
        <v>259</v>
      </c>
      <c r="D194" s="428" t="s">
        <v>687</v>
      </c>
      <c r="E194" s="427">
        <f>E195+E196</f>
        <v>13421</v>
      </c>
      <c r="F194" s="427">
        <f>F195+F196</f>
        <v>1</v>
      </c>
      <c r="G194" s="427">
        <f>G195+G196</f>
        <v>540</v>
      </c>
      <c r="H194" s="427">
        <f>H195+H196</f>
        <v>9299</v>
      </c>
      <c r="I194" s="427">
        <f>I195+I196</f>
        <v>3581</v>
      </c>
      <c r="J194" s="431">
        <f>J196+J199+J201+J203</f>
        <v>769</v>
      </c>
      <c r="K194" s="431"/>
      <c r="L194" s="427">
        <f>E194+J194</f>
        <v>14190</v>
      </c>
      <c r="M194" s="430"/>
      <c r="O194" s="444"/>
    </row>
    <row r="195" spans="1:15" x14ac:dyDescent="0.2">
      <c r="A195" s="504"/>
      <c r="B195" s="429"/>
      <c r="C195" s="429" t="s">
        <v>672</v>
      </c>
      <c r="D195" s="420" t="s">
        <v>662</v>
      </c>
      <c r="E195" s="421">
        <f>3247-10+4639+1943-150-70-7+750+159+1000+68-639</f>
        <v>10930</v>
      </c>
      <c r="F195" s="421">
        <f>188+27-150-37-27</f>
        <v>1</v>
      </c>
      <c r="G195" s="421">
        <f>1428-70-750-68</f>
        <v>540</v>
      </c>
      <c r="H195" s="421">
        <f>8650+358+27+1000+68+68-639-233</f>
        <v>9299</v>
      </c>
      <c r="I195" s="421">
        <f>E195-F195-G195-H195</f>
        <v>1090</v>
      </c>
      <c r="J195" s="422"/>
      <c r="K195" s="422"/>
      <c r="L195" s="421">
        <f>L194-L196-L199-L201-L203</f>
        <v>10930</v>
      </c>
      <c r="M195" s="425"/>
      <c r="O195" s="444"/>
    </row>
    <row r="196" spans="1:15" x14ac:dyDescent="0.2">
      <c r="A196" s="504"/>
      <c r="B196" s="429"/>
      <c r="C196" s="429" t="s">
        <v>712</v>
      </c>
      <c r="D196" s="490" t="s">
        <v>687</v>
      </c>
      <c r="E196" s="498">
        <f>9319-4639-1-1943-50-1-9-26-159</f>
        <v>2491</v>
      </c>
      <c r="F196" s="498">
        <f>64-50-14</f>
        <v>0</v>
      </c>
      <c r="G196" s="498"/>
      <c r="H196" s="498"/>
      <c r="I196" s="498">
        <f>E196-F196-G196</f>
        <v>2491</v>
      </c>
      <c r="J196" s="489">
        <f>'[8]СВОД по ВМП'!$O$24+18+12</f>
        <v>276</v>
      </c>
      <c r="K196" s="506"/>
      <c r="L196" s="498">
        <f>E196+J196+J199+J201+J203</f>
        <v>3260</v>
      </c>
      <c r="M196" s="501"/>
      <c r="O196" s="444"/>
    </row>
    <row r="197" spans="1:15" x14ac:dyDescent="0.2">
      <c r="A197" s="504"/>
      <c r="B197" s="429"/>
      <c r="C197" s="429">
        <v>409</v>
      </c>
      <c r="D197" s="490"/>
      <c r="E197" s="499"/>
      <c r="F197" s="499"/>
      <c r="G197" s="499"/>
      <c r="H197" s="499"/>
      <c r="I197" s="499"/>
      <c r="J197" s="490"/>
      <c r="K197" s="508"/>
      <c r="L197" s="499"/>
      <c r="M197" s="502"/>
      <c r="O197" s="444"/>
    </row>
    <row r="198" spans="1:15" x14ac:dyDescent="0.2">
      <c r="A198" s="504"/>
      <c r="B198" s="429"/>
      <c r="C198" s="429">
        <v>707</v>
      </c>
      <c r="D198" s="490"/>
      <c r="E198" s="499"/>
      <c r="F198" s="499"/>
      <c r="G198" s="499"/>
      <c r="H198" s="499"/>
      <c r="I198" s="499"/>
      <c r="J198" s="490"/>
      <c r="K198" s="508"/>
      <c r="L198" s="499"/>
      <c r="M198" s="502"/>
      <c r="O198" s="444"/>
    </row>
    <row r="199" spans="1:15" x14ac:dyDescent="0.2">
      <c r="A199" s="504"/>
      <c r="B199" s="429"/>
      <c r="C199" s="429" t="s">
        <v>713</v>
      </c>
      <c r="D199" s="490"/>
      <c r="E199" s="499"/>
      <c r="F199" s="499"/>
      <c r="G199" s="499"/>
      <c r="H199" s="499"/>
      <c r="I199" s="499"/>
      <c r="J199" s="489">
        <f>'[8]СВОД по ВМП'!$O$26+62+23-88</f>
        <v>231</v>
      </c>
      <c r="K199" s="506"/>
      <c r="L199" s="499"/>
      <c r="M199" s="502"/>
      <c r="O199" s="444"/>
    </row>
    <row r="200" spans="1:15" x14ac:dyDescent="0.2">
      <c r="A200" s="504"/>
      <c r="B200" s="429"/>
      <c r="C200" s="429">
        <v>507</v>
      </c>
      <c r="D200" s="490"/>
      <c r="E200" s="499"/>
      <c r="F200" s="499"/>
      <c r="G200" s="499"/>
      <c r="H200" s="499"/>
      <c r="I200" s="499"/>
      <c r="J200" s="490"/>
      <c r="K200" s="507"/>
      <c r="L200" s="499"/>
      <c r="M200" s="502"/>
      <c r="O200" s="444"/>
    </row>
    <row r="201" spans="1:15" x14ac:dyDescent="0.2">
      <c r="A201" s="504"/>
      <c r="B201" s="429"/>
      <c r="C201" s="429" t="s">
        <v>228</v>
      </c>
      <c r="D201" s="490"/>
      <c r="E201" s="499"/>
      <c r="F201" s="499"/>
      <c r="G201" s="499"/>
      <c r="H201" s="499"/>
      <c r="I201" s="499"/>
      <c r="J201" s="489">
        <f>'[8]СВОД по ВМП'!$O$11-71</f>
        <v>129</v>
      </c>
      <c r="K201" s="506"/>
      <c r="L201" s="499"/>
      <c r="M201" s="502"/>
      <c r="O201" s="444"/>
    </row>
    <row r="202" spans="1:15" x14ac:dyDescent="0.2">
      <c r="A202" s="504"/>
      <c r="B202" s="429"/>
      <c r="C202" s="429">
        <v>351</v>
      </c>
      <c r="D202" s="490"/>
      <c r="E202" s="499"/>
      <c r="F202" s="499"/>
      <c r="G202" s="499"/>
      <c r="H202" s="499"/>
      <c r="I202" s="499"/>
      <c r="J202" s="490"/>
      <c r="K202" s="507"/>
      <c r="L202" s="499"/>
      <c r="M202" s="502"/>
      <c r="O202" s="444"/>
    </row>
    <row r="203" spans="1:15" x14ac:dyDescent="0.2">
      <c r="A203" s="504"/>
      <c r="B203" s="429"/>
      <c r="C203" s="429" t="s">
        <v>714</v>
      </c>
      <c r="D203" s="490"/>
      <c r="E203" s="500"/>
      <c r="F203" s="500"/>
      <c r="G203" s="500"/>
      <c r="H203" s="500"/>
      <c r="I203" s="500"/>
      <c r="J203" s="432">
        <f>'[8]СВОД по ВМП'!$O$16+10+8</f>
        <v>133</v>
      </c>
      <c r="K203" s="432"/>
      <c r="L203" s="500"/>
      <c r="M203" s="503"/>
      <c r="O203" s="444"/>
    </row>
    <row r="204" spans="1:15" x14ac:dyDescent="0.2">
      <c r="A204" s="504">
        <v>83</v>
      </c>
      <c r="B204" s="457" t="s">
        <v>3</v>
      </c>
      <c r="C204" s="445" t="s">
        <v>715</v>
      </c>
      <c r="D204" s="428" t="s">
        <v>687</v>
      </c>
      <c r="E204" s="427">
        <f>E205+E206+E218</f>
        <v>25007</v>
      </c>
      <c r="F204" s="427">
        <f>F205+F206+F218</f>
        <v>1490</v>
      </c>
      <c r="G204" s="427">
        <f>G205+G206+G218</f>
        <v>898</v>
      </c>
      <c r="H204" s="427"/>
      <c r="I204" s="427">
        <f>I205+I206+I218</f>
        <v>22619</v>
      </c>
      <c r="J204" s="427">
        <f>J206+J208+J209+J210+J211+J212+J213+J214+J217</f>
        <v>1210</v>
      </c>
      <c r="K204" s="427"/>
      <c r="L204" s="427">
        <f>E204+J204</f>
        <v>26217</v>
      </c>
      <c r="M204" s="430"/>
      <c r="O204" s="444"/>
    </row>
    <row r="205" spans="1:15" x14ac:dyDescent="0.2">
      <c r="A205" s="504"/>
      <c r="B205" s="429"/>
      <c r="C205" s="429" t="s">
        <v>672</v>
      </c>
      <c r="D205" s="420" t="s">
        <v>662</v>
      </c>
      <c r="E205" s="421">
        <f>7191-5+4-225-2+188+300+250+1500-1-100</f>
        <v>9100</v>
      </c>
      <c r="F205" s="421">
        <f>1213+8+4-225+250-100</f>
        <v>1150</v>
      </c>
      <c r="G205" s="421">
        <v>898</v>
      </c>
      <c r="H205" s="421"/>
      <c r="I205" s="421">
        <f>E205-F205-G205</f>
        <v>7052</v>
      </c>
      <c r="J205" s="422"/>
      <c r="K205" s="422"/>
      <c r="L205" s="421">
        <f>L204-L206-L208-L209-L210-L211-L212-L214-L213-L217-L218</f>
        <v>9100</v>
      </c>
      <c r="M205" s="425"/>
      <c r="O205" s="444"/>
    </row>
    <row r="206" spans="1:15" x14ac:dyDescent="0.2">
      <c r="A206" s="504"/>
      <c r="B206" s="429"/>
      <c r="C206" s="424">
        <v>22287</v>
      </c>
      <c r="D206" s="490" t="s">
        <v>687</v>
      </c>
      <c r="E206" s="498">
        <f>13640+1-20+1+377-1+6+100</f>
        <v>14104</v>
      </c>
      <c r="F206" s="498">
        <f>253-20+1+6+100</f>
        <v>340</v>
      </c>
      <c r="G206" s="498"/>
      <c r="H206" s="498"/>
      <c r="I206" s="498">
        <f>E206-F206-G206</f>
        <v>13764</v>
      </c>
      <c r="J206" s="489">
        <f>'[8]СВОД по ВМП'!$P$10+5+1</f>
        <v>71</v>
      </c>
      <c r="K206" s="489"/>
      <c r="L206" s="498">
        <f>E206+J206+J208+J209+J210+J211+J212+J213+J214+J217</f>
        <v>15314</v>
      </c>
      <c r="M206" s="501"/>
      <c r="O206" s="444"/>
    </row>
    <row r="207" spans="1:15" x14ac:dyDescent="0.2">
      <c r="A207" s="504"/>
      <c r="B207" s="429"/>
      <c r="C207" s="424">
        <v>22306</v>
      </c>
      <c r="D207" s="490"/>
      <c r="E207" s="499"/>
      <c r="F207" s="499"/>
      <c r="G207" s="499"/>
      <c r="H207" s="499"/>
      <c r="I207" s="499"/>
      <c r="J207" s="490"/>
      <c r="K207" s="490"/>
      <c r="L207" s="499"/>
      <c r="M207" s="502"/>
      <c r="O207" s="444"/>
    </row>
    <row r="208" spans="1:15" x14ac:dyDescent="0.2">
      <c r="A208" s="504"/>
      <c r="B208" s="429"/>
      <c r="C208" s="424">
        <v>22291</v>
      </c>
      <c r="D208" s="490"/>
      <c r="E208" s="499"/>
      <c r="F208" s="499"/>
      <c r="G208" s="499"/>
      <c r="H208" s="499"/>
      <c r="I208" s="499"/>
      <c r="J208" s="432">
        <f>'[8]СВОД по ВМП'!$P$11+5-2+1</f>
        <v>51</v>
      </c>
      <c r="K208" s="432"/>
      <c r="L208" s="499"/>
      <c r="M208" s="502"/>
      <c r="O208" s="444"/>
    </row>
    <row r="209" spans="1:15" x14ac:dyDescent="0.2">
      <c r="A209" s="504"/>
      <c r="B209" s="429"/>
      <c r="C209" s="424">
        <v>22292</v>
      </c>
      <c r="D209" s="490"/>
      <c r="E209" s="499"/>
      <c r="F209" s="499"/>
      <c r="G209" s="499"/>
      <c r="H209" s="499"/>
      <c r="I209" s="499"/>
      <c r="J209" s="432">
        <f>'[8]СВОД по ВМП'!$P$27-1</f>
        <v>9</v>
      </c>
      <c r="K209" s="432"/>
      <c r="L209" s="499"/>
      <c r="M209" s="502"/>
      <c r="O209" s="444"/>
    </row>
    <row r="210" spans="1:15" x14ac:dyDescent="0.2">
      <c r="A210" s="504"/>
      <c r="B210" s="429"/>
      <c r="C210" s="424">
        <v>22294</v>
      </c>
      <c r="D210" s="490"/>
      <c r="E210" s="499"/>
      <c r="F210" s="499"/>
      <c r="G210" s="499"/>
      <c r="H210" s="499"/>
      <c r="I210" s="499"/>
      <c r="J210" s="432">
        <f>'[8]СВОД по ВМП'!$P$28+3-2</f>
        <v>61</v>
      </c>
      <c r="K210" s="432"/>
      <c r="L210" s="499"/>
      <c r="M210" s="502"/>
      <c r="O210" s="444"/>
    </row>
    <row r="211" spans="1:15" x14ac:dyDescent="0.2">
      <c r="A211" s="504"/>
      <c r="B211" s="429"/>
      <c r="C211" s="424">
        <v>22296</v>
      </c>
      <c r="D211" s="490"/>
      <c r="E211" s="499"/>
      <c r="F211" s="499"/>
      <c r="G211" s="499"/>
      <c r="H211" s="499"/>
      <c r="I211" s="499"/>
      <c r="J211" s="432">
        <f>'[8]СВОД по ВМП'!$P$20+1+7-5+3</f>
        <v>71</v>
      </c>
      <c r="K211" s="432"/>
      <c r="L211" s="499"/>
      <c r="M211" s="502"/>
      <c r="O211" s="444"/>
    </row>
    <row r="212" spans="1:15" x14ac:dyDescent="0.2">
      <c r="A212" s="504"/>
      <c r="B212" s="429"/>
      <c r="C212" s="424">
        <v>22297</v>
      </c>
      <c r="D212" s="490"/>
      <c r="E212" s="499"/>
      <c r="F212" s="499"/>
      <c r="G212" s="499"/>
      <c r="H212" s="499"/>
      <c r="I212" s="499"/>
      <c r="J212" s="432">
        <f>'[8]СВОД по ВМП'!$P$12</f>
        <v>60</v>
      </c>
      <c r="K212" s="432"/>
      <c r="L212" s="499"/>
      <c r="M212" s="502"/>
      <c r="O212" s="444"/>
    </row>
    <row r="213" spans="1:15" x14ac:dyDescent="0.2">
      <c r="A213" s="504"/>
      <c r="B213" s="429"/>
      <c r="C213" s="424">
        <v>22301</v>
      </c>
      <c r="D213" s="490"/>
      <c r="E213" s="499"/>
      <c r="F213" s="499"/>
      <c r="G213" s="499"/>
      <c r="H213" s="499"/>
      <c r="I213" s="499"/>
      <c r="J213" s="432">
        <f>'[8]СВОД по ВМП'!$P$29</f>
        <v>20</v>
      </c>
      <c r="K213" s="432"/>
      <c r="L213" s="499"/>
      <c r="M213" s="502"/>
      <c r="O213" s="444"/>
    </row>
    <row r="214" spans="1:15" x14ac:dyDescent="0.2">
      <c r="A214" s="504"/>
      <c r="B214" s="429"/>
      <c r="C214" s="424">
        <v>22289</v>
      </c>
      <c r="D214" s="490"/>
      <c r="E214" s="499"/>
      <c r="F214" s="499"/>
      <c r="G214" s="499"/>
      <c r="H214" s="499"/>
      <c r="I214" s="499"/>
      <c r="J214" s="489">
        <f>'[8]СВОД по ВМП'!$P$26+'[8]СВОД по ВМП'!$P$17-1-13+6-12+2+3-6+5</f>
        <v>316</v>
      </c>
      <c r="K214" s="489"/>
      <c r="L214" s="499"/>
      <c r="M214" s="502"/>
      <c r="O214" s="444"/>
    </row>
    <row r="215" spans="1:15" x14ac:dyDescent="0.2">
      <c r="A215" s="504"/>
      <c r="B215" s="429"/>
      <c r="C215" s="424">
        <v>22295</v>
      </c>
      <c r="D215" s="490"/>
      <c r="E215" s="499"/>
      <c r="F215" s="499"/>
      <c r="G215" s="499"/>
      <c r="H215" s="499"/>
      <c r="I215" s="499"/>
      <c r="J215" s="490"/>
      <c r="K215" s="490"/>
      <c r="L215" s="499"/>
      <c r="M215" s="502"/>
      <c r="O215" s="444"/>
    </row>
    <row r="216" spans="1:15" x14ac:dyDescent="0.2">
      <c r="A216" s="504"/>
      <c r="B216" s="429"/>
      <c r="C216" s="424">
        <v>22293</v>
      </c>
      <c r="D216" s="490"/>
      <c r="E216" s="499"/>
      <c r="F216" s="499"/>
      <c r="G216" s="499"/>
      <c r="H216" s="499"/>
      <c r="I216" s="499"/>
      <c r="J216" s="490"/>
      <c r="K216" s="490"/>
      <c r="L216" s="499"/>
      <c r="M216" s="502"/>
      <c r="O216" s="444"/>
    </row>
    <row r="217" spans="1:15" x14ac:dyDescent="0.2">
      <c r="A217" s="504"/>
      <c r="B217" s="429"/>
      <c r="C217" s="424">
        <v>22303</v>
      </c>
      <c r="D217" s="490"/>
      <c r="E217" s="500"/>
      <c r="F217" s="500"/>
      <c r="G217" s="500"/>
      <c r="H217" s="500"/>
      <c r="I217" s="500"/>
      <c r="J217" s="432">
        <f>'[8]СВОД по ВМП'!$P$24+39+12</f>
        <v>551</v>
      </c>
      <c r="K217" s="432"/>
      <c r="L217" s="500"/>
      <c r="M217" s="503"/>
      <c r="O217" s="444"/>
    </row>
    <row r="218" spans="1:15" x14ac:dyDescent="0.2">
      <c r="A218" s="504"/>
      <c r="B218" s="429"/>
      <c r="C218" s="424">
        <v>357</v>
      </c>
      <c r="D218" s="490" t="s">
        <v>658</v>
      </c>
      <c r="E218" s="509">
        <f>2116-313</f>
        <v>1803</v>
      </c>
      <c r="F218" s="498"/>
      <c r="G218" s="498"/>
      <c r="H218" s="498"/>
      <c r="I218" s="498">
        <f>E218-F218-G218</f>
        <v>1803</v>
      </c>
      <c r="J218" s="490"/>
      <c r="K218" s="490"/>
      <c r="L218" s="509">
        <f>E218+J218</f>
        <v>1803</v>
      </c>
      <c r="M218" s="510"/>
      <c r="O218" s="444"/>
    </row>
    <row r="219" spans="1:15" x14ac:dyDescent="0.2">
      <c r="A219" s="504"/>
      <c r="B219" s="429"/>
      <c r="C219" s="424">
        <v>358</v>
      </c>
      <c r="D219" s="490"/>
      <c r="E219" s="490"/>
      <c r="F219" s="499"/>
      <c r="G219" s="499"/>
      <c r="H219" s="499"/>
      <c r="I219" s="499"/>
      <c r="J219" s="490"/>
      <c r="K219" s="490"/>
      <c r="L219" s="490"/>
      <c r="M219" s="511"/>
      <c r="O219" s="444"/>
    </row>
    <row r="220" spans="1:15" x14ac:dyDescent="0.2">
      <c r="A220" s="504"/>
      <c r="B220" s="429"/>
      <c r="C220" s="424">
        <v>360</v>
      </c>
      <c r="D220" s="490"/>
      <c r="E220" s="490"/>
      <c r="F220" s="499"/>
      <c r="G220" s="499"/>
      <c r="H220" s="499"/>
      <c r="I220" s="499"/>
      <c r="J220" s="490"/>
      <c r="K220" s="490"/>
      <c r="L220" s="490"/>
      <c r="M220" s="511"/>
      <c r="O220" s="444"/>
    </row>
    <row r="221" spans="1:15" x14ac:dyDescent="0.2">
      <c r="A221" s="504"/>
      <c r="B221" s="429"/>
      <c r="C221" s="424">
        <v>369</v>
      </c>
      <c r="D221" s="490"/>
      <c r="E221" s="490"/>
      <c r="F221" s="499"/>
      <c r="G221" s="499"/>
      <c r="H221" s="499"/>
      <c r="I221" s="499"/>
      <c r="J221" s="490"/>
      <c r="K221" s="490"/>
      <c r="L221" s="490"/>
      <c r="M221" s="511"/>
      <c r="O221" s="444"/>
    </row>
    <row r="222" spans="1:15" x14ac:dyDescent="0.2">
      <c r="A222" s="504"/>
      <c r="B222" s="429"/>
      <c r="C222" s="424">
        <v>370</v>
      </c>
      <c r="D222" s="490"/>
      <c r="E222" s="490"/>
      <c r="F222" s="499"/>
      <c r="G222" s="499"/>
      <c r="H222" s="499"/>
      <c r="I222" s="499"/>
      <c r="J222" s="490"/>
      <c r="K222" s="490"/>
      <c r="L222" s="490"/>
      <c r="M222" s="511"/>
      <c r="O222" s="444"/>
    </row>
    <row r="223" spans="1:15" x14ac:dyDescent="0.2">
      <c r="A223" s="504"/>
      <c r="B223" s="429"/>
      <c r="C223" s="424">
        <v>371</v>
      </c>
      <c r="D223" s="490"/>
      <c r="E223" s="490"/>
      <c r="F223" s="499"/>
      <c r="G223" s="499"/>
      <c r="H223" s="499"/>
      <c r="I223" s="499"/>
      <c r="J223" s="490"/>
      <c r="K223" s="490"/>
      <c r="L223" s="490"/>
      <c r="M223" s="511"/>
      <c r="O223" s="444"/>
    </row>
    <row r="224" spans="1:15" x14ac:dyDescent="0.2">
      <c r="A224" s="504"/>
      <c r="B224" s="429"/>
      <c r="C224" s="424">
        <v>373</v>
      </c>
      <c r="D224" s="490"/>
      <c r="E224" s="490"/>
      <c r="F224" s="499"/>
      <c r="G224" s="499"/>
      <c r="H224" s="499"/>
      <c r="I224" s="499"/>
      <c r="J224" s="490"/>
      <c r="K224" s="490"/>
      <c r="L224" s="490"/>
      <c r="M224" s="511"/>
      <c r="O224" s="444"/>
    </row>
    <row r="225" spans="1:15" x14ac:dyDescent="0.2">
      <c r="A225" s="504"/>
      <c r="B225" s="429"/>
      <c r="C225" s="424">
        <v>375</v>
      </c>
      <c r="D225" s="490"/>
      <c r="E225" s="490"/>
      <c r="F225" s="500"/>
      <c r="G225" s="500"/>
      <c r="H225" s="500"/>
      <c r="I225" s="500"/>
      <c r="J225" s="490"/>
      <c r="K225" s="490"/>
      <c r="L225" s="490"/>
      <c r="M225" s="511"/>
      <c r="O225" s="444"/>
    </row>
    <row r="226" spans="1:15" x14ac:dyDescent="0.2">
      <c r="A226" s="424">
        <v>84</v>
      </c>
      <c r="B226" s="458" t="s">
        <v>196</v>
      </c>
      <c r="C226" s="445" t="s">
        <v>716</v>
      </c>
      <c r="D226" s="428" t="s">
        <v>687</v>
      </c>
      <c r="E226" s="427">
        <f>8877-388</f>
        <v>8489</v>
      </c>
      <c r="F226" s="427"/>
      <c r="G226" s="427"/>
      <c r="H226" s="427"/>
      <c r="I226" s="427">
        <f>E226-F226-G226</f>
        <v>8489</v>
      </c>
      <c r="J226" s="427">
        <f>'[9]Объемы на 01.01.2020г.'!J9</f>
        <v>2400</v>
      </c>
      <c r="K226" s="427"/>
      <c r="L226" s="427">
        <f>E226+J226</f>
        <v>10889</v>
      </c>
      <c r="M226" s="430"/>
      <c r="O226" s="444"/>
    </row>
    <row r="227" spans="1:15" x14ac:dyDescent="0.2">
      <c r="A227" s="505">
        <v>85</v>
      </c>
      <c r="B227" s="458" t="s">
        <v>15</v>
      </c>
      <c r="C227" s="445" t="s">
        <v>603</v>
      </c>
      <c r="D227" s="428" t="s">
        <v>717</v>
      </c>
      <c r="E227" s="427">
        <f>E228+E229</f>
        <v>25515</v>
      </c>
      <c r="F227" s="427">
        <f>F228+F229</f>
        <v>2267</v>
      </c>
      <c r="G227" s="427">
        <f>G228+G229</f>
        <v>795</v>
      </c>
      <c r="H227" s="427">
        <f>H228</f>
        <v>1683</v>
      </c>
      <c r="I227" s="427">
        <f>I228+I229</f>
        <v>20770</v>
      </c>
      <c r="J227" s="427">
        <f>J229+J231+J232+J233+J234+J238+J239+J240+J243+J244+J245</f>
        <v>2603</v>
      </c>
      <c r="K227" s="427">
        <f>K234</f>
        <v>170</v>
      </c>
      <c r="L227" s="427">
        <f>E227+J227</f>
        <v>28118</v>
      </c>
      <c r="M227" s="430"/>
      <c r="O227" s="444"/>
    </row>
    <row r="228" spans="1:15" x14ac:dyDescent="0.2">
      <c r="A228" s="505"/>
      <c r="B228" s="459"/>
      <c r="C228" s="429" t="s">
        <v>672</v>
      </c>
      <c r="D228" s="420" t="s">
        <v>662</v>
      </c>
      <c r="E228" s="421">
        <f>6031-1+2+70+167+50+1000+1081-504-399-5-1+200</f>
        <v>7691</v>
      </c>
      <c r="F228" s="421"/>
      <c r="G228" s="421">
        <f>932+70-330+150-27</f>
        <v>795</v>
      </c>
      <c r="H228" s="421">
        <f>594+1180+330+1000-767-150-504</f>
        <v>1683</v>
      </c>
      <c r="I228" s="421">
        <f>E228-F228-G228-H228</f>
        <v>5213</v>
      </c>
      <c r="J228" s="422"/>
      <c r="K228" s="422"/>
      <c r="L228" s="421">
        <f>L227-L229</f>
        <v>7691</v>
      </c>
      <c r="M228" s="425"/>
      <c r="O228" s="444"/>
    </row>
    <row r="229" spans="1:15" x14ac:dyDescent="0.2">
      <c r="A229" s="505"/>
      <c r="B229" s="459"/>
      <c r="C229" s="424" t="s">
        <v>718</v>
      </c>
      <c r="D229" s="490" t="s">
        <v>717</v>
      </c>
      <c r="E229" s="498">
        <f>18115-5-1-6-200-1+16-2-5+358-1+250-11-1081+399-1</f>
        <v>17824</v>
      </c>
      <c r="F229" s="498">
        <f>1968-1-200+350+150</f>
        <v>2267</v>
      </c>
      <c r="G229" s="498"/>
      <c r="H229" s="498"/>
      <c r="I229" s="498">
        <f>E229-F229-G229</f>
        <v>15557</v>
      </c>
      <c r="J229" s="489">
        <f>'[8]СВОД по ВМП'!$D$11-16+11</f>
        <v>395</v>
      </c>
      <c r="K229" s="489"/>
      <c r="L229" s="498">
        <f>E229+J229+J231+J232+J233+J234+J238+J239+J240+J243+J244+J245</f>
        <v>20427</v>
      </c>
      <c r="M229" s="501"/>
      <c r="O229" s="444"/>
    </row>
    <row r="230" spans="1:15" x14ac:dyDescent="0.2">
      <c r="A230" s="505"/>
      <c r="B230" s="459"/>
      <c r="C230" s="424" t="s">
        <v>719</v>
      </c>
      <c r="D230" s="490"/>
      <c r="E230" s="499"/>
      <c r="F230" s="499"/>
      <c r="G230" s="499"/>
      <c r="H230" s="499"/>
      <c r="I230" s="499"/>
      <c r="J230" s="490"/>
      <c r="K230" s="490"/>
      <c r="L230" s="499"/>
      <c r="M230" s="502"/>
      <c r="O230" s="444"/>
    </row>
    <row r="231" spans="1:15" x14ac:dyDescent="0.2">
      <c r="A231" s="505"/>
      <c r="B231" s="459"/>
      <c r="C231" s="424" t="s">
        <v>720</v>
      </c>
      <c r="D231" s="490"/>
      <c r="E231" s="499"/>
      <c r="F231" s="499"/>
      <c r="G231" s="499"/>
      <c r="H231" s="499"/>
      <c r="I231" s="499"/>
      <c r="J231" s="432">
        <f>'[8]СВОД по ВМП'!$D$24+10+8</f>
        <v>418</v>
      </c>
      <c r="K231" s="432"/>
      <c r="L231" s="499"/>
      <c r="M231" s="502"/>
      <c r="O231" s="444"/>
    </row>
    <row r="232" spans="1:15" x14ac:dyDescent="0.2">
      <c r="A232" s="505"/>
      <c r="B232" s="459"/>
      <c r="C232" s="424" t="s">
        <v>721</v>
      </c>
      <c r="D232" s="490"/>
      <c r="E232" s="499"/>
      <c r="F232" s="499"/>
      <c r="G232" s="499"/>
      <c r="H232" s="499"/>
      <c r="I232" s="499"/>
      <c r="J232" s="432">
        <f>'[8]СВОД по ВМП'!$D$23+3</f>
        <v>203</v>
      </c>
      <c r="K232" s="432"/>
      <c r="L232" s="499"/>
      <c r="M232" s="502"/>
      <c r="O232" s="444"/>
    </row>
    <row r="233" spans="1:15" x14ac:dyDescent="0.2">
      <c r="A233" s="505"/>
      <c r="B233" s="459"/>
      <c r="C233" s="424" t="s">
        <v>722</v>
      </c>
      <c r="D233" s="490"/>
      <c r="E233" s="499"/>
      <c r="F233" s="499"/>
      <c r="G233" s="499"/>
      <c r="H233" s="499"/>
      <c r="I233" s="499"/>
      <c r="J233" s="432">
        <f>'[8]СВОД по ВМП'!$D$12+3</f>
        <v>53</v>
      </c>
      <c r="K233" s="432"/>
      <c r="L233" s="499"/>
      <c r="M233" s="502"/>
      <c r="O233" s="444"/>
    </row>
    <row r="234" spans="1:15" x14ac:dyDescent="0.2">
      <c r="A234" s="505"/>
      <c r="B234" s="459"/>
      <c r="C234" s="424" t="s">
        <v>723</v>
      </c>
      <c r="D234" s="490"/>
      <c r="E234" s="499"/>
      <c r="F234" s="499"/>
      <c r="G234" s="499"/>
      <c r="H234" s="499"/>
      <c r="I234" s="499"/>
      <c r="J234" s="489">
        <f>'[8]СВОД по ВМП'!$D$10+'[8]СВОД по ВМП'!$D$19+'[8]СВОД по ВМП'!$D$13+20</f>
        <v>380</v>
      </c>
      <c r="K234" s="489">
        <v>170</v>
      </c>
      <c r="L234" s="499"/>
      <c r="M234" s="502"/>
      <c r="O234" s="444"/>
    </row>
    <row r="235" spans="1:15" x14ac:dyDescent="0.2">
      <c r="A235" s="505"/>
      <c r="B235" s="459"/>
      <c r="C235" s="424" t="s">
        <v>724</v>
      </c>
      <c r="D235" s="490"/>
      <c r="E235" s="499"/>
      <c r="F235" s="499"/>
      <c r="G235" s="499"/>
      <c r="H235" s="499"/>
      <c r="I235" s="499"/>
      <c r="J235" s="490"/>
      <c r="K235" s="490"/>
      <c r="L235" s="499"/>
      <c r="M235" s="502"/>
      <c r="O235" s="444"/>
    </row>
    <row r="236" spans="1:15" ht="12.75" customHeight="1" x14ac:dyDescent="0.2">
      <c r="A236" s="505"/>
      <c r="B236" s="459"/>
      <c r="C236" s="424" t="s">
        <v>725</v>
      </c>
      <c r="D236" s="490"/>
      <c r="E236" s="499"/>
      <c r="F236" s="499"/>
      <c r="G236" s="499"/>
      <c r="H236" s="499"/>
      <c r="I236" s="499"/>
      <c r="J236" s="490"/>
      <c r="K236" s="490"/>
      <c r="L236" s="499"/>
      <c r="M236" s="502"/>
      <c r="O236" s="444"/>
    </row>
    <row r="237" spans="1:15" x14ac:dyDescent="0.2">
      <c r="A237" s="505"/>
      <c r="B237" s="459"/>
      <c r="C237" s="424" t="s">
        <v>726</v>
      </c>
      <c r="D237" s="490"/>
      <c r="E237" s="499"/>
      <c r="F237" s="499"/>
      <c r="G237" s="499"/>
      <c r="H237" s="499"/>
      <c r="I237" s="499"/>
      <c r="J237" s="490"/>
      <c r="K237" s="490"/>
      <c r="L237" s="499"/>
      <c r="M237" s="502"/>
      <c r="O237" s="444"/>
    </row>
    <row r="238" spans="1:15" x14ac:dyDescent="0.2">
      <c r="A238" s="505"/>
      <c r="B238" s="459"/>
      <c r="C238" s="424" t="s">
        <v>621</v>
      </c>
      <c r="D238" s="490"/>
      <c r="E238" s="499"/>
      <c r="F238" s="499"/>
      <c r="G238" s="499"/>
      <c r="H238" s="499"/>
      <c r="I238" s="499"/>
      <c r="J238" s="432">
        <f>'[8]СВОД по ВМП'!$D$29</f>
        <v>20</v>
      </c>
      <c r="K238" s="432"/>
      <c r="L238" s="499"/>
      <c r="M238" s="502"/>
      <c r="O238" s="444"/>
    </row>
    <row r="239" spans="1:15" x14ac:dyDescent="0.2">
      <c r="A239" s="505"/>
      <c r="B239" s="459"/>
      <c r="C239" s="424" t="s">
        <v>727</v>
      </c>
      <c r="D239" s="490"/>
      <c r="E239" s="499"/>
      <c r="F239" s="499"/>
      <c r="G239" s="499"/>
      <c r="H239" s="499"/>
      <c r="I239" s="499"/>
      <c r="J239" s="432">
        <f>'[8]СВОД по ВМП'!$D$25+4</f>
        <v>24</v>
      </c>
      <c r="K239" s="432"/>
      <c r="L239" s="499"/>
      <c r="M239" s="502"/>
      <c r="O239" s="444"/>
    </row>
    <row r="240" spans="1:15" x14ac:dyDescent="0.2">
      <c r="A240" s="505"/>
      <c r="B240" s="459"/>
      <c r="C240" s="424" t="s">
        <v>728</v>
      </c>
      <c r="D240" s="490"/>
      <c r="E240" s="499"/>
      <c r="F240" s="499"/>
      <c r="G240" s="499"/>
      <c r="H240" s="499"/>
      <c r="I240" s="499"/>
      <c r="J240" s="489">
        <f>'[8]СВОД по ВМП'!$D$26+'[8]СВОД по ВМП'!$D$17-22-4-5-7-4-7</f>
        <v>691</v>
      </c>
      <c r="K240" s="489"/>
      <c r="L240" s="499"/>
      <c r="M240" s="502"/>
      <c r="O240" s="444"/>
    </row>
    <row r="241" spans="1:15" ht="12.75" customHeight="1" x14ac:dyDescent="0.2">
      <c r="A241" s="505"/>
      <c r="B241" s="459"/>
      <c r="C241" s="424" t="s">
        <v>729</v>
      </c>
      <c r="D241" s="490"/>
      <c r="E241" s="499"/>
      <c r="F241" s="499"/>
      <c r="G241" s="499"/>
      <c r="H241" s="499"/>
      <c r="I241" s="499"/>
      <c r="J241" s="490"/>
      <c r="K241" s="490"/>
      <c r="L241" s="499"/>
      <c r="M241" s="502"/>
      <c r="O241" s="444"/>
    </row>
    <row r="242" spans="1:15" ht="12.75" customHeight="1" x14ac:dyDescent="0.2">
      <c r="A242" s="505"/>
      <c r="B242" s="459"/>
      <c r="C242" s="424" t="s">
        <v>730</v>
      </c>
      <c r="D242" s="490"/>
      <c r="E242" s="499"/>
      <c r="F242" s="499"/>
      <c r="G242" s="499"/>
      <c r="H242" s="499"/>
      <c r="I242" s="499"/>
      <c r="J242" s="490"/>
      <c r="K242" s="490"/>
      <c r="L242" s="499"/>
      <c r="M242" s="502"/>
      <c r="O242" s="444"/>
    </row>
    <row r="243" spans="1:15" x14ac:dyDescent="0.2">
      <c r="A243" s="505"/>
      <c r="B243" s="459"/>
      <c r="C243" s="424" t="s">
        <v>731</v>
      </c>
      <c r="D243" s="490"/>
      <c r="E243" s="499"/>
      <c r="F243" s="499"/>
      <c r="G243" s="499"/>
      <c r="H243" s="499"/>
      <c r="I243" s="499"/>
      <c r="J243" s="432">
        <f>'[8]СВОД по ВМП'!$D$20-4</f>
        <v>146</v>
      </c>
      <c r="K243" s="432"/>
      <c r="L243" s="499"/>
      <c r="M243" s="502"/>
      <c r="O243" s="444"/>
    </row>
    <row r="244" spans="1:15" x14ac:dyDescent="0.2">
      <c r="A244" s="505"/>
      <c r="B244" s="459"/>
      <c r="C244" s="424" t="s">
        <v>732</v>
      </c>
      <c r="D244" s="490"/>
      <c r="E244" s="499"/>
      <c r="F244" s="499"/>
      <c r="G244" s="499"/>
      <c r="H244" s="499"/>
      <c r="I244" s="499"/>
      <c r="J244" s="432">
        <f>'[8]СВОД по ВМП'!$D$27+4</f>
        <v>134</v>
      </c>
      <c r="K244" s="432"/>
      <c r="L244" s="499"/>
      <c r="M244" s="502"/>
      <c r="O244" s="444"/>
    </row>
    <row r="245" spans="1:15" x14ac:dyDescent="0.2">
      <c r="A245" s="505"/>
      <c r="B245" s="459"/>
      <c r="C245" s="424" t="s">
        <v>733</v>
      </c>
      <c r="D245" s="490"/>
      <c r="E245" s="499"/>
      <c r="F245" s="499"/>
      <c r="G245" s="499"/>
      <c r="H245" s="499"/>
      <c r="I245" s="499"/>
      <c r="J245" s="489">
        <f>160-30+9</f>
        <v>139</v>
      </c>
      <c r="K245" s="489"/>
      <c r="L245" s="499"/>
      <c r="M245" s="502"/>
      <c r="O245" s="444"/>
    </row>
    <row r="246" spans="1:15" x14ac:dyDescent="0.2">
      <c r="A246" s="505"/>
      <c r="B246" s="459"/>
      <c r="C246" s="424" t="s">
        <v>734</v>
      </c>
      <c r="D246" s="490"/>
      <c r="E246" s="500"/>
      <c r="F246" s="500"/>
      <c r="G246" s="500"/>
      <c r="H246" s="500"/>
      <c r="I246" s="500"/>
      <c r="J246" s="490"/>
      <c r="K246" s="490"/>
      <c r="L246" s="500"/>
      <c r="M246" s="503"/>
      <c r="O246" s="444"/>
    </row>
    <row r="247" spans="1:15" x14ac:dyDescent="0.2">
      <c r="A247" s="504">
        <v>86</v>
      </c>
      <c r="B247" s="455" t="s">
        <v>10</v>
      </c>
      <c r="C247" s="445" t="s">
        <v>7</v>
      </c>
      <c r="D247" s="428" t="s">
        <v>717</v>
      </c>
      <c r="E247" s="427">
        <f>E248+E249</f>
        <v>17701</v>
      </c>
      <c r="F247" s="427">
        <f>F248+F249</f>
        <v>821</v>
      </c>
      <c r="G247" s="427">
        <f>G248+G249</f>
        <v>317</v>
      </c>
      <c r="H247" s="427"/>
      <c r="I247" s="427">
        <f>I248+I249</f>
        <v>16563</v>
      </c>
      <c r="J247" s="427">
        <f>J249+J252+J253+J254+J255+J257+J261+J262+J265+J264</f>
        <v>1131</v>
      </c>
      <c r="K247" s="427">
        <f>K249</f>
        <v>97</v>
      </c>
      <c r="L247" s="427">
        <f>E247+J247</f>
        <v>18832</v>
      </c>
      <c r="M247" s="430"/>
      <c r="O247" s="444"/>
    </row>
    <row r="248" spans="1:15" x14ac:dyDescent="0.2">
      <c r="A248" s="504"/>
      <c r="B248" s="429"/>
      <c r="C248" s="429" t="s">
        <v>672</v>
      </c>
      <c r="D248" s="420" t="s">
        <v>662</v>
      </c>
      <c r="E248" s="421">
        <f>5309+100+218</f>
        <v>5627</v>
      </c>
      <c r="F248" s="421"/>
      <c r="G248" s="421">
        <f>296+21</f>
        <v>317</v>
      </c>
      <c r="H248" s="421"/>
      <c r="I248" s="421">
        <f>E248-F248-G248</f>
        <v>5310</v>
      </c>
      <c r="J248" s="422"/>
      <c r="K248" s="422"/>
      <c r="L248" s="421">
        <f>L247-L249-L252-L253-L254-L255-L257-L261-L262-L265-L264</f>
        <v>5627</v>
      </c>
      <c r="M248" s="425"/>
      <c r="O248" s="444"/>
    </row>
    <row r="249" spans="1:15" x14ac:dyDescent="0.2">
      <c r="A249" s="504"/>
      <c r="B249" s="429"/>
      <c r="C249" s="424" t="s">
        <v>735</v>
      </c>
      <c r="D249" s="490" t="s">
        <v>736</v>
      </c>
      <c r="E249" s="498">
        <f>11392+117-5-1-6-2-2-1+582</f>
        <v>12074</v>
      </c>
      <c r="F249" s="498">
        <f>703+1+117</f>
        <v>821</v>
      </c>
      <c r="G249" s="498"/>
      <c r="H249" s="498"/>
      <c r="I249" s="498">
        <f>E249-F249-G249</f>
        <v>11253</v>
      </c>
      <c r="J249" s="489">
        <f>'[8]СВОД по ВМП'!$K$11+'[8]СВОД по ВМП'!$K$13+'[8]СВОД по ВМП'!$K$19+3-2-1+1</f>
        <v>161</v>
      </c>
      <c r="K249" s="489">
        <f>100-2-1</f>
        <v>97</v>
      </c>
      <c r="L249" s="498">
        <f>E249+J249+J252+J253+J254+J255+J257+J261+J262+J264+J265</f>
        <v>13205</v>
      </c>
      <c r="M249" s="501"/>
      <c r="O249" s="444"/>
    </row>
    <row r="250" spans="1:15" x14ac:dyDescent="0.2">
      <c r="A250" s="504"/>
      <c r="B250" s="429"/>
      <c r="C250" s="424" t="s">
        <v>737</v>
      </c>
      <c r="D250" s="490"/>
      <c r="E250" s="499"/>
      <c r="F250" s="499"/>
      <c r="G250" s="499"/>
      <c r="H250" s="499"/>
      <c r="I250" s="499"/>
      <c r="J250" s="490"/>
      <c r="K250" s="490"/>
      <c r="L250" s="499"/>
      <c r="M250" s="502"/>
      <c r="O250" s="444"/>
    </row>
    <row r="251" spans="1:15" ht="13.5" customHeight="1" x14ac:dyDescent="0.2">
      <c r="A251" s="504"/>
      <c r="B251" s="429"/>
      <c r="C251" s="424" t="s">
        <v>738</v>
      </c>
      <c r="D251" s="490"/>
      <c r="E251" s="499"/>
      <c r="F251" s="499"/>
      <c r="G251" s="499"/>
      <c r="H251" s="499"/>
      <c r="I251" s="499"/>
      <c r="J251" s="490"/>
      <c r="K251" s="490"/>
      <c r="L251" s="499"/>
      <c r="M251" s="502"/>
      <c r="O251" s="444"/>
    </row>
    <row r="252" spans="1:15" x14ac:dyDescent="0.2">
      <c r="A252" s="504"/>
      <c r="B252" s="429"/>
      <c r="C252" s="424" t="s">
        <v>739</v>
      </c>
      <c r="D252" s="490"/>
      <c r="E252" s="499"/>
      <c r="F252" s="499"/>
      <c r="G252" s="499"/>
      <c r="H252" s="499"/>
      <c r="I252" s="499"/>
      <c r="J252" s="432">
        <f>'[8]СВОД по ВМП'!$K$29</f>
        <v>170</v>
      </c>
      <c r="K252" s="432"/>
      <c r="L252" s="499"/>
      <c r="M252" s="502"/>
      <c r="O252" s="444"/>
    </row>
    <row r="253" spans="1:15" x14ac:dyDescent="0.2">
      <c r="A253" s="504"/>
      <c r="B253" s="429"/>
      <c r="C253" s="424" t="s">
        <v>740</v>
      </c>
      <c r="D253" s="490"/>
      <c r="E253" s="499"/>
      <c r="F253" s="499"/>
      <c r="G253" s="499"/>
      <c r="H253" s="499"/>
      <c r="I253" s="499"/>
      <c r="J253" s="432">
        <f>'[8]СВОД по ВМП'!$K$27-10+3</f>
        <v>123</v>
      </c>
      <c r="K253" s="432"/>
      <c r="L253" s="499"/>
      <c r="M253" s="502"/>
      <c r="O253" s="444"/>
    </row>
    <row r="254" spans="1:15" x14ac:dyDescent="0.2">
      <c r="A254" s="504"/>
      <c r="B254" s="429"/>
      <c r="C254" s="424" t="s">
        <v>741</v>
      </c>
      <c r="D254" s="490"/>
      <c r="E254" s="499"/>
      <c r="F254" s="499"/>
      <c r="G254" s="499"/>
      <c r="H254" s="499"/>
      <c r="I254" s="499"/>
      <c r="J254" s="432">
        <f>'[8]СВОД по ВМП'!$K$20+2+10+5+3</f>
        <v>70</v>
      </c>
      <c r="K254" s="432"/>
      <c r="L254" s="499"/>
      <c r="M254" s="502"/>
      <c r="O254" s="444"/>
    </row>
    <row r="255" spans="1:15" ht="15.75" customHeight="1" x14ac:dyDescent="0.2">
      <c r="A255" s="504"/>
      <c r="B255" s="429"/>
      <c r="C255" s="424" t="s">
        <v>742</v>
      </c>
      <c r="D255" s="490"/>
      <c r="E255" s="499"/>
      <c r="F255" s="499"/>
      <c r="G255" s="499"/>
      <c r="H255" s="499"/>
      <c r="I255" s="499"/>
      <c r="J255" s="489">
        <f>'[8]СВОД по ВМП'!$K$12+'[8]СВОД по ВМП'!$K$22+3+1+2</f>
        <v>83</v>
      </c>
      <c r="K255" s="489"/>
      <c r="L255" s="499"/>
      <c r="M255" s="502"/>
      <c r="O255" s="444"/>
    </row>
    <row r="256" spans="1:15" x14ac:dyDescent="0.2">
      <c r="A256" s="504"/>
      <c r="B256" s="429"/>
      <c r="C256" s="424" t="s">
        <v>743</v>
      </c>
      <c r="D256" s="490"/>
      <c r="E256" s="499"/>
      <c r="F256" s="499"/>
      <c r="G256" s="499"/>
      <c r="H256" s="499"/>
      <c r="I256" s="499"/>
      <c r="J256" s="490"/>
      <c r="K256" s="490"/>
      <c r="L256" s="499"/>
      <c r="M256" s="502"/>
      <c r="O256" s="444"/>
    </row>
    <row r="257" spans="1:15" x14ac:dyDescent="0.2">
      <c r="A257" s="504"/>
      <c r="B257" s="429"/>
      <c r="C257" s="424" t="s">
        <v>744</v>
      </c>
      <c r="D257" s="490"/>
      <c r="E257" s="499"/>
      <c r="F257" s="499"/>
      <c r="G257" s="499"/>
      <c r="H257" s="499"/>
      <c r="I257" s="499"/>
      <c r="J257" s="489">
        <f>'[8]СВОД по ВМП'!$K$26+'[8]СВОД по ВМП'!$K$17+'[8]СВОД по ВМП'!$K$28-14+3+1</f>
        <v>243</v>
      </c>
      <c r="K257" s="489"/>
      <c r="L257" s="499"/>
      <c r="M257" s="502"/>
      <c r="O257" s="444"/>
    </row>
    <row r="258" spans="1:15" ht="15" customHeight="1" x14ac:dyDescent="0.2">
      <c r="A258" s="504"/>
      <c r="B258" s="429"/>
      <c r="C258" s="424" t="s">
        <v>745</v>
      </c>
      <c r="D258" s="490"/>
      <c r="E258" s="499"/>
      <c r="F258" s="499"/>
      <c r="G258" s="499"/>
      <c r="H258" s="499"/>
      <c r="I258" s="499"/>
      <c r="J258" s="490"/>
      <c r="K258" s="490"/>
      <c r="L258" s="499"/>
      <c r="M258" s="502"/>
      <c r="O258" s="444"/>
    </row>
    <row r="259" spans="1:15" ht="13.5" customHeight="1" x14ac:dyDescent="0.2">
      <c r="A259" s="504"/>
      <c r="B259" s="429"/>
      <c r="C259" s="424">
        <v>22213</v>
      </c>
      <c r="D259" s="490"/>
      <c r="E259" s="499"/>
      <c r="F259" s="499"/>
      <c r="G259" s="499"/>
      <c r="H259" s="499"/>
      <c r="I259" s="499"/>
      <c r="J259" s="490"/>
      <c r="K259" s="490"/>
      <c r="L259" s="499"/>
      <c r="M259" s="502"/>
      <c r="O259" s="444"/>
    </row>
    <row r="260" spans="1:15" x14ac:dyDescent="0.2">
      <c r="A260" s="504"/>
      <c r="B260" s="429"/>
      <c r="C260" s="424" t="s">
        <v>746</v>
      </c>
      <c r="D260" s="490"/>
      <c r="E260" s="499"/>
      <c r="F260" s="499"/>
      <c r="G260" s="499"/>
      <c r="H260" s="499"/>
      <c r="I260" s="499"/>
      <c r="J260" s="490"/>
      <c r="K260" s="490"/>
      <c r="L260" s="499"/>
      <c r="M260" s="502"/>
      <c r="O260" s="444"/>
    </row>
    <row r="261" spans="1:15" x14ac:dyDescent="0.2">
      <c r="A261" s="504"/>
      <c r="B261" s="429"/>
      <c r="C261" s="424" t="s">
        <v>747</v>
      </c>
      <c r="D261" s="490"/>
      <c r="E261" s="499"/>
      <c r="F261" s="499"/>
      <c r="G261" s="499"/>
      <c r="H261" s="499"/>
      <c r="I261" s="499"/>
      <c r="J261" s="432">
        <f>'[8]СВОД по ВМП'!$K$18+3+8+5</f>
        <v>216</v>
      </c>
      <c r="K261" s="432"/>
      <c r="L261" s="499"/>
      <c r="M261" s="502"/>
      <c r="O261" s="444"/>
    </row>
    <row r="262" spans="1:15" ht="12.75" customHeight="1" x14ac:dyDescent="0.2">
      <c r="A262" s="504"/>
      <c r="B262" s="429"/>
      <c r="C262" s="424" t="s">
        <v>748</v>
      </c>
      <c r="D262" s="490"/>
      <c r="E262" s="499"/>
      <c r="F262" s="499"/>
      <c r="G262" s="499"/>
      <c r="H262" s="499"/>
      <c r="I262" s="499"/>
      <c r="J262" s="489">
        <f>'[8]СВОД по ВМП'!$K$14-11+1</f>
        <v>2</v>
      </c>
      <c r="K262" s="489"/>
      <c r="L262" s="499"/>
      <c r="M262" s="502"/>
      <c r="O262" s="444"/>
    </row>
    <row r="263" spans="1:15" x14ac:dyDescent="0.2">
      <c r="A263" s="504"/>
      <c r="B263" s="429"/>
      <c r="C263" s="424" t="s">
        <v>749</v>
      </c>
      <c r="D263" s="490"/>
      <c r="E263" s="499"/>
      <c r="F263" s="499"/>
      <c r="G263" s="499"/>
      <c r="H263" s="499"/>
      <c r="I263" s="499"/>
      <c r="J263" s="490"/>
      <c r="K263" s="490"/>
      <c r="L263" s="499"/>
      <c r="M263" s="502"/>
      <c r="O263" s="444"/>
    </row>
    <row r="264" spans="1:15" x14ac:dyDescent="0.2">
      <c r="A264" s="504"/>
      <c r="B264" s="429"/>
      <c r="C264" s="424">
        <v>22205</v>
      </c>
      <c r="D264" s="490"/>
      <c r="E264" s="499"/>
      <c r="F264" s="499"/>
      <c r="G264" s="499"/>
      <c r="H264" s="499"/>
      <c r="I264" s="499"/>
      <c r="J264" s="420">
        <f>5+1-2-1</f>
        <v>3</v>
      </c>
      <c r="K264" s="420"/>
      <c r="L264" s="499"/>
      <c r="M264" s="502"/>
      <c r="O264" s="444"/>
    </row>
    <row r="265" spans="1:15" x14ac:dyDescent="0.2">
      <c r="A265" s="504"/>
      <c r="B265" s="429"/>
      <c r="C265" s="424" t="s">
        <v>750</v>
      </c>
      <c r="D265" s="490"/>
      <c r="E265" s="500"/>
      <c r="F265" s="500"/>
      <c r="G265" s="500"/>
      <c r="H265" s="500"/>
      <c r="I265" s="500"/>
      <c r="J265" s="432">
        <f>'[8]СВОД по ВМП'!$K$21</f>
        <v>60</v>
      </c>
      <c r="K265" s="432"/>
      <c r="L265" s="500"/>
      <c r="M265" s="503"/>
      <c r="O265" s="444"/>
    </row>
    <row r="266" spans="1:15" x14ac:dyDescent="0.2">
      <c r="A266" s="424">
        <v>87</v>
      </c>
      <c r="B266" s="457" t="s">
        <v>436</v>
      </c>
      <c r="C266" s="419" t="s">
        <v>751</v>
      </c>
      <c r="D266" s="428" t="s">
        <v>717</v>
      </c>
      <c r="E266" s="427">
        <v>1086</v>
      </c>
      <c r="F266" s="427">
        <v>1000</v>
      </c>
      <c r="G266" s="427"/>
      <c r="H266" s="427"/>
      <c r="I266" s="427">
        <f>E266-F266-G266</f>
        <v>86</v>
      </c>
      <c r="J266" s="427">
        <f>'[9]Объемы на 01.01.2020г.'!J103</f>
        <v>265</v>
      </c>
      <c r="K266" s="427"/>
      <c r="L266" s="427">
        <f>E266+J266</f>
        <v>1351</v>
      </c>
      <c r="M266" s="430"/>
      <c r="O266" s="444"/>
    </row>
    <row r="267" spans="1:15" x14ac:dyDescent="0.2">
      <c r="A267" s="424">
        <v>88</v>
      </c>
      <c r="B267" s="458" t="s">
        <v>346</v>
      </c>
      <c r="C267" s="419" t="s">
        <v>347</v>
      </c>
      <c r="D267" s="428" t="s">
        <v>717</v>
      </c>
      <c r="E267" s="427">
        <f>5332+429+600-200</f>
        <v>6161</v>
      </c>
      <c r="F267" s="427"/>
      <c r="G267" s="427">
        <f>1472+300-150</f>
        <v>1622</v>
      </c>
      <c r="H267" s="427">
        <f>1183+150+520+600-55-130-200-66-47</f>
        <v>1955</v>
      </c>
      <c r="I267" s="427">
        <f>E267-F267-G267-H267</f>
        <v>2584</v>
      </c>
      <c r="J267" s="427">
        <f>'[9]Объемы на 01.01.2020г.'!J93</f>
        <v>210</v>
      </c>
      <c r="K267" s="427"/>
      <c r="L267" s="427">
        <f>E267+J267</f>
        <v>6371</v>
      </c>
      <c r="M267" s="430"/>
      <c r="O267" s="444"/>
    </row>
    <row r="268" spans="1:15" x14ac:dyDescent="0.2">
      <c r="A268" s="424">
        <v>89</v>
      </c>
      <c r="B268" s="458" t="s">
        <v>115</v>
      </c>
      <c r="C268" s="419" t="s">
        <v>617</v>
      </c>
      <c r="D268" s="428" t="s">
        <v>717</v>
      </c>
      <c r="E268" s="427">
        <f>573+111+20+500+81</f>
        <v>1285</v>
      </c>
      <c r="F268" s="427">
        <v>2</v>
      </c>
      <c r="G268" s="427">
        <f>3-2</f>
        <v>1</v>
      </c>
      <c r="H268" s="427">
        <f>370+500+81</f>
        <v>951</v>
      </c>
      <c r="I268" s="427">
        <f>E268-F268-G268-H268</f>
        <v>331</v>
      </c>
      <c r="J268" s="427">
        <v>10</v>
      </c>
      <c r="K268" s="427"/>
      <c r="L268" s="427">
        <f>E268+J268</f>
        <v>1295</v>
      </c>
      <c r="M268" s="430"/>
      <c r="O268" s="444"/>
    </row>
    <row r="269" spans="1:15" ht="27" customHeight="1" x14ac:dyDescent="0.2">
      <c r="A269" s="424"/>
      <c r="B269" s="424"/>
      <c r="C269" s="419" t="s">
        <v>752</v>
      </c>
      <c r="D269" s="420"/>
      <c r="E269" s="427">
        <f>20314-537-111-2-20-429-132-3339-400-300-500-527-200</f>
        <v>13817</v>
      </c>
      <c r="F269" s="427">
        <f>650-1+155</f>
        <v>804</v>
      </c>
      <c r="G269" s="427"/>
      <c r="H269" s="427"/>
      <c r="I269" s="427">
        <f>E269-F269-G269</f>
        <v>13013</v>
      </c>
      <c r="J269" s="427">
        <f>337-15-2-2-223-38-57</f>
        <v>0</v>
      </c>
      <c r="K269" s="427"/>
      <c r="L269" s="427">
        <f>E269+J269</f>
        <v>13817</v>
      </c>
      <c r="M269" s="439"/>
      <c r="O269" s="444"/>
    </row>
    <row r="270" spans="1:15" ht="16.5" customHeight="1" x14ac:dyDescent="0.2">
      <c r="A270" s="491" t="s">
        <v>453</v>
      </c>
      <c r="B270" s="492"/>
      <c r="C270" s="492"/>
      <c r="D270" s="493"/>
      <c r="E270" s="427">
        <f>SUM(E5:E67)+E78+E83+E87+E92+E98+E103+E114+E118+E126+E129+E133+E137+E150+E162+E168+E176+E185+E194+E204+E226+E227+E247+E266+E267+E269+E268+E70</f>
        <v>643753</v>
      </c>
      <c r="F270" s="427">
        <f t="shared" ref="F270:L270" si="6">SUM(F5:F67)+F78+F83+F87+F92+F98+F103+F114+F118+F126+F129+F133+F137+F150+F162+F168+F176+F185+F194+F204+F226+F227+F247+F266+F267+F269+F268+F70</f>
        <v>36744</v>
      </c>
      <c r="G270" s="427">
        <f t="shared" si="6"/>
        <v>15059</v>
      </c>
      <c r="H270" s="427">
        <f t="shared" si="6"/>
        <v>88834</v>
      </c>
      <c r="I270" s="427">
        <f t="shared" si="6"/>
        <v>503116</v>
      </c>
      <c r="J270" s="427">
        <f t="shared" si="6"/>
        <v>18839</v>
      </c>
      <c r="K270" s="427">
        <f t="shared" si="6"/>
        <v>1993</v>
      </c>
      <c r="L270" s="427">
        <f t="shared" si="6"/>
        <v>662592</v>
      </c>
      <c r="M270" s="430">
        <f>SUM(M5:M70)+M78+M83+M87+M92+M98+M103+M114+M118+M126+M129+M133+M137+M150+M162+M168+M176+M185+M194+M204+M226+M227+M247+M266+M267+M269</f>
        <v>3197</v>
      </c>
      <c r="O270" s="444"/>
    </row>
    <row r="271" spans="1:15" s="440" customFormat="1" x14ac:dyDescent="0.2">
      <c r="E271" s="441"/>
      <c r="F271" s="441"/>
      <c r="G271" s="441"/>
      <c r="H271" s="441"/>
      <c r="I271" s="441"/>
      <c r="J271" s="441"/>
      <c r="K271" s="441"/>
      <c r="L271" s="441"/>
      <c r="O271" s="442"/>
    </row>
    <row r="272" spans="1:15" s="440" customFormat="1" x14ac:dyDescent="0.2">
      <c r="E272" s="441"/>
      <c r="F272" s="441"/>
      <c r="G272" s="441"/>
      <c r="H272" s="441"/>
      <c r="I272" s="441"/>
      <c r="J272" s="441"/>
      <c r="K272" s="441"/>
      <c r="L272" s="441"/>
      <c r="M272" s="441"/>
      <c r="O272" s="442"/>
    </row>
    <row r="275" spans="6:6" x14ac:dyDescent="0.2">
      <c r="F275" s="423"/>
    </row>
  </sheetData>
  <mergeCells count="269">
    <mergeCell ref="A78:A82"/>
    <mergeCell ref="D80:D82"/>
    <mergeCell ref="E80:E82"/>
    <mergeCell ref="F80:F82"/>
    <mergeCell ref="G80:G82"/>
    <mergeCell ref="M2:M3"/>
    <mergeCell ref="A67:A69"/>
    <mergeCell ref="A70:A77"/>
    <mergeCell ref="D73:D77"/>
    <mergeCell ref="E73:E77"/>
    <mergeCell ref="F73:F77"/>
    <mergeCell ref="G73:G77"/>
    <mergeCell ref="H73:H77"/>
    <mergeCell ref="I73:I77"/>
    <mergeCell ref="A2:A3"/>
    <mergeCell ref="C2:C3"/>
    <mergeCell ref="D2:D3"/>
    <mergeCell ref="E2:E3"/>
    <mergeCell ref="F2:I2"/>
    <mergeCell ref="J2:J3"/>
    <mergeCell ref="L2:L3"/>
    <mergeCell ref="H80:H82"/>
    <mergeCell ref="I80:I82"/>
    <mergeCell ref="L80:L82"/>
    <mergeCell ref="M80:M82"/>
    <mergeCell ref="J81:J82"/>
    <mergeCell ref="K81:K82"/>
    <mergeCell ref="J73:J77"/>
    <mergeCell ref="K73:K77"/>
    <mergeCell ref="L73:L77"/>
    <mergeCell ref="M73:M77"/>
    <mergeCell ref="I89:I91"/>
    <mergeCell ref="L89:L91"/>
    <mergeCell ref="M89:M91"/>
    <mergeCell ref="J90:J91"/>
    <mergeCell ref="K90:K91"/>
    <mergeCell ref="I85:I86"/>
    <mergeCell ref="L85:L86"/>
    <mergeCell ref="M85:M86"/>
    <mergeCell ref="A87:A91"/>
    <mergeCell ref="D89:D91"/>
    <mergeCell ref="E89:E91"/>
    <mergeCell ref="F89:F91"/>
    <mergeCell ref="G89:G91"/>
    <mergeCell ref="H89:H91"/>
    <mergeCell ref="A83:A86"/>
    <mergeCell ref="D85:D86"/>
    <mergeCell ref="E85:E86"/>
    <mergeCell ref="F85:F86"/>
    <mergeCell ref="G85:G86"/>
    <mergeCell ref="H85:H86"/>
    <mergeCell ref="M95:M97"/>
    <mergeCell ref="A98:A102"/>
    <mergeCell ref="D100:D102"/>
    <mergeCell ref="E100:E102"/>
    <mergeCell ref="F100:F102"/>
    <mergeCell ref="G100:G102"/>
    <mergeCell ref="H100:H102"/>
    <mergeCell ref="I100:I102"/>
    <mergeCell ref="K100:K102"/>
    <mergeCell ref="L100:L102"/>
    <mergeCell ref="I95:I97"/>
    <mergeCell ref="J95:J97"/>
    <mergeCell ref="K95:K97"/>
    <mergeCell ref="L95:L97"/>
    <mergeCell ref="A92:A97"/>
    <mergeCell ref="D95:D97"/>
    <mergeCell ref="E95:E97"/>
    <mergeCell ref="F95:F97"/>
    <mergeCell ref="G95:G97"/>
    <mergeCell ref="H95:H97"/>
    <mergeCell ref="I105:I113"/>
    <mergeCell ref="L105:L113"/>
    <mergeCell ref="M105:M113"/>
    <mergeCell ref="J109:J112"/>
    <mergeCell ref="J101:J102"/>
    <mergeCell ref="M101:M102"/>
    <mergeCell ref="A103:A113"/>
    <mergeCell ref="D105:D113"/>
    <mergeCell ref="E105:E113"/>
    <mergeCell ref="F105:F113"/>
    <mergeCell ref="G105:G113"/>
    <mergeCell ref="H105:H113"/>
    <mergeCell ref="M116:M117"/>
    <mergeCell ref="A118:A125"/>
    <mergeCell ref="D120:D124"/>
    <mergeCell ref="E120:E124"/>
    <mergeCell ref="F120:F124"/>
    <mergeCell ref="G120:G124"/>
    <mergeCell ref="H120:H124"/>
    <mergeCell ref="I120:I124"/>
    <mergeCell ref="L120:L124"/>
    <mergeCell ref="I116:I117"/>
    <mergeCell ref="J116:J117"/>
    <mergeCell ref="K116:K117"/>
    <mergeCell ref="L116:L117"/>
    <mergeCell ref="A114:A117"/>
    <mergeCell ref="D116:D117"/>
    <mergeCell ref="E116:E117"/>
    <mergeCell ref="F116:F117"/>
    <mergeCell ref="G116:G117"/>
    <mergeCell ref="H116:H117"/>
    <mergeCell ref="M120:M124"/>
    <mergeCell ref="J123:J124"/>
    <mergeCell ref="A126:A128"/>
    <mergeCell ref="A129:A132"/>
    <mergeCell ref="D131:D132"/>
    <mergeCell ref="E131:E132"/>
    <mergeCell ref="F131:F132"/>
    <mergeCell ref="G131:G132"/>
    <mergeCell ref="H131:H132"/>
    <mergeCell ref="I131:I132"/>
    <mergeCell ref="K131:K132"/>
    <mergeCell ref="L131:L132"/>
    <mergeCell ref="A133:A136"/>
    <mergeCell ref="D135:D136"/>
    <mergeCell ref="E135:E136"/>
    <mergeCell ref="F135:F136"/>
    <mergeCell ref="G135:G136"/>
    <mergeCell ref="H135:H136"/>
    <mergeCell ref="I135:I136"/>
    <mergeCell ref="J139:J149"/>
    <mergeCell ref="K139:K149"/>
    <mergeCell ref="L139:L149"/>
    <mergeCell ref="M179:M184"/>
    <mergeCell ref="M139:M149"/>
    <mergeCell ref="L135:L136"/>
    <mergeCell ref="M135:M136"/>
    <mergeCell ref="A137:A149"/>
    <mergeCell ref="D139:D149"/>
    <mergeCell ref="E139:E149"/>
    <mergeCell ref="F139:F149"/>
    <mergeCell ref="G139:G149"/>
    <mergeCell ref="H139:H149"/>
    <mergeCell ref="I139:I149"/>
    <mergeCell ref="M152:M161"/>
    <mergeCell ref="A162:A167"/>
    <mergeCell ref="D164:D167"/>
    <mergeCell ref="E164:E167"/>
    <mergeCell ref="F164:F167"/>
    <mergeCell ref="G164:G167"/>
    <mergeCell ref="H164:H167"/>
    <mergeCell ref="I164:I167"/>
    <mergeCell ref="J164:J167"/>
    <mergeCell ref="I152:I161"/>
    <mergeCell ref="J152:J161"/>
    <mergeCell ref="K152:K161"/>
    <mergeCell ref="L152:L161"/>
    <mergeCell ref="A150:A161"/>
    <mergeCell ref="D152:D161"/>
    <mergeCell ref="E152:E161"/>
    <mergeCell ref="F152:F161"/>
    <mergeCell ref="G152:G161"/>
    <mergeCell ref="H152:H161"/>
    <mergeCell ref="K164:K167"/>
    <mergeCell ref="L164:L167"/>
    <mergeCell ref="M164:M167"/>
    <mergeCell ref="J183:J184"/>
    <mergeCell ref="K183:K184"/>
    <mergeCell ref="M170:M175"/>
    <mergeCell ref="J174:J175"/>
    <mergeCell ref="A176:A184"/>
    <mergeCell ref="D179:D184"/>
    <mergeCell ref="E179:E184"/>
    <mergeCell ref="F179:F184"/>
    <mergeCell ref="G179:G184"/>
    <mergeCell ref="H179:H184"/>
    <mergeCell ref="I179:I184"/>
    <mergeCell ref="I170:I175"/>
    <mergeCell ref="J170:J173"/>
    <mergeCell ref="K170:K175"/>
    <mergeCell ref="L170:L175"/>
    <mergeCell ref="A168:A175"/>
    <mergeCell ref="D170:D175"/>
    <mergeCell ref="E170:E175"/>
    <mergeCell ref="F170:F175"/>
    <mergeCell ref="G170:G175"/>
    <mergeCell ref="H170:H175"/>
    <mergeCell ref="J179:J181"/>
    <mergeCell ref="K179:K181"/>
    <mergeCell ref="L179:L184"/>
    <mergeCell ref="M187:M193"/>
    <mergeCell ref="J191:J192"/>
    <mergeCell ref="K191:K192"/>
    <mergeCell ref="A194:A203"/>
    <mergeCell ref="D196:D203"/>
    <mergeCell ref="E196:E203"/>
    <mergeCell ref="F196:F203"/>
    <mergeCell ref="G196:G203"/>
    <mergeCell ref="H196:H203"/>
    <mergeCell ref="I187:I193"/>
    <mergeCell ref="J187:J189"/>
    <mergeCell ref="K187:K189"/>
    <mergeCell ref="L187:L193"/>
    <mergeCell ref="A185:A193"/>
    <mergeCell ref="D187:D193"/>
    <mergeCell ref="E187:E193"/>
    <mergeCell ref="F187:F193"/>
    <mergeCell ref="G187:G193"/>
    <mergeCell ref="H187:H193"/>
    <mergeCell ref="A204:A225"/>
    <mergeCell ref="D206:D217"/>
    <mergeCell ref="E206:E217"/>
    <mergeCell ref="F206:F217"/>
    <mergeCell ref="G206:G217"/>
    <mergeCell ref="H206:H217"/>
    <mergeCell ref="M196:M203"/>
    <mergeCell ref="J199:J200"/>
    <mergeCell ref="K199:K200"/>
    <mergeCell ref="J201:J202"/>
    <mergeCell ref="K201:K202"/>
    <mergeCell ref="I196:I203"/>
    <mergeCell ref="J196:J198"/>
    <mergeCell ref="K196:K198"/>
    <mergeCell ref="L196:L203"/>
    <mergeCell ref="J218:J225"/>
    <mergeCell ref="K218:K225"/>
    <mergeCell ref="L218:L225"/>
    <mergeCell ref="M218:M225"/>
    <mergeCell ref="M206:M217"/>
    <mergeCell ref="J214:J216"/>
    <mergeCell ref="K214:K216"/>
    <mergeCell ref="D218:D225"/>
    <mergeCell ref="E218:E225"/>
    <mergeCell ref="F218:F225"/>
    <mergeCell ref="G218:G225"/>
    <mergeCell ref="H218:H225"/>
    <mergeCell ref="I218:I225"/>
    <mergeCell ref="I206:I217"/>
    <mergeCell ref="J206:J207"/>
    <mergeCell ref="K206:K207"/>
    <mergeCell ref="L206:L217"/>
    <mergeCell ref="K240:K242"/>
    <mergeCell ref="J245:J246"/>
    <mergeCell ref="K245:K246"/>
    <mergeCell ref="I229:I246"/>
    <mergeCell ref="J229:J230"/>
    <mergeCell ref="K229:K230"/>
    <mergeCell ref="L229:L246"/>
    <mergeCell ref="A227:A246"/>
    <mergeCell ref="D229:D246"/>
    <mergeCell ref="E229:E246"/>
    <mergeCell ref="F229:F246"/>
    <mergeCell ref="G229:G246"/>
    <mergeCell ref="H229:H246"/>
    <mergeCell ref="J262:J263"/>
    <mergeCell ref="K262:K263"/>
    <mergeCell ref="A270:D270"/>
    <mergeCell ref="A1:N1"/>
    <mergeCell ref="B2:B3"/>
    <mergeCell ref="I249:I265"/>
    <mergeCell ref="J249:J251"/>
    <mergeCell ref="K249:K251"/>
    <mergeCell ref="L249:L265"/>
    <mergeCell ref="M249:M265"/>
    <mergeCell ref="J255:J256"/>
    <mergeCell ref="K255:K256"/>
    <mergeCell ref="J257:J260"/>
    <mergeCell ref="K257:K260"/>
    <mergeCell ref="A247:A265"/>
    <mergeCell ref="D249:D265"/>
    <mergeCell ref="E249:E265"/>
    <mergeCell ref="F249:F265"/>
    <mergeCell ref="G249:G265"/>
    <mergeCell ref="H249:H265"/>
    <mergeCell ref="M229:M246"/>
    <mergeCell ref="J234:J237"/>
    <mergeCell ref="K234:K237"/>
    <mergeCell ref="J240:J242"/>
  </mergeCells>
  <conditionalFormatting sqref="C20">
    <cfRule type="duplicateValues" dxfId="17" priority="17" stopIfTrue="1"/>
  </conditionalFormatting>
  <conditionalFormatting sqref="C21">
    <cfRule type="duplicateValues" dxfId="16" priority="16" stopIfTrue="1"/>
  </conditionalFormatting>
  <conditionalFormatting sqref="C22">
    <cfRule type="duplicateValues" dxfId="15" priority="15" stopIfTrue="1"/>
  </conditionalFormatting>
  <conditionalFormatting sqref="C23: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">
    <cfRule type="duplicateValues" dxfId="11" priority="11" stopIfTrue="1"/>
  </conditionalFormatting>
  <conditionalFormatting sqref="C30: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6:C37">
    <cfRule type="duplicateValues" dxfId="7" priority="7" stopIfTrue="1"/>
  </conditionalFormatting>
  <conditionalFormatting sqref="C38:C39">
    <cfRule type="duplicateValues" dxfId="6" priority="6" stopIfTrue="1"/>
  </conditionalFormatting>
  <conditionalFormatting sqref="C40:C41">
    <cfRule type="duplicateValues" dxfId="5" priority="5" stopIfTrue="1"/>
  </conditionalFormatting>
  <conditionalFormatting sqref="C42:C43">
    <cfRule type="duplicateValues" dxfId="4" priority="4" stopIfTrue="1"/>
  </conditionalFormatting>
  <conditionalFormatting sqref="C44:C45">
    <cfRule type="duplicateValues" dxfId="3" priority="3" stopIfTrue="1"/>
  </conditionalFormatting>
  <conditionalFormatting sqref="C46:C47">
    <cfRule type="duplicateValues" dxfId="2" priority="2" stopIfTrue="1"/>
  </conditionalFormatting>
  <conditionalFormatting sqref="C48:C49">
    <cfRule type="duplicateValues" dxfId="1" priority="1" stopIfTrue="1"/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3"/>
  <sheetViews>
    <sheetView workbookViewId="0">
      <pane xSplit="3" ySplit="10" topLeftCell="D11" activePane="bottomRight" state="frozen"/>
      <selection activeCell="G29" sqref="G29"/>
      <selection pane="topRight" activeCell="G29" sqref="G29"/>
      <selection pane="bottomLeft" activeCell="G29" sqref="G29"/>
      <selection pane="bottomRight" activeCell="H164" sqref="H164"/>
    </sheetView>
  </sheetViews>
  <sheetFormatPr defaultRowHeight="12" x14ac:dyDescent="0.2"/>
  <cols>
    <col min="1" max="1" width="5" style="110" customWidth="1"/>
    <col min="2" max="2" width="8.42578125" style="110" customWidth="1"/>
    <col min="3" max="3" width="31.85546875" style="110" customWidth="1"/>
    <col min="4" max="4" width="12.7109375" style="110" customWidth="1"/>
    <col min="5" max="5" width="10.28515625" style="110" customWidth="1"/>
    <col min="6" max="6" width="10.7109375" style="110" customWidth="1"/>
    <col min="7" max="7" width="10.42578125" style="110" customWidth="1"/>
    <col min="8" max="10" width="10.5703125" style="110" customWidth="1"/>
    <col min="11" max="11" width="10.42578125" style="110" customWidth="1"/>
    <col min="12" max="12" width="10" style="110" customWidth="1"/>
    <col min="13" max="13" width="11.5703125" style="110" customWidth="1"/>
    <col min="14" max="14" width="10.7109375" style="110" customWidth="1"/>
    <col min="15" max="16384" width="9.140625" style="110"/>
  </cols>
  <sheetData>
    <row r="1" spans="1:15" ht="41.25" customHeight="1" x14ac:dyDescent="0.2">
      <c r="A1" s="706" t="s">
        <v>452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</row>
    <row r="2" spans="1:15" ht="21.75" customHeight="1" x14ac:dyDescent="0.2">
      <c r="A2" s="702" t="s">
        <v>0</v>
      </c>
      <c r="B2" s="707" t="s">
        <v>351</v>
      </c>
      <c r="C2" s="702" t="s">
        <v>352</v>
      </c>
      <c r="D2" s="710" t="s">
        <v>363</v>
      </c>
      <c r="E2" s="710"/>
      <c r="F2" s="710"/>
      <c r="G2" s="710"/>
      <c r="H2" s="710"/>
      <c r="I2" s="710"/>
      <c r="J2" s="710"/>
      <c r="K2" s="710"/>
      <c r="L2" s="710"/>
      <c r="M2" s="710"/>
      <c r="N2" s="710"/>
    </row>
    <row r="3" spans="1:15" ht="14.25" customHeight="1" x14ac:dyDescent="0.2">
      <c r="A3" s="702"/>
      <c r="B3" s="708"/>
      <c r="C3" s="702"/>
      <c r="D3" s="711" t="s">
        <v>453</v>
      </c>
      <c r="E3" s="702" t="s">
        <v>16</v>
      </c>
      <c r="F3" s="702"/>
      <c r="G3" s="702"/>
      <c r="H3" s="702"/>
      <c r="I3" s="702"/>
      <c r="J3" s="702"/>
      <c r="K3" s="702"/>
      <c r="L3" s="702"/>
      <c r="M3" s="702"/>
      <c r="N3" s="702"/>
    </row>
    <row r="4" spans="1:15" ht="27" customHeight="1" x14ac:dyDescent="0.2">
      <c r="A4" s="702"/>
      <c r="B4" s="708"/>
      <c r="C4" s="702"/>
      <c r="D4" s="711"/>
      <c r="E4" s="705" t="s">
        <v>454</v>
      </c>
      <c r="F4" s="705"/>
      <c r="G4" s="705"/>
      <c r="H4" s="705" t="s">
        <v>455</v>
      </c>
      <c r="I4" s="705"/>
      <c r="J4" s="705"/>
      <c r="K4" s="705"/>
      <c r="L4" s="705"/>
      <c r="M4" s="705"/>
      <c r="N4" s="705"/>
    </row>
    <row r="5" spans="1:15" ht="27.75" customHeight="1" x14ac:dyDescent="0.2">
      <c r="A5" s="702"/>
      <c r="B5" s="708"/>
      <c r="C5" s="702"/>
      <c r="D5" s="711"/>
      <c r="E5" s="700" t="s">
        <v>266</v>
      </c>
      <c r="F5" s="705" t="s">
        <v>16</v>
      </c>
      <c r="G5" s="705"/>
      <c r="H5" s="700" t="s">
        <v>266</v>
      </c>
      <c r="I5" s="702" t="s">
        <v>278</v>
      </c>
      <c r="J5" s="702"/>
      <c r="K5" s="703" t="s">
        <v>279</v>
      </c>
      <c r="L5" s="704"/>
      <c r="M5" s="705" t="s">
        <v>280</v>
      </c>
      <c r="N5" s="705"/>
    </row>
    <row r="6" spans="1:15" ht="24" customHeight="1" x14ac:dyDescent="0.2">
      <c r="A6" s="702"/>
      <c r="B6" s="709"/>
      <c r="C6" s="702"/>
      <c r="D6" s="701"/>
      <c r="E6" s="701"/>
      <c r="F6" s="111" t="s">
        <v>218</v>
      </c>
      <c r="G6" s="112" t="s">
        <v>219</v>
      </c>
      <c r="H6" s="701"/>
      <c r="I6" s="113" t="s">
        <v>218</v>
      </c>
      <c r="J6" s="113" t="s">
        <v>219</v>
      </c>
      <c r="K6" s="112" t="s">
        <v>218</v>
      </c>
      <c r="L6" s="112" t="s">
        <v>219</v>
      </c>
      <c r="M6" s="111" t="s">
        <v>218</v>
      </c>
      <c r="N6" s="112" t="s">
        <v>219</v>
      </c>
    </row>
    <row r="7" spans="1:15" s="116" customFormat="1" ht="11.25" x14ac:dyDescent="0.2">
      <c r="A7" s="114">
        <v>1</v>
      </c>
      <c r="B7" s="114">
        <v>2</v>
      </c>
      <c r="C7" s="114">
        <v>3</v>
      </c>
      <c r="D7" s="115">
        <v>4</v>
      </c>
      <c r="E7" s="68">
        <v>5</v>
      </c>
      <c r="F7" s="68">
        <v>6</v>
      </c>
      <c r="G7" s="68">
        <v>7</v>
      </c>
      <c r="H7" s="68">
        <v>8</v>
      </c>
      <c r="I7" s="68">
        <v>9</v>
      </c>
      <c r="J7" s="68">
        <v>10</v>
      </c>
      <c r="K7" s="68">
        <v>11</v>
      </c>
      <c r="L7" s="68">
        <v>12</v>
      </c>
      <c r="M7" s="68">
        <v>13</v>
      </c>
      <c r="N7" s="68">
        <v>14</v>
      </c>
    </row>
    <row r="8" spans="1:15" s="116" customFormat="1" x14ac:dyDescent="0.2">
      <c r="A8" s="685" t="s">
        <v>1</v>
      </c>
      <c r="B8" s="685"/>
      <c r="C8" s="685"/>
      <c r="D8" s="71">
        <f>D9+D10</f>
        <v>2457630</v>
      </c>
      <c r="E8" s="71">
        <f>E9+E10</f>
        <v>25189</v>
      </c>
      <c r="F8" s="71">
        <f t="shared" ref="F8:G8" si="0">F9+F10</f>
        <v>24888</v>
      </c>
      <c r="G8" s="71">
        <f t="shared" si="0"/>
        <v>301</v>
      </c>
      <c r="H8" s="71">
        <f>H9+H10</f>
        <v>2432441</v>
      </c>
      <c r="I8" s="71">
        <f>I9+I10</f>
        <v>263749</v>
      </c>
      <c r="J8" s="71">
        <f t="shared" ref="J8:N8" si="1">J9+J10</f>
        <v>28720</v>
      </c>
      <c r="K8" s="71">
        <f t="shared" si="1"/>
        <v>12621</v>
      </c>
      <c r="L8" s="71">
        <f t="shared" si="1"/>
        <v>6038</v>
      </c>
      <c r="M8" s="71">
        <f t="shared" si="1"/>
        <v>1587958</v>
      </c>
      <c r="N8" s="71">
        <f t="shared" si="1"/>
        <v>533355</v>
      </c>
    </row>
    <row r="9" spans="1:15" s="116" customFormat="1" x14ac:dyDescent="0.2">
      <c r="A9" s="695" t="s">
        <v>17</v>
      </c>
      <c r="B9" s="696"/>
      <c r="C9" s="697"/>
      <c r="D9" s="115">
        <f t="shared" ref="D9" si="2">E9+H9</f>
        <v>488</v>
      </c>
      <c r="E9" s="68">
        <f t="shared" ref="E9" si="3">F9+G9</f>
        <v>488</v>
      </c>
      <c r="F9" s="68">
        <v>488</v>
      </c>
      <c r="G9" s="68">
        <v>0</v>
      </c>
      <c r="H9" s="68">
        <f t="shared" ref="H9" si="4">I9+J9+M9+N9+K9+L9</f>
        <v>0</v>
      </c>
      <c r="I9" s="68">
        <v>0</v>
      </c>
      <c r="J9" s="68">
        <v>0</v>
      </c>
      <c r="K9" s="68">
        <v>0</v>
      </c>
      <c r="L9" s="68">
        <v>0</v>
      </c>
      <c r="M9" s="68">
        <v>0</v>
      </c>
      <c r="N9" s="68">
        <v>0</v>
      </c>
    </row>
    <row r="10" spans="1:15" s="116" customFormat="1" x14ac:dyDescent="0.2">
      <c r="A10" s="695" t="s">
        <v>18</v>
      </c>
      <c r="B10" s="696"/>
      <c r="C10" s="697"/>
      <c r="D10" s="71">
        <f>E10+H10</f>
        <v>2457142</v>
      </c>
      <c r="E10" s="71">
        <f t="shared" ref="E10:G10" si="5">SUM(E11:E158)</f>
        <v>24701</v>
      </c>
      <c r="F10" s="71">
        <f t="shared" si="5"/>
        <v>24400</v>
      </c>
      <c r="G10" s="71">
        <f t="shared" si="5"/>
        <v>301</v>
      </c>
      <c r="H10" s="71">
        <f>SUM(I10:N10)</f>
        <v>2432441</v>
      </c>
      <c r="I10" s="71">
        <f>SUM(I11:I158)</f>
        <v>263749</v>
      </c>
      <c r="J10" s="71">
        <f t="shared" ref="J10:N10" si="6">SUM(J11:J158)</f>
        <v>28720</v>
      </c>
      <c r="K10" s="71">
        <f t="shared" si="6"/>
        <v>12621</v>
      </c>
      <c r="L10" s="71">
        <f t="shared" si="6"/>
        <v>6038</v>
      </c>
      <c r="M10" s="71">
        <f t="shared" si="6"/>
        <v>1587958</v>
      </c>
      <c r="N10" s="71">
        <f t="shared" si="6"/>
        <v>533355</v>
      </c>
    </row>
    <row r="11" spans="1:15" ht="12.75" x14ac:dyDescent="0.2">
      <c r="A11" s="117">
        <v>1</v>
      </c>
      <c r="B11" s="118" t="s">
        <v>19</v>
      </c>
      <c r="C11" s="119" t="s">
        <v>20</v>
      </c>
      <c r="D11" s="78">
        <f>E11+H11</f>
        <v>23367</v>
      </c>
      <c r="E11" s="78">
        <f t="shared" ref="E11:E81" si="7">F11+G11</f>
        <v>0</v>
      </c>
      <c r="F11" s="78">
        <v>0</v>
      </c>
      <c r="G11" s="78">
        <v>0</v>
      </c>
      <c r="H11" s="78">
        <f t="shared" ref="H11:H81" si="8">I11+J11+M11+N11+K11+L11</f>
        <v>23367</v>
      </c>
      <c r="I11" s="78">
        <v>2767</v>
      </c>
      <c r="J11" s="78">
        <v>634</v>
      </c>
      <c r="K11" s="78">
        <v>0</v>
      </c>
      <c r="L11" s="78">
        <v>0</v>
      </c>
      <c r="M11" s="78">
        <v>16366</v>
      </c>
      <c r="N11" s="78">
        <v>3600</v>
      </c>
      <c r="O11" s="63"/>
    </row>
    <row r="12" spans="1:15" ht="12.75" x14ac:dyDescent="0.2">
      <c r="A12" s="117">
        <v>2</v>
      </c>
      <c r="B12" s="120" t="s">
        <v>21</v>
      </c>
      <c r="C12" s="119" t="s">
        <v>456</v>
      </c>
      <c r="D12" s="78">
        <f t="shared" ref="D12:D82" si="9">E12+H12</f>
        <v>13255</v>
      </c>
      <c r="E12" s="78">
        <f t="shared" si="7"/>
        <v>0</v>
      </c>
      <c r="F12" s="78">
        <v>0</v>
      </c>
      <c r="G12" s="78">
        <v>0</v>
      </c>
      <c r="H12" s="78">
        <f t="shared" si="8"/>
        <v>13255</v>
      </c>
      <c r="I12" s="78">
        <v>1410</v>
      </c>
      <c r="J12" s="78">
        <v>0</v>
      </c>
      <c r="K12" s="78">
        <v>0</v>
      </c>
      <c r="L12" s="78">
        <v>0</v>
      </c>
      <c r="M12" s="78">
        <v>10118</v>
      </c>
      <c r="N12" s="78">
        <v>1727</v>
      </c>
      <c r="O12" s="63"/>
    </row>
    <row r="13" spans="1:15" ht="12.75" x14ac:dyDescent="0.2">
      <c r="A13" s="117">
        <v>3</v>
      </c>
      <c r="B13" s="121" t="s">
        <v>22</v>
      </c>
      <c r="C13" s="122" t="s">
        <v>23</v>
      </c>
      <c r="D13" s="78">
        <f t="shared" si="9"/>
        <v>44235</v>
      </c>
      <c r="E13" s="78">
        <f t="shared" si="7"/>
        <v>0</v>
      </c>
      <c r="F13" s="78">
        <v>0</v>
      </c>
      <c r="G13" s="78">
        <v>0</v>
      </c>
      <c r="H13" s="78">
        <f t="shared" si="8"/>
        <v>44235</v>
      </c>
      <c r="I13" s="78">
        <v>2420</v>
      </c>
      <c r="J13" s="78">
        <v>117</v>
      </c>
      <c r="K13" s="78">
        <v>0</v>
      </c>
      <c r="L13" s="78">
        <v>0</v>
      </c>
      <c r="M13" s="78">
        <v>29909</v>
      </c>
      <c r="N13" s="78">
        <v>11789</v>
      </c>
      <c r="O13" s="63"/>
    </row>
    <row r="14" spans="1:15" ht="12.75" x14ac:dyDescent="0.2">
      <c r="A14" s="117">
        <v>4</v>
      </c>
      <c r="B14" s="118" t="s">
        <v>24</v>
      </c>
      <c r="C14" s="119" t="s">
        <v>368</v>
      </c>
      <c r="D14" s="78">
        <f t="shared" si="9"/>
        <v>10000</v>
      </c>
      <c r="E14" s="78">
        <f t="shared" si="7"/>
        <v>0</v>
      </c>
      <c r="F14" s="78">
        <v>0</v>
      </c>
      <c r="G14" s="78">
        <v>0</v>
      </c>
      <c r="H14" s="78">
        <f t="shared" si="8"/>
        <v>10000</v>
      </c>
      <c r="I14" s="78">
        <v>641</v>
      </c>
      <c r="J14" s="78">
        <v>134</v>
      </c>
      <c r="K14" s="78">
        <v>20</v>
      </c>
      <c r="L14" s="78">
        <v>15</v>
      </c>
      <c r="M14" s="78">
        <v>6716</v>
      </c>
      <c r="N14" s="78">
        <v>2474</v>
      </c>
      <c r="O14" s="63"/>
    </row>
    <row r="15" spans="1:15" ht="12.75" x14ac:dyDescent="0.2">
      <c r="A15" s="117">
        <v>5</v>
      </c>
      <c r="B15" s="118" t="s">
        <v>25</v>
      </c>
      <c r="C15" s="119" t="s">
        <v>26</v>
      </c>
      <c r="D15" s="78">
        <f t="shared" si="9"/>
        <v>16250</v>
      </c>
      <c r="E15" s="78">
        <f t="shared" si="7"/>
        <v>0</v>
      </c>
      <c r="F15" s="78">
        <v>0</v>
      </c>
      <c r="G15" s="78">
        <v>0</v>
      </c>
      <c r="H15" s="78">
        <f t="shared" si="8"/>
        <v>16250</v>
      </c>
      <c r="I15" s="78">
        <v>1440</v>
      </c>
      <c r="J15" s="78">
        <v>50</v>
      </c>
      <c r="K15" s="78">
        <v>120</v>
      </c>
      <c r="L15" s="78">
        <v>0</v>
      </c>
      <c r="M15" s="78">
        <v>9628</v>
      </c>
      <c r="N15" s="78">
        <v>5012</v>
      </c>
      <c r="O15" s="63"/>
    </row>
    <row r="16" spans="1:15" ht="12.75" x14ac:dyDescent="0.2">
      <c r="A16" s="117">
        <v>6</v>
      </c>
      <c r="B16" s="121" t="s">
        <v>4</v>
      </c>
      <c r="C16" s="122" t="s">
        <v>27</v>
      </c>
      <c r="D16" s="78">
        <f t="shared" si="9"/>
        <v>97056</v>
      </c>
      <c r="E16" s="78">
        <f t="shared" si="7"/>
        <v>0</v>
      </c>
      <c r="F16" s="78">
        <v>0</v>
      </c>
      <c r="G16" s="78">
        <v>0</v>
      </c>
      <c r="H16" s="78">
        <f t="shared" si="8"/>
        <v>97056</v>
      </c>
      <c r="I16" s="78">
        <v>7849</v>
      </c>
      <c r="J16" s="78">
        <v>1027</v>
      </c>
      <c r="K16" s="78">
        <v>0</v>
      </c>
      <c r="L16" s="78">
        <v>0</v>
      </c>
      <c r="M16" s="78">
        <v>70793</v>
      </c>
      <c r="N16" s="78">
        <v>17387</v>
      </c>
      <c r="O16" s="63"/>
    </row>
    <row r="17" spans="1:15" ht="12.75" x14ac:dyDescent="0.2">
      <c r="A17" s="117">
        <v>7</v>
      </c>
      <c r="B17" s="123" t="s">
        <v>28</v>
      </c>
      <c r="C17" s="124" t="s">
        <v>369</v>
      </c>
      <c r="D17" s="78">
        <f t="shared" si="9"/>
        <v>31365</v>
      </c>
      <c r="E17" s="78">
        <f t="shared" si="7"/>
        <v>0</v>
      </c>
      <c r="F17" s="78">
        <v>0</v>
      </c>
      <c r="G17" s="78">
        <v>0</v>
      </c>
      <c r="H17" s="78">
        <f t="shared" si="8"/>
        <v>31365</v>
      </c>
      <c r="I17" s="78">
        <v>230</v>
      </c>
      <c r="J17" s="78">
        <v>206</v>
      </c>
      <c r="K17" s="78">
        <v>170</v>
      </c>
      <c r="L17" s="78">
        <v>62</v>
      </c>
      <c r="M17" s="78">
        <v>18659</v>
      </c>
      <c r="N17" s="78">
        <v>12038</v>
      </c>
      <c r="O17" s="63"/>
    </row>
    <row r="18" spans="1:15" ht="12.75" x14ac:dyDescent="0.2">
      <c r="A18" s="117">
        <v>8</v>
      </c>
      <c r="B18" s="121" t="s">
        <v>29</v>
      </c>
      <c r="C18" s="122" t="s">
        <v>30</v>
      </c>
      <c r="D18" s="78">
        <f t="shared" si="9"/>
        <v>17947</v>
      </c>
      <c r="E18" s="78">
        <f t="shared" si="7"/>
        <v>0</v>
      </c>
      <c r="F18" s="78">
        <v>0</v>
      </c>
      <c r="G18" s="78">
        <v>0</v>
      </c>
      <c r="H18" s="78">
        <f t="shared" si="8"/>
        <v>17947</v>
      </c>
      <c r="I18" s="78">
        <v>184</v>
      </c>
      <c r="J18" s="78">
        <v>65</v>
      </c>
      <c r="K18" s="78">
        <v>660</v>
      </c>
      <c r="L18" s="78">
        <v>520</v>
      </c>
      <c r="M18" s="78">
        <v>12118</v>
      </c>
      <c r="N18" s="78">
        <v>4400</v>
      </c>
      <c r="O18" s="63"/>
    </row>
    <row r="19" spans="1:15" ht="12.75" x14ac:dyDescent="0.2">
      <c r="A19" s="117">
        <v>9</v>
      </c>
      <c r="B19" s="121" t="s">
        <v>31</v>
      </c>
      <c r="C19" s="122" t="s">
        <v>32</v>
      </c>
      <c r="D19" s="78">
        <f t="shared" si="9"/>
        <v>10000</v>
      </c>
      <c r="E19" s="78">
        <f t="shared" si="7"/>
        <v>0</v>
      </c>
      <c r="F19" s="78">
        <v>0</v>
      </c>
      <c r="G19" s="78">
        <v>0</v>
      </c>
      <c r="H19" s="78">
        <f t="shared" si="8"/>
        <v>10000</v>
      </c>
      <c r="I19" s="78">
        <v>1354</v>
      </c>
      <c r="J19" s="78">
        <v>320</v>
      </c>
      <c r="K19" s="78">
        <v>480</v>
      </c>
      <c r="L19" s="78">
        <v>40</v>
      </c>
      <c r="M19" s="78">
        <v>6590</v>
      </c>
      <c r="N19" s="78">
        <v>1216</v>
      </c>
      <c r="O19" s="63"/>
    </row>
    <row r="20" spans="1:15" ht="12.75" x14ac:dyDescent="0.2">
      <c r="A20" s="117">
        <v>10</v>
      </c>
      <c r="B20" s="121" t="s">
        <v>33</v>
      </c>
      <c r="C20" s="122" t="s">
        <v>34</v>
      </c>
      <c r="D20" s="78">
        <f t="shared" si="9"/>
        <v>11616</v>
      </c>
      <c r="E20" s="78">
        <f t="shared" si="7"/>
        <v>0</v>
      </c>
      <c r="F20" s="78">
        <v>0</v>
      </c>
      <c r="G20" s="78">
        <v>0</v>
      </c>
      <c r="H20" s="78">
        <f t="shared" si="8"/>
        <v>11616</v>
      </c>
      <c r="I20" s="78">
        <v>368</v>
      </c>
      <c r="J20" s="78">
        <v>0</v>
      </c>
      <c r="K20" s="78">
        <v>10</v>
      </c>
      <c r="L20" s="78">
        <v>0</v>
      </c>
      <c r="M20" s="78">
        <v>9335</v>
      </c>
      <c r="N20" s="78">
        <v>1903</v>
      </c>
      <c r="O20" s="63"/>
    </row>
    <row r="21" spans="1:15" ht="12.75" x14ac:dyDescent="0.2">
      <c r="A21" s="117">
        <v>11</v>
      </c>
      <c r="B21" s="121" t="s">
        <v>35</v>
      </c>
      <c r="C21" s="122" t="s">
        <v>36</v>
      </c>
      <c r="D21" s="78">
        <f t="shared" si="9"/>
        <v>14143</v>
      </c>
      <c r="E21" s="78">
        <f t="shared" si="7"/>
        <v>0</v>
      </c>
      <c r="F21" s="78">
        <v>0</v>
      </c>
      <c r="G21" s="78">
        <v>0</v>
      </c>
      <c r="H21" s="78">
        <f t="shared" si="8"/>
        <v>14143</v>
      </c>
      <c r="I21" s="78">
        <v>1010</v>
      </c>
      <c r="J21" s="78">
        <v>20</v>
      </c>
      <c r="K21" s="78">
        <v>0</v>
      </c>
      <c r="L21" s="78">
        <v>0</v>
      </c>
      <c r="M21" s="78">
        <v>9492</v>
      </c>
      <c r="N21" s="78">
        <v>3621</v>
      </c>
      <c r="O21" s="63"/>
    </row>
    <row r="22" spans="1:15" ht="12.75" x14ac:dyDescent="0.2">
      <c r="A22" s="117">
        <v>12</v>
      </c>
      <c r="B22" s="121" t="s">
        <v>37</v>
      </c>
      <c r="C22" s="122" t="s">
        <v>38</v>
      </c>
      <c r="D22" s="78">
        <f t="shared" si="9"/>
        <v>34746</v>
      </c>
      <c r="E22" s="78">
        <f t="shared" si="7"/>
        <v>0</v>
      </c>
      <c r="F22" s="78">
        <v>0</v>
      </c>
      <c r="G22" s="78">
        <v>0</v>
      </c>
      <c r="H22" s="78">
        <f t="shared" si="8"/>
        <v>34746</v>
      </c>
      <c r="I22" s="78">
        <v>2700</v>
      </c>
      <c r="J22" s="78">
        <v>70</v>
      </c>
      <c r="K22" s="78">
        <v>0</v>
      </c>
      <c r="L22" s="78">
        <v>0</v>
      </c>
      <c r="M22" s="78">
        <v>28726</v>
      </c>
      <c r="N22" s="78">
        <v>3250</v>
      </c>
      <c r="O22" s="63"/>
    </row>
    <row r="23" spans="1:15" x14ac:dyDescent="0.2">
      <c r="A23" s="117">
        <v>13</v>
      </c>
      <c r="B23" s="85" t="s">
        <v>166</v>
      </c>
      <c r="C23" s="86" t="s">
        <v>370</v>
      </c>
      <c r="D23" s="78">
        <f t="shared" si="9"/>
        <v>0</v>
      </c>
      <c r="E23" s="78">
        <v>0</v>
      </c>
      <c r="F23" s="78">
        <v>0</v>
      </c>
      <c r="G23" s="78">
        <v>0</v>
      </c>
      <c r="H23" s="78">
        <f>I23+J23+M23+N23+K23+L23</f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63"/>
    </row>
    <row r="24" spans="1:15" x14ac:dyDescent="0.2">
      <c r="A24" s="117">
        <v>14</v>
      </c>
      <c r="B24" s="85" t="s">
        <v>167</v>
      </c>
      <c r="C24" s="82" t="s">
        <v>371</v>
      </c>
      <c r="D24" s="78">
        <f t="shared" si="9"/>
        <v>0</v>
      </c>
      <c r="E24" s="78">
        <v>0</v>
      </c>
      <c r="F24" s="78">
        <v>0</v>
      </c>
      <c r="G24" s="78">
        <v>0</v>
      </c>
      <c r="H24" s="78">
        <f t="shared" si="8"/>
        <v>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63"/>
    </row>
    <row r="25" spans="1:15" ht="12.75" x14ac:dyDescent="0.2">
      <c r="A25" s="117">
        <v>15</v>
      </c>
      <c r="B25" s="121" t="s">
        <v>39</v>
      </c>
      <c r="C25" s="122" t="s">
        <v>40</v>
      </c>
      <c r="D25" s="78">
        <f t="shared" si="9"/>
        <v>9573</v>
      </c>
      <c r="E25" s="78">
        <f t="shared" si="7"/>
        <v>0</v>
      </c>
      <c r="F25" s="78">
        <v>0</v>
      </c>
      <c r="G25" s="78">
        <v>0</v>
      </c>
      <c r="H25" s="78">
        <f t="shared" si="8"/>
        <v>9573</v>
      </c>
      <c r="I25" s="78">
        <v>30</v>
      </c>
      <c r="J25" s="78">
        <v>100</v>
      </c>
      <c r="K25" s="78">
        <v>0</v>
      </c>
      <c r="L25" s="78">
        <v>80</v>
      </c>
      <c r="M25" s="78">
        <v>9023</v>
      </c>
      <c r="N25" s="78">
        <v>340</v>
      </c>
      <c r="O25" s="63"/>
    </row>
    <row r="26" spans="1:15" ht="12.75" x14ac:dyDescent="0.2">
      <c r="A26" s="117">
        <v>16</v>
      </c>
      <c r="B26" s="121" t="s">
        <v>41</v>
      </c>
      <c r="C26" s="122" t="s">
        <v>42</v>
      </c>
      <c r="D26" s="78">
        <f t="shared" si="9"/>
        <v>35468</v>
      </c>
      <c r="E26" s="78">
        <f t="shared" si="7"/>
        <v>0</v>
      </c>
      <c r="F26" s="78">
        <v>0</v>
      </c>
      <c r="G26" s="78">
        <v>0</v>
      </c>
      <c r="H26" s="78">
        <f t="shared" si="8"/>
        <v>35468</v>
      </c>
      <c r="I26" s="78">
        <v>2080</v>
      </c>
      <c r="J26" s="78">
        <v>20</v>
      </c>
      <c r="K26" s="78">
        <v>0</v>
      </c>
      <c r="L26" s="78">
        <v>0</v>
      </c>
      <c r="M26" s="78">
        <v>23388</v>
      </c>
      <c r="N26" s="78">
        <v>9980</v>
      </c>
      <c r="O26" s="63"/>
    </row>
    <row r="27" spans="1:15" ht="12.75" x14ac:dyDescent="0.2">
      <c r="A27" s="117">
        <v>17</v>
      </c>
      <c r="B27" s="121" t="s">
        <v>43</v>
      </c>
      <c r="C27" s="122" t="s">
        <v>372</v>
      </c>
      <c r="D27" s="78">
        <f t="shared" si="9"/>
        <v>35000</v>
      </c>
      <c r="E27" s="78">
        <f t="shared" si="7"/>
        <v>0</v>
      </c>
      <c r="F27" s="78">
        <v>0</v>
      </c>
      <c r="G27" s="78">
        <v>0</v>
      </c>
      <c r="H27" s="78">
        <f t="shared" si="8"/>
        <v>35000</v>
      </c>
      <c r="I27" s="78">
        <v>1450</v>
      </c>
      <c r="J27" s="78">
        <v>34</v>
      </c>
      <c r="K27" s="78">
        <v>620</v>
      </c>
      <c r="L27" s="78">
        <v>50</v>
      </c>
      <c r="M27" s="78">
        <v>21822</v>
      </c>
      <c r="N27" s="78">
        <v>11024</v>
      </c>
      <c r="O27" s="63"/>
    </row>
    <row r="28" spans="1:15" ht="12.75" x14ac:dyDescent="0.2">
      <c r="A28" s="117">
        <v>18</v>
      </c>
      <c r="B28" s="121" t="s">
        <v>44</v>
      </c>
      <c r="C28" s="122" t="s">
        <v>45</v>
      </c>
      <c r="D28" s="78">
        <f t="shared" si="9"/>
        <v>31930</v>
      </c>
      <c r="E28" s="78">
        <f t="shared" si="7"/>
        <v>0</v>
      </c>
      <c r="F28" s="78">
        <v>0</v>
      </c>
      <c r="G28" s="78">
        <v>0</v>
      </c>
      <c r="H28" s="78">
        <f t="shared" si="8"/>
        <v>31930</v>
      </c>
      <c r="I28" s="78">
        <v>1260</v>
      </c>
      <c r="J28" s="78">
        <v>870</v>
      </c>
      <c r="K28" s="78">
        <v>0</v>
      </c>
      <c r="L28" s="78">
        <v>0</v>
      </c>
      <c r="M28" s="78">
        <v>26750</v>
      </c>
      <c r="N28" s="78">
        <v>3050</v>
      </c>
      <c r="O28" s="63"/>
    </row>
    <row r="29" spans="1:15" ht="12.75" x14ac:dyDescent="0.2">
      <c r="A29" s="117">
        <v>19</v>
      </c>
      <c r="B29" s="118" t="s">
        <v>46</v>
      </c>
      <c r="C29" s="119" t="s">
        <v>47</v>
      </c>
      <c r="D29" s="78">
        <f t="shared" si="9"/>
        <v>12848</v>
      </c>
      <c r="E29" s="78">
        <f t="shared" si="7"/>
        <v>0</v>
      </c>
      <c r="F29" s="78">
        <v>0</v>
      </c>
      <c r="G29" s="78">
        <v>0</v>
      </c>
      <c r="H29" s="78">
        <f t="shared" si="8"/>
        <v>12848</v>
      </c>
      <c r="I29" s="78">
        <v>2820</v>
      </c>
      <c r="J29" s="78">
        <v>200</v>
      </c>
      <c r="K29" s="78">
        <v>200</v>
      </c>
      <c r="L29" s="78">
        <v>53</v>
      </c>
      <c r="M29" s="78">
        <v>4090</v>
      </c>
      <c r="N29" s="78">
        <v>5485</v>
      </c>
      <c r="O29" s="63"/>
    </row>
    <row r="30" spans="1:15" ht="12.75" x14ac:dyDescent="0.2">
      <c r="A30" s="117">
        <v>20</v>
      </c>
      <c r="B30" s="118" t="s">
        <v>48</v>
      </c>
      <c r="C30" s="119" t="s">
        <v>373</v>
      </c>
      <c r="D30" s="78">
        <f t="shared" si="9"/>
        <v>7000</v>
      </c>
      <c r="E30" s="78">
        <f t="shared" si="7"/>
        <v>0</v>
      </c>
      <c r="F30" s="78">
        <v>0</v>
      </c>
      <c r="G30" s="78">
        <v>0</v>
      </c>
      <c r="H30" s="78">
        <f t="shared" si="8"/>
        <v>7000</v>
      </c>
      <c r="I30" s="78">
        <v>1015</v>
      </c>
      <c r="J30" s="78">
        <v>0</v>
      </c>
      <c r="K30" s="78">
        <v>0</v>
      </c>
      <c r="L30" s="78">
        <v>0</v>
      </c>
      <c r="M30" s="78">
        <v>5114</v>
      </c>
      <c r="N30" s="78">
        <v>871</v>
      </c>
      <c r="O30" s="63"/>
    </row>
    <row r="31" spans="1:15" ht="12.75" x14ac:dyDescent="0.2">
      <c r="A31" s="117">
        <v>21</v>
      </c>
      <c r="B31" s="118" t="s">
        <v>49</v>
      </c>
      <c r="C31" s="119" t="s">
        <v>50</v>
      </c>
      <c r="D31" s="78">
        <f t="shared" si="9"/>
        <v>31743</v>
      </c>
      <c r="E31" s="78">
        <f t="shared" si="7"/>
        <v>0</v>
      </c>
      <c r="F31" s="78">
        <v>0</v>
      </c>
      <c r="G31" s="78">
        <v>0</v>
      </c>
      <c r="H31" s="78">
        <f t="shared" si="8"/>
        <v>31743</v>
      </c>
      <c r="I31" s="78">
        <v>8995</v>
      </c>
      <c r="J31" s="78">
        <v>145</v>
      </c>
      <c r="K31" s="78">
        <v>0</v>
      </c>
      <c r="L31" s="78">
        <v>0</v>
      </c>
      <c r="M31" s="78">
        <v>14479</v>
      </c>
      <c r="N31" s="78">
        <v>8124</v>
      </c>
      <c r="O31" s="63"/>
    </row>
    <row r="32" spans="1:15" ht="12.75" x14ac:dyDescent="0.2">
      <c r="A32" s="117">
        <v>22</v>
      </c>
      <c r="B32" s="118" t="s">
        <v>51</v>
      </c>
      <c r="C32" s="119" t="s">
        <v>52</v>
      </c>
      <c r="D32" s="78">
        <f t="shared" si="9"/>
        <v>25000</v>
      </c>
      <c r="E32" s="78">
        <f t="shared" si="7"/>
        <v>0</v>
      </c>
      <c r="F32" s="78">
        <v>0</v>
      </c>
      <c r="G32" s="78">
        <v>0</v>
      </c>
      <c r="H32" s="78">
        <f t="shared" si="8"/>
        <v>25000</v>
      </c>
      <c r="I32" s="78">
        <v>380</v>
      </c>
      <c r="J32" s="78">
        <v>20</v>
      </c>
      <c r="K32" s="78">
        <v>0</v>
      </c>
      <c r="L32" s="78">
        <v>0</v>
      </c>
      <c r="M32" s="78">
        <v>15500</v>
      </c>
      <c r="N32" s="78">
        <v>9100</v>
      </c>
      <c r="O32" s="63"/>
    </row>
    <row r="33" spans="1:15" ht="12.75" x14ac:dyDescent="0.2">
      <c r="A33" s="117">
        <v>23</v>
      </c>
      <c r="B33" s="121" t="s">
        <v>53</v>
      </c>
      <c r="C33" s="122" t="s">
        <v>374</v>
      </c>
      <c r="D33" s="78">
        <f t="shared" si="9"/>
        <v>6011</v>
      </c>
      <c r="E33" s="78">
        <f t="shared" si="7"/>
        <v>0</v>
      </c>
      <c r="F33" s="78">
        <v>0</v>
      </c>
      <c r="G33" s="78">
        <v>0</v>
      </c>
      <c r="H33" s="78">
        <f t="shared" si="8"/>
        <v>6011</v>
      </c>
      <c r="I33" s="78">
        <v>380</v>
      </c>
      <c r="J33" s="78">
        <v>15</v>
      </c>
      <c r="K33" s="78">
        <v>0</v>
      </c>
      <c r="L33" s="78">
        <v>0</v>
      </c>
      <c r="M33" s="78">
        <v>4288</v>
      </c>
      <c r="N33" s="78">
        <v>1328</v>
      </c>
      <c r="O33" s="63"/>
    </row>
    <row r="34" spans="1:15" x14ac:dyDescent="0.2">
      <c r="A34" s="117">
        <v>24</v>
      </c>
      <c r="B34" s="87" t="s">
        <v>316</v>
      </c>
      <c r="C34" s="86" t="s">
        <v>375</v>
      </c>
      <c r="D34" s="78">
        <f t="shared" si="9"/>
        <v>0</v>
      </c>
      <c r="E34" s="78">
        <v>0</v>
      </c>
      <c r="F34" s="78">
        <v>0</v>
      </c>
      <c r="G34" s="78">
        <v>0</v>
      </c>
      <c r="H34" s="78">
        <f t="shared" si="8"/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63"/>
    </row>
    <row r="35" spans="1:15" ht="24" x14ac:dyDescent="0.2">
      <c r="A35" s="117">
        <v>25</v>
      </c>
      <c r="B35" s="87" t="s">
        <v>318</v>
      </c>
      <c r="C35" s="86" t="s">
        <v>376</v>
      </c>
      <c r="D35" s="78">
        <f t="shared" si="9"/>
        <v>0</v>
      </c>
      <c r="E35" s="78">
        <v>0</v>
      </c>
      <c r="F35" s="78">
        <v>0</v>
      </c>
      <c r="G35" s="78">
        <v>0</v>
      </c>
      <c r="H35" s="78">
        <f t="shared" si="8"/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63"/>
    </row>
    <row r="36" spans="1:15" ht="12.75" x14ac:dyDescent="0.2">
      <c r="A36" s="117">
        <v>26</v>
      </c>
      <c r="B36" s="118" t="s">
        <v>6</v>
      </c>
      <c r="C36" s="124" t="s">
        <v>377</v>
      </c>
      <c r="D36" s="78">
        <f t="shared" si="9"/>
        <v>75937</v>
      </c>
      <c r="E36" s="78">
        <f t="shared" si="7"/>
        <v>0</v>
      </c>
      <c r="F36" s="78">
        <v>0</v>
      </c>
      <c r="G36" s="78">
        <v>0</v>
      </c>
      <c r="H36" s="78">
        <f t="shared" si="8"/>
        <v>75937</v>
      </c>
      <c r="I36" s="78">
        <v>10668</v>
      </c>
      <c r="J36" s="78">
        <v>0</v>
      </c>
      <c r="K36" s="78">
        <v>0</v>
      </c>
      <c r="L36" s="78">
        <v>0</v>
      </c>
      <c r="M36" s="78">
        <v>65269</v>
      </c>
      <c r="N36" s="78">
        <v>0</v>
      </c>
      <c r="O36" s="63"/>
    </row>
    <row r="37" spans="1:15" ht="12.75" x14ac:dyDescent="0.2">
      <c r="A37" s="117">
        <v>27</v>
      </c>
      <c r="B37" s="121" t="s">
        <v>5</v>
      </c>
      <c r="C37" s="122" t="s">
        <v>378</v>
      </c>
      <c r="D37" s="78">
        <f t="shared" si="9"/>
        <v>67139</v>
      </c>
      <c r="E37" s="78">
        <f t="shared" si="7"/>
        <v>0</v>
      </c>
      <c r="F37" s="78">
        <v>0</v>
      </c>
      <c r="G37" s="78">
        <v>0</v>
      </c>
      <c r="H37" s="78">
        <f t="shared" si="8"/>
        <v>67139</v>
      </c>
      <c r="I37" s="78">
        <v>5584</v>
      </c>
      <c r="J37" s="78">
        <v>864</v>
      </c>
      <c r="K37" s="78">
        <v>60</v>
      </c>
      <c r="L37" s="78">
        <v>50</v>
      </c>
      <c r="M37" s="78">
        <v>53755</v>
      </c>
      <c r="N37" s="78">
        <v>6826</v>
      </c>
      <c r="O37" s="63"/>
    </row>
    <row r="38" spans="1:15" ht="12.75" x14ac:dyDescent="0.2">
      <c r="A38" s="117">
        <v>28</v>
      </c>
      <c r="B38" s="121" t="s">
        <v>54</v>
      </c>
      <c r="C38" s="122" t="s">
        <v>379</v>
      </c>
      <c r="D38" s="78">
        <f t="shared" si="9"/>
        <v>11225</v>
      </c>
      <c r="E38" s="78">
        <f t="shared" si="7"/>
        <v>0</v>
      </c>
      <c r="F38" s="78">
        <v>0</v>
      </c>
      <c r="G38" s="78">
        <v>0</v>
      </c>
      <c r="H38" s="78">
        <f t="shared" si="8"/>
        <v>11225</v>
      </c>
      <c r="I38" s="78">
        <v>0</v>
      </c>
      <c r="J38" s="78">
        <v>2300</v>
      </c>
      <c r="K38" s="78">
        <v>0</v>
      </c>
      <c r="L38" s="78">
        <v>200</v>
      </c>
      <c r="M38" s="78">
        <v>0</v>
      </c>
      <c r="N38" s="78">
        <v>8725</v>
      </c>
      <c r="O38" s="63"/>
    </row>
    <row r="39" spans="1:15" ht="12.75" x14ac:dyDescent="0.2">
      <c r="A39" s="117">
        <v>29</v>
      </c>
      <c r="B39" s="118" t="s">
        <v>168</v>
      </c>
      <c r="C39" s="119" t="s">
        <v>169</v>
      </c>
      <c r="D39" s="78">
        <f t="shared" si="9"/>
        <v>700</v>
      </c>
      <c r="E39" s="78">
        <f t="shared" si="7"/>
        <v>700</v>
      </c>
      <c r="F39" s="78">
        <v>455</v>
      </c>
      <c r="G39" s="78">
        <v>245</v>
      </c>
      <c r="H39" s="78">
        <f t="shared" si="8"/>
        <v>0</v>
      </c>
      <c r="I39" s="78">
        <v>0</v>
      </c>
      <c r="J39" s="78">
        <v>0</v>
      </c>
      <c r="K39" s="78">
        <v>0</v>
      </c>
      <c r="L39" s="78">
        <v>0</v>
      </c>
      <c r="M39" s="78">
        <v>0</v>
      </c>
      <c r="N39" s="78">
        <v>0</v>
      </c>
      <c r="O39" s="63"/>
    </row>
    <row r="40" spans="1:15" ht="12.75" x14ac:dyDescent="0.2">
      <c r="A40" s="117">
        <v>30</v>
      </c>
      <c r="B40" s="120" t="s">
        <v>170</v>
      </c>
      <c r="C40" s="124" t="s">
        <v>171</v>
      </c>
      <c r="D40" s="78">
        <f t="shared" si="9"/>
        <v>0</v>
      </c>
      <c r="E40" s="78">
        <f t="shared" si="7"/>
        <v>0</v>
      </c>
      <c r="F40" s="78">
        <v>0</v>
      </c>
      <c r="G40" s="78">
        <v>0</v>
      </c>
      <c r="H40" s="78">
        <f t="shared" si="8"/>
        <v>0</v>
      </c>
      <c r="I40" s="78">
        <v>0</v>
      </c>
      <c r="J40" s="78">
        <v>0</v>
      </c>
      <c r="K40" s="78">
        <v>0</v>
      </c>
      <c r="L40" s="78">
        <v>0</v>
      </c>
      <c r="M40" s="78">
        <v>0</v>
      </c>
      <c r="N40" s="78">
        <v>0</v>
      </c>
      <c r="O40" s="63"/>
    </row>
    <row r="41" spans="1:15" ht="24" x14ac:dyDescent="0.2">
      <c r="A41" s="117">
        <v>31</v>
      </c>
      <c r="B41" s="88" t="s">
        <v>320</v>
      </c>
      <c r="C41" s="89" t="s">
        <v>380</v>
      </c>
      <c r="D41" s="78">
        <f t="shared" si="9"/>
        <v>0</v>
      </c>
      <c r="E41" s="78">
        <v>0</v>
      </c>
      <c r="F41" s="78">
        <v>0</v>
      </c>
      <c r="G41" s="78">
        <v>0</v>
      </c>
      <c r="H41" s="78">
        <f t="shared" si="8"/>
        <v>0</v>
      </c>
      <c r="I41" s="78">
        <v>0</v>
      </c>
      <c r="J41" s="78">
        <v>0</v>
      </c>
      <c r="K41" s="78">
        <v>0</v>
      </c>
      <c r="L41" s="78">
        <v>0</v>
      </c>
      <c r="M41" s="78">
        <v>0</v>
      </c>
      <c r="N41" s="78">
        <v>0</v>
      </c>
      <c r="O41" s="63"/>
    </row>
    <row r="42" spans="1:15" ht="18" customHeight="1" x14ac:dyDescent="0.2">
      <c r="A42" s="117">
        <v>32</v>
      </c>
      <c r="B42" s="121" t="s">
        <v>55</v>
      </c>
      <c r="C42" s="122" t="s">
        <v>381</v>
      </c>
      <c r="D42" s="78">
        <f t="shared" si="9"/>
        <v>2100</v>
      </c>
      <c r="E42" s="78">
        <f t="shared" si="7"/>
        <v>0</v>
      </c>
      <c r="F42" s="78">
        <v>0</v>
      </c>
      <c r="G42" s="78">
        <v>0</v>
      </c>
      <c r="H42" s="78">
        <f t="shared" si="8"/>
        <v>2100</v>
      </c>
      <c r="I42" s="78">
        <v>80</v>
      </c>
      <c r="J42" s="78">
        <v>0</v>
      </c>
      <c r="K42" s="78">
        <v>0</v>
      </c>
      <c r="L42" s="78">
        <v>0</v>
      </c>
      <c r="M42" s="78">
        <v>2020</v>
      </c>
      <c r="N42" s="78">
        <v>0</v>
      </c>
      <c r="O42" s="63"/>
    </row>
    <row r="43" spans="1:15" ht="12.75" x14ac:dyDescent="0.2">
      <c r="A43" s="117">
        <v>33</v>
      </c>
      <c r="B43" s="120" t="s">
        <v>56</v>
      </c>
      <c r="C43" s="119" t="s">
        <v>57</v>
      </c>
      <c r="D43" s="78">
        <f t="shared" si="9"/>
        <v>59463</v>
      </c>
      <c r="E43" s="78">
        <f t="shared" si="7"/>
        <v>0</v>
      </c>
      <c r="F43" s="78">
        <v>0</v>
      </c>
      <c r="G43" s="78">
        <v>0</v>
      </c>
      <c r="H43" s="78">
        <f t="shared" si="8"/>
        <v>59463</v>
      </c>
      <c r="I43" s="78">
        <v>7642</v>
      </c>
      <c r="J43" s="78">
        <v>494</v>
      </c>
      <c r="K43" s="78">
        <v>3011</v>
      </c>
      <c r="L43" s="78">
        <v>132</v>
      </c>
      <c r="M43" s="78">
        <v>36538</v>
      </c>
      <c r="N43" s="78">
        <v>11646</v>
      </c>
      <c r="O43" s="63"/>
    </row>
    <row r="44" spans="1:15" ht="12.75" x14ac:dyDescent="0.2">
      <c r="A44" s="117">
        <v>34</v>
      </c>
      <c r="B44" s="123" t="s">
        <v>58</v>
      </c>
      <c r="C44" s="124" t="s">
        <v>59</v>
      </c>
      <c r="D44" s="78">
        <f t="shared" si="9"/>
        <v>58500</v>
      </c>
      <c r="E44" s="78">
        <f t="shared" si="7"/>
        <v>0</v>
      </c>
      <c r="F44" s="78">
        <v>0</v>
      </c>
      <c r="G44" s="78">
        <v>0</v>
      </c>
      <c r="H44" s="78">
        <f t="shared" si="8"/>
        <v>58500</v>
      </c>
      <c r="I44" s="78">
        <v>3900</v>
      </c>
      <c r="J44" s="78">
        <v>600</v>
      </c>
      <c r="K44" s="78">
        <v>0</v>
      </c>
      <c r="L44" s="78">
        <v>0</v>
      </c>
      <c r="M44" s="78">
        <v>39300</v>
      </c>
      <c r="N44" s="78">
        <v>14700</v>
      </c>
      <c r="O44" s="63"/>
    </row>
    <row r="45" spans="1:15" ht="12.75" x14ac:dyDescent="0.2">
      <c r="A45" s="117">
        <v>35</v>
      </c>
      <c r="B45" s="118" t="s">
        <v>172</v>
      </c>
      <c r="C45" s="119" t="s">
        <v>173</v>
      </c>
      <c r="D45" s="78">
        <f t="shared" si="9"/>
        <v>200</v>
      </c>
      <c r="E45" s="78">
        <f t="shared" si="7"/>
        <v>200</v>
      </c>
      <c r="F45" s="78">
        <v>144</v>
      </c>
      <c r="G45" s="78">
        <v>56</v>
      </c>
      <c r="H45" s="78">
        <f t="shared" si="8"/>
        <v>0</v>
      </c>
      <c r="I45" s="78">
        <v>0</v>
      </c>
      <c r="J45" s="78">
        <v>0</v>
      </c>
      <c r="K45" s="78">
        <v>0</v>
      </c>
      <c r="L45" s="78">
        <v>0</v>
      </c>
      <c r="M45" s="78">
        <v>0</v>
      </c>
      <c r="N45" s="78">
        <v>0</v>
      </c>
      <c r="O45" s="63"/>
    </row>
    <row r="46" spans="1:15" ht="12.75" x14ac:dyDescent="0.2">
      <c r="A46" s="117">
        <v>36</v>
      </c>
      <c r="B46" s="120" t="s">
        <v>60</v>
      </c>
      <c r="C46" s="119" t="s">
        <v>61</v>
      </c>
      <c r="D46" s="78">
        <f t="shared" si="9"/>
        <v>16526</v>
      </c>
      <c r="E46" s="78">
        <f t="shared" si="7"/>
        <v>0</v>
      </c>
      <c r="F46" s="78">
        <v>0</v>
      </c>
      <c r="G46" s="78">
        <v>0</v>
      </c>
      <c r="H46" s="78">
        <f t="shared" si="8"/>
        <v>16526</v>
      </c>
      <c r="I46" s="78">
        <v>740</v>
      </c>
      <c r="J46" s="78">
        <v>100</v>
      </c>
      <c r="K46" s="78">
        <v>10</v>
      </c>
      <c r="L46" s="78">
        <v>10</v>
      </c>
      <c r="M46" s="78">
        <v>9835</v>
      </c>
      <c r="N46" s="78">
        <v>5831</v>
      </c>
      <c r="O46" s="63"/>
    </row>
    <row r="47" spans="1:15" ht="12.75" x14ac:dyDescent="0.2">
      <c r="A47" s="117">
        <v>37</v>
      </c>
      <c r="B47" s="121" t="s">
        <v>62</v>
      </c>
      <c r="C47" s="122" t="s">
        <v>63</v>
      </c>
      <c r="D47" s="78">
        <f t="shared" si="9"/>
        <v>55000</v>
      </c>
      <c r="E47" s="78">
        <f t="shared" si="7"/>
        <v>0</v>
      </c>
      <c r="F47" s="78">
        <v>0</v>
      </c>
      <c r="G47" s="78">
        <v>0</v>
      </c>
      <c r="H47" s="78">
        <f t="shared" si="8"/>
        <v>55000</v>
      </c>
      <c r="I47" s="78">
        <v>2660</v>
      </c>
      <c r="J47" s="78">
        <v>223</v>
      </c>
      <c r="K47" s="78">
        <v>1200</v>
      </c>
      <c r="L47" s="78">
        <v>200</v>
      </c>
      <c r="M47" s="78">
        <v>30679</v>
      </c>
      <c r="N47" s="78">
        <v>20038</v>
      </c>
      <c r="O47" s="63"/>
    </row>
    <row r="48" spans="1:15" ht="12.75" x14ac:dyDescent="0.2">
      <c r="A48" s="117">
        <v>38</v>
      </c>
      <c r="B48" s="120" t="s">
        <v>64</v>
      </c>
      <c r="C48" s="119" t="s">
        <v>65</v>
      </c>
      <c r="D48" s="78">
        <f t="shared" si="9"/>
        <v>16926</v>
      </c>
      <c r="E48" s="78">
        <f t="shared" si="7"/>
        <v>0</v>
      </c>
      <c r="F48" s="78">
        <v>0</v>
      </c>
      <c r="G48" s="78">
        <v>0</v>
      </c>
      <c r="H48" s="78">
        <f t="shared" si="8"/>
        <v>16926</v>
      </c>
      <c r="I48" s="78">
        <v>2233</v>
      </c>
      <c r="J48" s="78">
        <v>170</v>
      </c>
      <c r="K48" s="78">
        <v>225</v>
      </c>
      <c r="L48" s="78">
        <v>20</v>
      </c>
      <c r="M48" s="78">
        <v>10125</v>
      </c>
      <c r="N48" s="78">
        <v>4153</v>
      </c>
      <c r="O48" s="63"/>
    </row>
    <row r="49" spans="1:15" ht="12.75" x14ac:dyDescent="0.2">
      <c r="A49" s="117">
        <v>39</v>
      </c>
      <c r="B49" s="118" t="s">
        <v>66</v>
      </c>
      <c r="C49" s="119" t="s">
        <v>382</v>
      </c>
      <c r="D49" s="78">
        <f t="shared" si="9"/>
        <v>50000</v>
      </c>
      <c r="E49" s="78">
        <f t="shared" si="7"/>
        <v>0</v>
      </c>
      <c r="F49" s="78">
        <v>0</v>
      </c>
      <c r="G49" s="78">
        <v>0</v>
      </c>
      <c r="H49" s="78">
        <f t="shared" si="8"/>
        <v>50000</v>
      </c>
      <c r="I49" s="78">
        <v>3489</v>
      </c>
      <c r="J49" s="78">
        <v>492</v>
      </c>
      <c r="K49" s="78">
        <v>0</v>
      </c>
      <c r="L49" s="78">
        <v>0</v>
      </c>
      <c r="M49" s="78">
        <v>33594</v>
      </c>
      <c r="N49" s="78">
        <v>12425</v>
      </c>
      <c r="O49" s="63"/>
    </row>
    <row r="50" spans="1:15" ht="12.75" x14ac:dyDescent="0.2">
      <c r="A50" s="117">
        <v>40</v>
      </c>
      <c r="B50" s="125" t="s">
        <v>67</v>
      </c>
      <c r="C50" s="126" t="s">
        <v>383</v>
      </c>
      <c r="D50" s="78">
        <f t="shared" si="9"/>
        <v>17741</v>
      </c>
      <c r="E50" s="78">
        <f t="shared" si="7"/>
        <v>0</v>
      </c>
      <c r="F50" s="78">
        <v>0</v>
      </c>
      <c r="G50" s="78">
        <v>0</v>
      </c>
      <c r="H50" s="78">
        <f t="shared" si="8"/>
        <v>17741</v>
      </c>
      <c r="I50" s="78">
        <v>1090</v>
      </c>
      <c r="J50" s="78">
        <v>256</v>
      </c>
      <c r="K50" s="78">
        <v>1450</v>
      </c>
      <c r="L50" s="78">
        <v>49</v>
      </c>
      <c r="M50" s="78">
        <v>11730</v>
      </c>
      <c r="N50" s="78">
        <v>3166</v>
      </c>
      <c r="O50" s="63"/>
    </row>
    <row r="51" spans="1:15" ht="12.75" x14ac:dyDescent="0.2">
      <c r="A51" s="117">
        <v>41</v>
      </c>
      <c r="B51" s="118" t="s">
        <v>68</v>
      </c>
      <c r="C51" s="119" t="s">
        <v>384</v>
      </c>
      <c r="D51" s="78">
        <f t="shared" si="9"/>
        <v>13606</v>
      </c>
      <c r="E51" s="78">
        <f t="shared" si="7"/>
        <v>0</v>
      </c>
      <c r="F51" s="78">
        <v>0</v>
      </c>
      <c r="G51" s="78">
        <v>0</v>
      </c>
      <c r="H51" s="78">
        <f t="shared" si="8"/>
        <v>13606</v>
      </c>
      <c r="I51" s="78">
        <v>136</v>
      </c>
      <c r="J51" s="78">
        <v>67</v>
      </c>
      <c r="K51" s="78">
        <v>0</v>
      </c>
      <c r="L51" s="78">
        <v>1</v>
      </c>
      <c r="M51" s="78">
        <v>13243</v>
      </c>
      <c r="N51" s="78">
        <v>159</v>
      </c>
      <c r="O51" s="63"/>
    </row>
    <row r="52" spans="1:15" ht="12.75" x14ac:dyDescent="0.2">
      <c r="A52" s="117">
        <v>42</v>
      </c>
      <c r="B52" s="123" t="s">
        <v>69</v>
      </c>
      <c r="C52" s="124" t="s">
        <v>70</v>
      </c>
      <c r="D52" s="78">
        <f t="shared" si="9"/>
        <v>25000</v>
      </c>
      <c r="E52" s="78">
        <f t="shared" si="7"/>
        <v>0</v>
      </c>
      <c r="F52" s="78">
        <v>0</v>
      </c>
      <c r="G52" s="78">
        <v>0</v>
      </c>
      <c r="H52" s="78">
        <f t="shared" si="8"/>
        <v>25000</v>
      </c>
      <c r="I52" s="78">
        <v>2669</v>
      </c>
      <c r="J52" s="78">
        <v>40</v>
      </c>
      <c r="K52" s="78">
        <v>0</v>
      </c>
      <c r="L52" s="78">
        <v>0</v>
      </c>
      <c r="M52" s="78">
        <v>14231</v>
      </c>
      <c r="N52" s="78">
        <v>8060</v>
      </c>
      <c r="O52" s="63"/>
    </row>
    <row r="53" spans="1:15" ht="12.75" x14ac:dyDescent="0.2">
      <c r="A53" s="117">
        <v>43</v>
      </c>
      <c r="B53" s="121" t="s">
        <v>174</v>
      </c>
      <c r="C53" s="122" t="s">
        <v>175</v>
      </c>
      <c r="D53" s="78">
        <f t="shared" si="9"/>
        <v>10491</v>
      </c>
      <c r="E53" s="78">
        <f t="shared" si="7"/>
        <v>0</v>
      </c>
      <c r="F53" s="78">
        <v>0</v>
      </c>
      <c r="G53" s="78">
        <v>0</v>
      </c>
      <c r="H53" s="78">
        <f t="shared" si="8"/>
        <v>10491</v>
      </c>
      <c r="I53" s="78">
        <v>386</v>
      </c>
      <c r="J53" s="78">
        <v>13</v>
      </c>
      <c r="K53" s="78">
        <v>0</v>
      </c>
      <c r="L53" s="78">
        <v>0</v>
      </c>
      <c r="M53" s="78">
        <v>7931</v>
      </c>
      <c r="N53" s="78">
        <v>2161</v>
      </c>
      <c r="O53" s="63"/>
    </row>
    <row r="54" spans="1:15" ht="12.75" x14ac:dyDescent="0.2">
      <c r="A54" s="117">
        <v>44</v>
      </c>
      <c r="B54" s="120" t="s">
        <v>71</v>
      </c>
      <c r="C54" s="119" t="s">
        <v>385</v>
      </c>
      <c r="D54" s="78">
        <f t="shared" si="9"/>
        <v>10000</v>
      </c>
      <c r="E54" s="78">
        <f t="shared" si="7"/>
        <v>0</v>
      </c>
      <c r="F54" s="78">
        <v>0</v>
      </c>
      <c r="G54" s="78">
        <v>0</v>
      </c>
      <c r="H54" s="78">
        <f t="shared" si="8"/>
        <v>10000</v>
      </c>
      <c r="I54" s="78">
        <v>626</v>
      </c>
      <c r="J54" s="78">
        <v>0</v>
      </c>
      <c r="K54" s="78">
        <v>0</v>
      </c>
      <c r="L54" s="78">
        <v>0</v>
      </c>
      <c r="M54" s="78">
        <v>9374</v>
      </c>
      <c r="N54" s="78">
        <v>0</v>
      </c>
      <c r="O54" s="63"/>
    </row>
    <row r="55" spans="1:15" ht="12.75" x14ac:dyDescent="0.2">
      <c r="A55" s="117">
        <v>45</v>
      </c>
      <c r="B55" s="121" t="s">
        <v>72</v>
      </c>
      <c r="C55" s="122" t="s">
        <v>73</v>
      </c>
      <c r="D55" s="78">
        <f t="shared" si="9"/>
        <v>87008</v>
      </c>
      <c r="E55" s="78">
        <f t="shared" si="7"/>
        <v>0</v>
      </c>
      <c r="F55" s="78">
        <v>0</v>
      </c>
      <c r="G55" s="78">
        <v>0</v>
      </c>
      <c r="H55" s="78">
        <f t="shared" si="8"/>
        <v>87008</v>
      </c>
      <c r="I55" s="78">
        <v>3200</v>
      </c>
      <c r="J55" s="78">
        <v>1520</v>
      </c>
      <c r="K55" s="78">
        <v>0</v>
      </c>
      <c r="L55" s="78">
        <v>0</v>
      </c>
      <c r="M55" s="78">
        <v>50572</v>
      </c>
      <c r="N55" s="78">
        <v>31716</v>
      </c>
      <c r="O55" s="63"/>
    </row>
    <row r="56" spans="1:15" ht="12.75" x14ac:dyDescent="0.2">
      <c r="A56" s="117">
        <v>46</v>
      </c>
      <c r="B56" s="118" t="s">
        <v>74</v>
      </c>
      <c r="C56" s="119" t="s">
        <v>386</v>
      </c>
      <c r="D56" s="78">
        <f t="shared" si="9"/>
        <v>22421</v>
      </c>
      <c r="E56" s="78">
        <f t="shared" si="7"/>
        <v>0</v>
      </c>
      <c r="F56" s="78">
        <v>0</v>
      </c>
      <c r="G56" s="78">
        <v>0</v>
      </c>
      <c r="H56" s="78">
        <f t="shared" si="8"/>
        <v>22421</v>
      </c>
      <c r="I56" s="78">
        <v>1890</v>
      </c>
      <c r="J56" s="78">
        <v>46</v>
      </c>
      <c r="K56" s="78">
        <v>0</v>
      </c>
      <c r="L56" s="78">
        <v>0</v>
      </c>
      <c r="M56" s="78">
        <v>16281</v>
      </c>
      <c r="N56" s="78">
        <v>4204</v>
      </c>
      <c r="O56" s="63"/>
    </row>
    <row r="57" spans="1:15" ht="12.75" x14ac:dyDescent="0.2">
      <c r="A57" s="117">
        <v>47</v>
      </c>
      <c r="B57" s="118" t="s">
        <v>75</v>
      </c>
      <c r="C57" s="119" t="s">
        <v>76</v>
      </c>
      <c r="D57" s="78">
        <f t="shared" si="9"/>
        <v>58356</v>
      </c>
      <c r="E57" s="78">
        <f t="shared" si="7"/>
        <v>0</v>
      </c>
      <c r="F57" s="78">
        <v>0</v>
      </c>
      <c r="G57" s="78">
        <v>0</v>
      </c>
      <c r="H57" s="78">
        <f t="shared" si="8"/>
        <v>58356</v>
      </c>
      <c r="I57" s="78">
        <v>5629</v>
      </c>
      <c r="J57" s="78">
        <v>1088</v>
      </c>
      <c r="K57" s="78">
        <v>0</v>
      </c>
      <c r="L57" s="78">
        <v>0</v>
      </c>
      <c r="M57" s="78">
        <v>32783</v>
      </c>
      <c r="N57" s="78">
        <v>18856</v>
      </c>
      <c r="O57" s="63"/>
    </row>
    <row r="58" spans="1:15" ht="12.75" x14ac:dyDescent="0.2">
      <c r="A58" s="117">
        <v>48</v>
      </c>
      <c r="B58" s="127" t="s">
        <v>77</v>
      </c>
      <c r="C58" s="128" t="s">
        <v>78</v>
      </c>
      <c r="D58" s="78">
        <f t="shared" si="9"/>
        <v>15315</v>
      </c>
      <c r="E58" s="78">
        <f t="shared" si="7"/>
        <v>0</v>
      </c>
      <c r="F58" s="78">
        <v>0</v>
      </c>
      <c r="G58" s="78">
        <v>0</v>
      </c>
      <c r="H58" s="78">
        <f t="shared" si="8"/>
        <v>15315</v>
      </c>
      <c r="I58" s="78">
        <v>830</v>
      </c>
      <c r="J58" s="78">
        <v>285</v>
      </c>
      <c r="K58" s="78">
        <v>30</v>
      </c>
      <c r="L58" s="78">
        <v>30</v>
      </c>
      <c r="M58" s="78">
        <v>11390</v>
      </c>
      <c r="N58" s="78">
        <v>2750</v>
      </c>
      <c r="O58" s="63"/>
    </row>
    <row r="59" spans="1:15" ht="12.75" x14ac:dyDescent="0.2">
      <c r="A59" s="117">
        <v>49</v>
      </c>
      <c r="B59" s="121" t="s">
        <v>79</v>
      </c>
      <c r="C59" s="122" t="s">
        <v>387</v>
      </c>
      <c r="D59" s="78">
        <f t="shared" si="9"/>
        <v>22903</v>
      </c>
      <c r="E59" s="78">
        <f t="shared" si="7"/>
        <v>0</v>
      </c>
      <c r="F59" s="78">
        <v>0</v>
      </c>
      <c r="G59" s="78">
        <v>0</v>
      </c>
      <c r="H59" s="78">
        <f t="shared" si="8"/>
        <v>22903</v>
      </c>
      <c r="I59" s="78">
        <v>1260</v>
      </c>
      <c r="J59" s="78">
        <v>330</v>
      </c>
      <c r="K59" s="78">
        <v>100</v>
      </c>
      <c r="L59" s="78">
        <v>10</v>
      </c>
      <c r="M59" s="78">
        <v>13996</v>
      </c>
      <c r="N59" s="78">
        <v>7207</v>
      </c>
      <c r="O59" s="63"/>
    </row>
    <row r="60" spans="1:15" ht="12.75" x14ac:dyDescent="0.2">
      <c r="A60" s="117">
        <v>50</v>
      </c>
      <c r="B60" s="120" t="s">
        <v>80</v>
      </c>
      <c r="C60" s="119" t="s">
        <v>81</v>
      </c>
      <c r="D60" s="78">
        <f t="shared" si="9"/>
        <v>13591</v>
      </c>
      <c r="E60" s="78">
        <f t="shared" si="7"/>
        <v>0</v>
      </c>
      <c r="F60" s="78">
        <v>0</v>
      </c>
      <c r="G60" s="78">
        <v>0</v>
      </c>
      <c r="H60" s="78">
        <f t="shared" si="8"/>
        <v>13591</v>
      </c>
      <c r="I60" s="78">
        <v>2739</v>
      </c>
      <c r="J60" s="78">
        <v>110</v>
      </c>
      <c r="K60" s="78">
        <v>50</v>
      </c>
      <c r="L60" s="78">
        <v>25</v>
      </c>
      <c r="M60" s="78">
        <v>6006</v>
      </c>
      <c r="N60" s="78">
        <v>4661</v>
      </c>
      <c r="O60" s="63"/>
    </row>
    <row r="61" spans="1:15" ht="12.75" x14ac:dyDescent="0.2">
      <c r="A61" s="117">
        <v>51</v>
      </c>
      <c r="B61" s="121" t="s">
        <v>82</v>
      </c>
      <c r="C61" s="122" t="s">
        <v>83</v>
      </c>
      <c r="D61" s="78">
        <f t="shared" si="9"/>
        <v>14596</v>
      </c>
      <c r="E61" s="78">
        <f t="shared" si="7"/>
        <v>0</v>
      </c>
      <c r="F61" s="78">
        <v>0</v>
      </c>
      <c r="G61" s="78">
        <v>0</v>
      </c>
      <c r="H61" s="78">
        <f t="shared" si="8"/>
        <v>14596</v>
      </c>
      <c r="I61" s="78">
        <v>1388</v>
      </c>
      <c r="J61" s="78">
        <v>140</v>
      </c>
      <c r="K61" s="78">
        <v>420</v>
      </c>
      <c r="L61" s="78">
        <v>90</v>
      </c>
      <c r="M61" s="78">
        <v>9995</v>
      </c>
      <c r="N61" s="78">
        <v>2563</v>
      </c>
      <c r="O61" s="63"/>
    </row>
    <row r="62" spans="1:15" ht="12.75" x14ac:dyDescent="0.2">
      <c r="A62" s="117">
        <v>52</v>
      </c>
      <c r="B62" s="120" t="s">
        <v>84</v>
      </c>
      <c r="C62" s="119" t="s">
        <v>85</v>
      </c>
      <c r="D62" s="78">
        <f t="shared" si="9"/>
        <v>20820</v>
      </c>
      <c r="E62" s="78">
        <f t="shared" si="7"/>
        <v>0</v>
      </c>
      <c r="F62" s="78">
        <v>0</v>
      </c>
      <c r="G62" s="78">
        <v>0</v>
      </c>
      <c r="H62" s="78">
        <f t="shared" si="8"/>
        <v>20820</v>
      </c>
      <c r="I62" s="78">
        <v>1540</v>
      </c>
      <c r="J62" s="78">
        <v>130</v>
      </c>
      <c r="K62" s="78">
        <v>0</v>
      </c>
      <c r="L62" s="78">
        <v>0</v>
      </c>
      <c r="M62" s="78">
        <v>15870</v>
      </c>
      <c r="N62" s="78">
        <v>3280</v>
      </c>
      <c r="O62" s="63"/>
    </row>
    <row r="63" spans="1:15" ht="12.75" x14ac:dyDescent="0.2">
      <c r="A63" s="117">
        <v>53</v>
      </c>
      <c r="B63" s="121" t="s">
        <v>86</v>
      </c>
      <c r="C63" s="122" t="s">
        <v>388</v>
      </c>
      <c r="D63" s="78">
        <f t="shared" si="9"/>
        <v>36586</v>
      </c>
      <c r="E63" s="78">
        <f t="shared" si="7"/>
        <v>0</v>
      </c>
      <c r="F63" s="78">
        <v>0</v>
      </c>
      <c r="G63" s="78">
        <v>0</v>
      </c>
      <c r="H63" s="78">
        <f t="shared" si="8"/>
        <v>36586</v>
      </c>
      <c r="I63" s="78">
        <v>2994</v>
      </c>
      <c r="J63" s="78">
        <v>1405</v>
      </c>
      <c r="K63" s="78">
        <v>0</v>
      </c>
      <c r="L63" s="78">
        <v>2</v>
      </c>
      <c r="M63" s="78">
        <v>21020</v>
      </c>
      <c r="N63" s="78">
        <v>11165</v>
      </c>
      <c r="O63" s="63"/>
    </row>
    <row r="64" spans="1:15" ht="12.75" x14ac:dyDescent="0.2">
      <c r="A64" s="117">
        <v>54</v>
      </c>
      <c r="B64" s="121" t="s">
        <v>87</v>
      </c>
      <c r="C64" s="122" t="s">
        <v>88</v>
      </c>
      <c r="D64" s="78">
        <f t="shared" si="9"/>
        <v>96804</v>
      </c>
      <c r="E64" s="78">
        <f t="shared" si="7"/>
        <v>0</v>
      </c>
      <c r="F64" s="78">
        <v>0</v>
      </c>
      <c r="G64" s="78">
        <v>0</v>
      </c>
      <c r="H64" s="78">
        <f t="shared" si="8"/>
        <v>96804</v>
      </c>
      <c r="I64" s="78">
        <v>1505</v>
      </c>
      <c r="J64" s="78">
        <v>690</v>
      </c>
      <c r="K64" s="78">
        <v>50</v>
      </c>
      <c r="L64" s="78">
        <v>57</v>
      </c>
      <c r="M64" s="78">
        <v>56560</v>
      </c>
      <c r="N64" s="78">
        <v>37942</v>
      </c>
      <c r="O64" s="63"/>
    </row>
    <row r="65" spans="1:15" ht="12.75" x14ac:dyDescent="0.2">
      <c r="A65" s="117">
        <v>55</v>
      </c>
      <c r="B65" s="121" t="s">
        <v>89</v>
      </c>
      <c r="C65" s="122" t="s">
        <v>389</v>
      </c>
      <c r="D65" s="78">
        <f t="shared" si="9"/>
        <v>10206</v>
      </c>
      <c r="E65" s="78">
        <f t="shared" si="7"/>
        <v>0</v>
      </c>
      <c r="F65" s="78">
        <v>0</v>
      </c>
      <c r="G65" s="78">
        <v>0</v>
      </c>
      <c r="H65" s="78">
        <f t="shared" si="8"/>
        <v>10206</v>
      </c>
      <c r="I65" s="78">
        <v>368</v>
      </c>
      <c r="J65" s="78">
        <v>350</v>
      </c>
      <c r="K65" s="78">
        <v>10</v>
      </c>
      <c r="L65" s="78">
        <v>60</v>
      </c>
      <c r="M65" s="78">
        <v>8034</v>
      </c>
      <c r="N65" s="78">
        <v>1384</v>
      </c>
      <c r="O65" s="63"/>
    </row>
    <row r="66" spans="1:15" x14ac:dyDescent="0.2">
      <c r="A66" s="117">
        <v>56</v>
      </c>
      <c r="B66" s="87" t="s">
        <v>176</v>
      </c>
      <c r="C66" s="86" t="s">
        <v>390</v>
      </c>
      <c r="D66" s="78">
        <f t="shared" si="9"/>
        <v>0</v>
      </c>
      <c r="E66" s="78">
        <v>0</v>
      </c>
      <c r="F66" s="78">
        <v>0</v>
      </c>
      <c r="G66" s="78">
        <v>0</v>
      </c>
      <c r="H66" s="78">
        <f t="shared" si="8"/>
        <v>0</v>
      </c>
      <c r="I66" s="78">
        <v>0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63"/>
    </row>
    <row r="67" spans="1:15" x14ac:dyDescent="0.2">
      <c r="A67" s="117">
        <v>57</v>
      </c>
      <c r="B67" s="87" t="s">
        <v>322</v>
      </c>
      <c r="C67" s="86" t="s">
        <v>323</v>
      </c>
      <c r="D67" s="78">
        <f t="shared" si="9"/>
        <v>0</v>
      </c>
      <c r="E67" s="78">
        <v>0</v>
      </c>
      <c r="F67" s="78">
        <v>0</v>
      </c>
      <c r="G67" s="78">
        <v>0</v>
      </c>
      <c r="H67" s="78">
        <f t="shared" si="8"/>
        <v>0</v>
      </c>
      <c r="I67" s="78">
        <v>0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63"/>
    </row>
    <row r="68" spans="1:15" ht="25.5" x14ac:dyDescent="0.2">
      <c r="A68" s="117">
        <v>58</v>
      </c>
      <c r="B68" s="121" t="s">
        <v>90</v>
      </c>
      <c r="C68" s="122" t="s">
        <v>391</v>
      </c>
      <c r="D68" s="78">
        <f t="shared" si="9"/>
        <v>14035</v>
      </c>
      <c r="E68" s="78">
        <f t="shared" si="7"/>
        <v>0</v>
      </c>
      <c r="F68" s="78">
        <v>0</v>
      </c>
      <c r="G68" s="78">
        <v>0</v>
      </c>
      <c r="H68" s="78">
        <f t="shared" si="8"/>
        <v>14035</v>
      </c>
      <c r="I68" s="78">
        <v>0</v>
      </c>
      <c r="J68" s="78">
        <v>3019</v>
      </c>
      <c r="K68" s="78">
        <v>0</v>
      </c>
      <c r="L68" s="78">
        <v>0</v>
      </c>
      <c r="M68" s="78">
        <v>0</v>
      </c>
      <c r="N68" s="78">
        <v>11016</v>
      </c>
      <c r="O68" s="63"/>
    </row>
    <row r="69" spans="1:15" ht="25.5" x14ac:dyDescent="0.2">
      <c r="A69" s="117">
        <v>59</v>
      </c>
      <c r="B69" s="120" t="s">
        <v>91</v>
      </c>
      <c r="C69" s="122" t="s">
        <v>392</v>
      </c>
      <c r="D69" s="78">
        <f t="shared" si="9"/>
        <v>16566</v>
      </c>
      <c r="E69" s="78">
        <f t="shared" si="7"/>
        <v>0</v>
      </c>
      <c r="F69" s="78">
        <v>0</v>
      </c>
      <c r="G69" s="78">
        <v>0</v>
      </c>
      <c r="H69" s="78">
        <f t="shared" si="8"/>
        <v>16566</v>
      </c>
      <c r="I69" s="78">
        <v>0</v>
      </c>
      <c r="J69" s="78">
        <v>1660</v>
      </c>
      <c r="K69" s="78">
        <v>0</v>
      </c>
      <c r="L69" s="78">
        <v>0</v>
      </c>
      <c r="M69" s="78">
        <v>0</v>
      </c>
      <c r="N69" s="78">
        <v>14906</v>
      </c>
      <c r="O69" s="63"/>
    </row>
    <row r="70" spans="1:15" ht="25.5" x14ac:dyDescent="0.2">
      <c r="A70" s="117">
        <v>60</v>
      </c>
      <c r="B70" s="123" t="s">
        <v>92</v>
      </c>
      <c r="C70" s="124" t="s">
        <v>393</v>
      </c>
      <c r="D70" s="78">
        <f t="shared" si="9"/>
        <v>30998</v>
      </c>
      <c r="E70" s="78">
        <f t="shared" si="7"/>
        <v>0</v>
      </c>
      <c r="F70" s="78">
        <v>0</v>
      </c>
      <c r="G70" s="78">
        <v>0</v>
      </c>
      <c r="H70" s="78">
        <f t="shared" si="8"/>
        <v>30998</v>
      </c>
      <c r="I70" s="78">
        <v>0</v>
      </c>
      <c r="J70" s="78">
        <v>1800</v>
      </c>
      <c r="K70" s="78">
        <v>0</v>
      </c>
      <c r="L70" s="78">
        <v>3300</v>
      </c>
      <c r="M70" s="78">
        <v>0</v>
      </c>
      <c r="N70" s="78">
        <v>25898</v>
      </c>
      <c r="O70" s="63"/>
    </row>
    <row r="71" spans="1:15" ht="25.5" x14ac:dyDescent="0.2">
      <c r="A71" s="117">
        <v>61</v>
      </c>
      <c r="B71" s="120" t="s">
        <v>93</v>
      </c>
      <c r="C71" s="122" t="s">
        <v>394</v>
      </c>
      <c r="D71" s="78">
        <f t="shared" si="9"/>
        <v>24806</v>
      </c>
      <c r="E71" s="78">
        <f t="shared" si="7"/>
        <v>0</v>
      </c>
      <c r="F71" s="78">
        <v>0</v>
      </c>
      <c r="G71" s="78">
        <v>0</v>
      </c>
      <c r="H71" s="78">
        <f t="shared" si="8"/>
        <v>24806</v>
      </c>
      <c r="I71" s="78">
        <v>0</v>
      </c>
      <c r="J71" s="78">
        <v>1750</v>
      </c>
      <c r="K71" s="78">
        <v>0</v>
      </c>
      <c r="L71" s="78">
        <v>0</v>
      </c>
      <c r="M71" s="78">
        <v>0</v>
      </c>
      <c r="N71" s="78">
        <v>23056</v>
      </c>
      <c r="O71" s="63"/>
    </row>
    <row r="72" spans="1:15" ht="25.5" x14ac:dyDescent="0.2">
      <c r="A72" s="117">
        <v>62</v>
      </c>
      <c r="B72" s="121" t="s">
        <v>94</v>
      </c>
      <c r="C72" s="122" t="s">
        <v>395</v>
      </c>
      <c r="D72" s="78">
        <f t="shared" si="9"/>
        <v>11670</v>
      </c>
      <c r="E72" s="78">
        <f t="shared" si="7"/>
        <v>0</v>
      </c>
      <c r="F72" s="78">
        <v>0</v>
      </c>
      <c r="G72" s="78">
        <v>0</v>
      </c>
      <c r="H72" s="78">
        <f t="shared" si="8"/>
        <v>11670</v>
      </c>
      <c r="I72" s="78">
        <v>0</v>
      </c>
      <c r="J72" s="78">
        <v>630</v>
      </c>
      <c r="K72" s="78">
        <v>0</v>
      </c>
      <c r="L72" s="78">
        <v>0</v>
      </c>
      <c r="M72" s="78">
        <v>0</v>
      </c>
      <c r="N72" s="78">
        <v>11040</v>
      </c>
      <c r="O72" s="63"/>
    </row>
    <row r="73" spans="1:15" ht="25.5" x14ac:dyDescent="0.2">
      <c r="A73" s="117">
        <v>63</v>
      </c>
      <c r="B73" s="118" t="s">
        <v>177</v>
      </c>
      <c r="C73" s="122" t="s">
        <v>396</v>
      </c>
      <c r="D73" s="78">
        <f t="shared" si="9"/>
        <v>0</v>
      </c>
      <c r="E73" s="78">
        <f t="shared" si="7"/>
        <v>0</v>
      </c>
      <c r="F73" s="78">
        <v>0</v>
      </c>
      <c r="G73" s="78">
        <v>0</v>
      </c>
      <c r="H73" s="78">
        <f t="shared" si="8"/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63"/>
    </row>
    <row r="74" spans="1:15" ht="25.5" x14ac:dyDescent="0.2">
      <c r="A74" s="117">
        <v>64</v>
      </c>
      <c r="B74" s="118" t="s">
        <v>178</v>
      </c>
      <c r="C74" s="122" t="s">
        <v>397</v>
      </c>
      <c r="D74" s="78">
        <f t="shared" si="9"/>
        <v>0</v>
      </c>
      <c r="E74" s="78">
        <f t="shared" si="7"/>
        <v>0</v>
      </c>
      <c r="F74" s="78">
        <v>0</v>
      </c>
      <c r="G74" s="78">
        <v>0</v>
      </c>
      <c r="H74" s="78">
        <f t="shared" si="8"/>
        <v>0</v>
      </c>
      <c r="I74" s="78">
        <v>0</v>
      </c>
      <c r="J74" s="78">
        <v>0</v>
      </c>
      <c r="K74" s="78">
        <v>0</v>
      </c>
      <c r="L74" s="78">
        <v>0</v>
      </c>
      <c r="M74" s="78">
        <v>0</v>
      </c>
      <c r="N74" s="78">
        <v>0</v>
      </c>
      <c r="O74" s="63"/>
    </row>
    <row r="75" spans="1:15" ht="12.75" x14ac:dyDescent="0.2">
      <c r="A75" s="117">
        <v>65</v>
      </c>
      <c r="B75" s="120" t="s">
        <v>95</v>
      </c>
      <c r="C75" s="122" t="s">
        <v>398</v>
      </c>
      <c r="D75" s="78">
        <f t="shared" si="9"/>
        <v>34716</v>
      </c>
      <c r="E75" s="78">
        <f t="shared" si="7"/>
        <v>0</v>
      </c>
      <c r="F75" s="78">
        <v>0</v>
      </c>
      <c r="G75" s="78">
        <v>0</v>
      </c>
      <c r="H75" s="78">
        <f t="shared" si="8"/>
        <v>34716</v>
      </c>
      <c r="I75" s="78">
        <v>1949</v>
      </c>
      <c r="J75" s="78">
        <v>20</v>
      </c>
      <c r="K75" s="78">
        <v>0</v>
      </c>
      <c r="L75" s="78">
        <v>0</v>
      </c>
      <c r="M75" s="78">
        <v>31142</v>
      </c>
      <c r="N75" s="78">
        <v>1605</v>
      </c>
      <c r="O75" s="63"/>
    </row>
    <row r="76" spans="1:15" ht="12.75" x14ac:dyDescent="0.2">
      <c r="A76" s="117">
        <v>66</v>
      </c>
      <c r="B76" s="118" t="s">
        <v>96</v>
      </c>
      <c r="C76" s="122" t="s">
        <v>399</v>
      </c>
      <c r="D76" s="78">
        <f t="shared" si="9"/>
        <v>45000</v>
      </c>
      <c r="E76" s="78">
        <f t="shared" si="7"/>
        <v>0</v>
      </c>
      <c r="F76" s="78">
        <v>0</v>
      </c>
      <c r="G76" s="78">
        <v>0</v>
      </c>
      <c r="H76" s="78">
        <f t="shared" si="8"/>
        <v>45000</v>
      </c>
      <c r="I76" s="78">
        <v>2875</v>
      </c>
      <c r="J76" s="78">
        <v>0</v>
      </c>
      <c r="K76" s="78">
        <v>0</v>
      </c>
      <c r="L76" s="78">
        <v>0</v>
      </c>
      <c r="M76" s="78">
        <v>42125</v>
      </c>
      <c r="N76" s="78">
        <v>0</v>
      </c>
      <c r="O76" s="63"/>
    </row>
    <row r="77" spans="1:15" ht="12.75" x14ac:dyDescent="0.2">
      <c r="A77" s="117">
        <v>67</v>
      </c>
      <c r="B77" s="120" t="s">
        <v>97</v>
      </c>
      <c r="C77" s="122" t="s">
        <v>400</v>
      </c>
      <c r="D77" s="78">
        <f t="shared" si="9"/>
        <v>13120</v>
      </c>
      <c r="E77" s="78">
        <f t="shared" si="7"/>
        <v>0</v>
      </c>
      <c r="F77" s="78">
        <v>0</v>
      </c>
      <c r="G77" s="78">
        <v>0</v>
      </c>
      <c r="H77" s="78">
        <f t="shared" si="8"/>
        <v>13120</v>
      </c>
      <c r="I77" s="78">
        <v>2818</v>
      </c>
      <c r="J77" s="78">
        <v>0</v>
      </c>
      <c r="K77" s="78">
        <v>1100</v>
      </c>
      <c r="L77" s="78">
        <v>0</v>
      </c>
      <c r="M77" s="78">
        <v>9202</v>
      </c>
      <c r="N77" s="78">
        <v>0</v>
      </c>
      <c r="O77" s="63"/>
    </row>
    <row r="78" spans="1:15" ht="12.75" x14ac:dyDescent="0.2">
      <c r="A78" s="117">
        <v>68</v>
      </c>
      <c r="B78" s="120" t="s">
        <v>98</v>
      </c>
      <c r="C78" s="122" t="s">
        <v>401</v>
      </c>
      <c r="D78" s="78">
        <f t="shared" si="9"/>
        <v>19715</v>
      </c>
      <c r="E78" s="78">
        <f t="shared" si="7"/>
        <v>0</v>
      </c>
      <c r="F78" s="78">
        <v>0</v>
      </c>
      <c r="G78" s="78">
        <v>0</v>
      </c>
      <c r="H78" s="78">
        <f t="shared" si="8"/>
        <v>19715</v>
      </c>
      <c r="I78" s="78">
        <v>6407</v>
      </c>
      <c r="J78" s="78">
        <v>0</v>
      </c>
      <c r="K78" s="78">
        <v>0</v>
      </c>
      <c r="L78" s="78">
        <v>0</v>
      </c>
      <c r="M78" s="78">
        <v>13308</v>
      </c>
      <c r="N78" s="78">
        <v>0</v>
      </c>
      <c r="O78" s="63"/>
    </row>
    <row r="79" spans="1:15" ht="12.75" x14ac:dyDescent="0.2">
      <c r="A79" s="117">
        <v>69</v>
      </c>
      <c r="B79" s="120" t="s">
        <v>99</v>
      </c>
      <c r="C79" s="122" t="s">
        <v>402</v>
      </c>
      <c r="D79" s="78">
        <f t="shared" si="9"/>
        <v>42596</v>
      </c>
      <c r="E79" s="78">
        <f t="shared" si="7"/>
        <v>0</v>
      </c>
      <c r="F79" s="78">
        <v>0</v>
      </c>
      <c r="G79" s="78">
        <v>0</v>
      </c>
      <c r="H79" s="78">
        <f t="shared" si="8"/>
        <v>42596</v>
      </c>
      <c r="I79" s="78">
        <v>14988</v>
      </c>
      <c r="J79" s="78">
        <v>0</v>
      </c>
      <c r="K79" s="78">
        <v>0</v>
      </c>
      <c r="L79" s="78">
        <v>0</v>
      </c>
      <c r="M79" s="78">
        <v>27608</v>
      </c>
      <c r="N79" s="78">
        <v>0</v>
      </c>
      <c r="O79" s="63"/>
    </row>
    <row r="80" spans="1:15" ht="12.75" x14ac:dyDescent="0.2">
      <c r="A80" s="117">
        <v>70</v>
      </c>
      <c r="B80" s="121" t="s">
        <v>100</v>
      </c>
      <c r="C80" s="122" t="s">
        <v>403</v>
      </c>
      <c r="D80" s="78">
        <f t="shared" si="9"/>
        <v>32112</v>
      </c>
      <c r="E80" s="78">
        <f t="shared" si="7"/>
        <v>0</v>
      </c>
      <c r="F80" s="78">
        <v>0</v>
      </c>
      <c r="G80" s="78">
        <v>0</v>
      </c>
      <c r="H80" s="78">
        <f t="shared" si="8"/>
        <v>32112</v>
      </c>
      <c r="I80" s="78">
        <v>13091</v>
      </c>
      <c r="J80" s="78">
        <v>0</v>
      </c>
      <c r="K80" s="78">
        <v>0</v>
      </c>
      <c r="L80" s="78">
        <v>0</v>
      </c>
      <c r="M80" s="78">
        <v>19021</v>
      </c>
      <c r="N80" s="78">
        <v>0</v>
      </c>
      <c r="O80" s="63"/>
    </row>
    <row r="81" spans="1:15" ht="12.75" x14ac:dyDescent="0.2">
      <c r="A81" s="117">
        <v>71</v>
      </c>
      <c r="B81" s="120" t="s">
        <v>101</v>
      </c>
      <c r="C81" s="119" t="s">
        <v>404</v>
      </c>
      <c r="D81" s="78">
        <f t="shared" si="9"/>
        <v>39220</v>
      </c>
      <c r="E81" s="78">
        <f t="shared" si="7"/>
        <v>0</v>
      </c>
      <c r="F81" s="78">
        <v>0</v>
      </c>
      <c r="G81" s="78">
        <v>0</v>
      </c>
      <c r="H81" s="78">
        <f t="shared" si="8"/>
        <v>39220</v>
      </c>
      <c r="I81" s="78">
        <v>5304</v>
      </c>
      <c r="J81" s="78">
        <v>0</v>
      </c>
      <c r="K81" s="78">
        <v>0</v>
      </c>
      <c r="L81" s="78">
        <v>0</v>
      </c>
      <c r="M81" s="78">
        <v>33916</v>
      </c>
      <c r="N81" s="78">
        <v>0</v>
      </c>
      <c r="O81" s="63"/>
    </row>
    <row r="82" spans="1:15" ht="12.75" x14ac:dyDescent="0.2">
      <c r="A82" s="117">
        <v>72</v>
      </c>
      <c r="B82" s="121" t="s">
        <v>102</v>
      </c>
      <c r="C82" s="122" t="s">
        <v>405</v>
      </c>
      <c r="D82" s="78">
        <f t="shared" si="9"/>
        <v>20471</v>
      </c>
      <c r="E82" s="78">
        <f t="shared" ref="E82:E156" si="10">F82+G82</f>
        <v>0</v>
      </c>
      <c r="F82" s="78">
        <v>0</v>
      </c>
      <c r="G82" s="78">
        <v>0</v>
      </c>
      <c r="H82" s="78">
        <f t="shared" ref="H82:H158" si="11">I82+J82+M82+N82+K82+L82</f>
        <v>20471</v>
      </c>
      <c r="I82" s="78">
        <v>1696</v>
      </c>
      <c r="J82" s="78">
        <v>0</v>
      </c>
      <c r="K82" s="78">
        <v>0</v>
      </c>
      <c r="L82" s="78">
        <v>0</v>
      </c>
      <c r="M82" s="78">
        <v>18775</v>
      </c>
      <c r="N82" s="78">
        <v>0</v>
      </c>
      <c r="O82" s="63"/>
    </row>
    <row r="83" spans="1:15" ht="12.75" x14ac:dyDescent="0.2">
      <c r="A83" s="117">
        <v>73</v>
      </c>
      <c r="B83" s="120" t="s">
        <v>103</v>
      </c>
      <c r="C83" s="122" t="s">
        <v>406</v>
      </c>
      <c r="D83" s="78">
        <f t="shared" ref="D83:D158" si="12">E83+H83</f>
        <v>50000</v>
      </c>
      <c r="E83" s="78">
        <f t="shared" si="10"/>
        <v>0</v>
      </c>
      <c r="F83" s="78">
        <v>0</v>
      </c>
      <c r="G83" s="78">
        <v>0</v>
      </c>
      <c r="H83" s="78">
        <f t="shared" si="11"/>
        <v>50000</v>
      </c>
      <c r="I83" s="78">
        <v>9529</v>
      </c>
      <c r="J83" s="78">
        <v>0</v>
      </c>
      <c r="K83" s="78">
        <v>0</v>
      </c>
      <c r="L83" s="78">
        <v>0</v>
      </c>
      <c r="M83" s="78">
        <v>40471</v>
      </c>
      <c r="N83" s="78">
        <v>0</v>
      </c>
      <c r="O83" s="63"/>
    </row>
    <row r="84" spans="1:15" ht="12.75" x14ac:dyDescent="0.2">
      <c r="A84" s="117">
        <v>74</v>
      </c>
      <c r="B84" s="121" t="s">
        <v>104</v>
      </c>
      <c r="C84" s="122" t="s">
        <v>407</v>
      </c>
      <c r="D84" s="78">
        <f t="shared" si="12"/>
        <v>24000</v>
      </c>
      <c r="E84" s="78">
        <f t="shared" si="10"/>
        <v>0</v>
      </c>
      <c r="F84" s="78">
        <v>0</v>
      </c>
      <c r="G84" s="78">
        <v>0</v>
      </c>
      <c r="H84" s="78">
        <f t="shared" si="11"/>
        <v>24000</v>
      </c>
      <c r="I84" s="78">
        <v>4126</v>
      </c>
      <c r="J84" s="78">
        <v>0</v>
      </c>
      <c r="K84" s="78">
        <v>0</v>
      </c>
      <c r="L84" s="78">
        <v>0</v>
      </c>
      <c r="M84" s="78">
        <v>19874</v>
      </c>
      <c r="N84" s="78">
        <v>0</v>
      </c>
      <c r="O84" s="63"/>
    </row>
    <row r="85" spans="1:15" ht="12.75" x14ac:dyDescent="0.2">
      <c r="A85" s="117">
        <v>75</v>
      </c>
      <c r="B85" s="121" t="s">
        <v>105</v>
      </c>
      <c r="C85" s="122" t="s">
        <v>408</v>
      </c>
      <c r="D85" s="78">
        <f t="shared" si="12"/>
        <v>18777</v>
      </c>
      <c r="E85" s="78">
        <f t="shared" si="10"/>
        <v>0</v>
      </c>
      <c r="F85" s="78">
        <v>0</v>
      </c>
      <c r="G85" s="78">
        <v>0</v>
      </c>
      <c r="H85" s="78">
        <f t="shared" si="11"/>
        <v>18777</v>
      </c>
      <c r="I85" s="78">
        <v>3400</v>
      </c>
      <c r="J85" s="78">
        <v>0</v>
      </c>
      <c r="K85" s="78">
        <v>0</v>
      </c>
      <c r="L85" s="78">
        <v>0</v>
      </c>
      <c r="M85" s="78">
        <v>15377</v>
      </c>
      <c r="N85" s="78">
        <v>0</v>
      </c>
      <c r="O85" s="63"/>
    </row>
    <row r="86" spans="1:15" ht="25.5" x14ac:dyDescent="0.2">
      <c r="A86" s="117">
        <v>76</v>
      </c>
      <c r="B86" s="129" t="s">
        <v>179</v>
      </c>
      <c r="C86" s="128" t="s">
        <v>409</v>
      </c>
      <c r="D86" s="78">
        <f t="shared" si="12"/>
        <v>0</v>
      </c>
      <c r="E86" s="78">
        <f t="shared" si="10"/>
        <v>0</v>
      </c>
      <c r="F86" s="78">
        <v>0</v>
      </c>
      <c r="G86" s="78">
        <v>0</v>
      </c>
      <c r="H86" s="78">
        <f t="shared" si="11"/>
        <v>0</v>
      </c>
      <c r="I86" s="78">
        <v>0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63"/>
    </row>
    <row r="87" spans="1:15" ht="25.5" x14ac:dyDescent="0.2">
      <c r="A87" s="117">
        <v>77</v>
      </c>
      <c r="B87" s="118" t="s">
        <v>180</v>
      </c>
      <c r="C87" s="122" t="s">
        <v>410</v>
      </c>
      <c r="D87" s="78">
        <f t="shared" si="12"/>
        <v>0</v>
      </c>
      <c r="E87" s="78">
        <f t="shared" si="10"/>
        <v>0</v>
      </c>
      <c r="F87" s="78">
        <v>0</v>
      </c>
      <c r="G87" s="78">
        <v>0</v>
      </c>
      <c r="H87" s="78">
        <f t="shared" si="11"/>
        <v>0</v>
      </c>
      <c r="I87" s="78">
        <v>0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63"/>
    </row>
    <row r="88" spans="1:15" ht="25.5" x14ac:dyDescent="0.2">
      <c r="A88" s="117">
        <v>78</v>
      </c>
      <c r="B88" s="120" t="s">
        <v>181</v>
      </c>
      <c r="C88" s="122" t="s">
        <v>411</v>
      </c>
      <c r="D88" s="78">
        <f t="shared" si="12"/>
        <v>0</v>
      </c>
      <c r="E88" s="78">
        <f t="shared" si="10"/>
        <v>0</v>
      </c>
      <c r="F88" s="78">
        <v>0</v>
      </c>
      <c r="G88" s="78">
        <v>0</v>
      </c>
      <c r="H88" s="78">
        <f t="shared" si="11"/>
        <v>0</v>
      </c>
      <c r="I88" s="78">
        <v>0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63"/>
    </row>
    <row r="89" spans="1:15" ht="25.5" x14ac:dyDescent="0.2">
      <c r="A89" s="117">
        <v>79</v>
      </c>
      <c r="B89" s="120" t="s">
        <v>182</v>
      </c>
      <c r="C89" s="122" t="s">
        <v>412</v>
      </c>
      <c r="D89" s="78">
        <f t="shared" si="12"/>
        <v>0</v>
      </c>
      <c r="E89" s="78">
        <f t="shared" si="10"/>
        <v>0</v>
      </c>
      <c r="F89" s="78">
        <v>0</v>
      </c>
      <c r="G89" s="78">
        <v>0</v>
      </c>
      <c r="H89" s="78">
        <f t="shared" si="11"/>
        <v>0</v>
      </c>
      <c r="I89" s="78">
        <v>0</v>
      </c>
      <c r="J89" s="78">
        <v>0</v>
      </c>
      <c r="K89" s="78">
        <v>0</v>
      </c>
      <c r="L89" s="78">
        <v>0</v>
      </c>
      <c r="M89" s="78">
        <v>0</v>
      </c>
      <c r="N89" s="78">
        <v>0</v>
      </c>
      <c r="O89" s="63"/>
    </row>
    <row r="90" spans="1:15" ht="25.5" x14ac:dyDescent="0.2">
      <c r="A90" s="117">
        <v>80</v>
      </c>
      <c r="B90" s="118" t="s">
        <v>183</v>
      </c>
      <c r="C90" s="122" t="s">
        <v>413</v>
      </c>
      <c r="D90" s="78">
        <f t="shared" si="12"/>
        <v>0</v>
      </c>
      <c r="E90" s="78">
        <f t="shared" si="10"/>
        <v>0</v>
      </c>
      <c r="F90" s="78">
        <v>0</v>
      </c>
      <c r="G90" s="78">
        <v>0</v>
      </c>
      <c r="H90" s="78">
        <f t="shared" si="11"/>
        <v>0</v>
      </c>
      <c r="I90" s="78">
        <v>0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63"/>
    </row>
    <row r="91" spans="1:15" ht="25.5" x14ac:dyDescent="0.2">
      <c r="A91" s="117">
        <v>81</v>
      </c>
      <c r="B91" s="118" t="s">
        <v>184</v>
      </c>
      <c r="C91" s="122" t="s">
        <v>414</v>
      </c>
      <c r="D91" s="78">
        <f t="shared" si="12"/>
        <v>0</v>
      </c>
      <c r="E91" s="78">
        <f t="shared" si="10"/>
        <v>0</v>
      </c>
      <c r="F91" s="78">
        <v>0</v>
      </c>
      <c r="G91" s="78">
        <v>0</v>
      </c>
      <c r="H91" s="78">
        <f t="shared" si="11"/>
        <v>0</v>
      </c>
      <c r="I91" s="78">
        <v>0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O91" s="63"/>
    </row>
    <row r="92" spans="1:15" ht="25.5" x14ac:dyDescent="0.2">
      <c r="A92" s="117">
        <v>82</v>
      </c>
      <c r="B92" s="118" t="s">
        <v>185</v>
      </c>
      <c r="C92" s="122" t="s">
        <v>415</v>
      </c>
      <c r="D92" s="78">
        <f t="shared" si="12"/>
        <v>0</v>
      </c>
      <c r="E92" s="78">
        <f t="shared" si="10"/>
        <v>0</v>
      </c>
      <c r="F92" s="78">
        <v>0</v>
      </c>
      <c r="G92" s="78">
        <v>0</v>
      </c>
      <c r="H92" s="78">
        <f t="shared" si="11"/>
        <v>0</v>
      </c>
      <c r="I92" s="78">
        <v>0</v>
      </c>
      <c r="J92" s="78">
        <v>0</v>
      </c>
      <c r="K92" s="78">
        <v>0</v>
      </c>
      <c r="L92" s="78">
        <v>0</v>
      </c>
      <c r="M92" s="78">
        <v>0</v>
      </c>
      <c r="N92" s="78">
        <v>0</v>
      </c>
      <c r="O92" s="63"/>
    </row>
    <row r="93" spans="1:15" ht="25.5" x14ac:dyDescent="0.2">
      <c r="A93" s="117">
        <v>83</v>
      </c>
      <c r="B93" s="121" t="s">
        <v>106</v>
      </c>
      <c r="C93" s="122" t="s">
        <v>107</v>
      </c>
      <c r="D93" s="78">
        <f t="shared" si="12"/>
        <v>31985</v>
      </c>
      <c r="E93" s="78">
        <f t="shared" si="10"/>
        <v>0</v>
      </c>
      <c r="F93" s="78">
        <v>0</v>
      </c>
      <c r="G93" s="78">
        <v>0</v>
      </c>
      <c r="H93" s="78">
        <f t="shared" si="11"/>
        <v>31985</v>
      </c>
      <c r="I93" s="78">
        <v>3039</v>
      </c>
      <c r="J93" s="78">
        <v>72</v>
      </c>
      <c r="K93" s="78">
        <v>0</v>
      </c>
      <c r="L93" s="78">
        <v>0</v>
      </c>
      <c r="M93" s="78">
        <v>17303</v>
      </c>
      <c r="N93" s="78">
        <v>11571</v>
      </c>
      <c r="O93" s="63"/>
    </row>
    <row r="94" spans="1:15" ht="12.75" x14ac:dyDescent="0.2">
      <c r="A94" s="117">
        <v>84</v>
      </c>
      <c r="B94" s="118" t="s">
        <v>108</v>
      </c>
      <c r="C94" s="122" t="s">
        <v>416</v>
      </c>
      <c r="D94" s="78">
        <f t="shared" si="12"/>
        <v>33701</v>
      </c>
      <c r="E94" s="78">
        <f t="shared" si="10"/>
        <v>0</v>
      </c>
      <c r="F94" s="78">
        <v>0</v>
      </c>
      <c r="G94" s="78">
        <v>0</v>
      </c>
      <c r="H94" s="78">
        <f t="shared" si="11"/>
        <v>33701</v>
      </c>
      <c r="I94" s="78">
        <v>9279</v>
      </c>
      <c r="J94" s="78">
        <v>0</v>
      </c>
      <c r="K94" s="78">
        <v>0</v>
      </c>
      <c r="L94" s="78">
        <v>0</v>
      </c>
      <c r="M94" s="78">
        <v>24422</v>
      </c>
      <c r="N94" s="78">
        <v>0</v>
      </c>
      <c r="O94" s="63"/>
    </row>
    <row r="95" spans="1:15" ht="12.75" x14ac:dyDescent="0.2">
      <c r="A95" s="117">
        <v>85</v>
      </c>
      <c r="B95" s="121" t="s">
        <v>109</v>
      </c>
      <c r="C95" s="122" t="s">
        <v>417</v>
      </c>
      <c r="D95" s="78">
        <f t="shared" si="12"/>
        <v>22909</v>
      </c>
      <c r="E95" s="78">
        <f t="shared" si="10"/>
        <v>0</v>
      </c>
      <c r="F95" s="78">
        <v>0</v>
      </c>
      <c r="G95" s="78">
        <v>0</v>
      </c>
      <c r="H95" s="78">
        <f t="shared" si="11"/>
        <v>22909</v>
      </c>
      <c r="I95" s="78">
        <v>3700</v>
      </c>
      <c r="J95" s="78">
        <v>0</v>
      </c>
      <c r="K95" s="78">
        <v>0</v>
      </c>
      <c r="L95" s="78">
        <v>0</v>
      </c>
      <c r="M95" s="78">
        <v>19209</v>
      </c>
      <c r="N95" s="78">
        <v>0</v>
      </c>
      <c r="O95" s="63"/>
    </row>
    <row r="96" spans="1:15" ht="12.75" x14ac:dyDescent="0.2">
      <c r="A96" s="117">
        <v>86</v>
      </c>
      <c r="B96" s="123" t="s">
        <v>110</v>
      </c>
      <c r="C96" s="124" t="s">
        <v>418</v>
      </c>
      <c r="D96" s="78">
        <f t="shared" si="12"/>
        <v>13767</v>
      </c>
      <c r="E96" s="78">
        <f t="shared" si="10"/>
        <v>0</v>
      </c>
      <c r="F96" s="78">
        <v>0</v>
      </c>
      <c r="G96" s="78">
        <v>0</v>
      </c>
      <c r="H96" s="78">
        <f t="shared" si="11"/>
        <v>13767</v>
      </c>
      <c r="I96" s="78">
        <v>1570</v>
      </c>
      <c r="J96" s="78">
        <v>0</v>
      </c>
      <c r="K96" s="78">
        <v>80</v>
      </c>
      <c r="L96" s="78">
        <v>0</v>
      </c>
      <c r="M96" s="78">
        <v>12117</v>
      </c>
      <c r="N96" s="78">
        <v>0</v>
      </c>
      <c r="O96" s="63"/>
    </row>
    <row r="97" spans="1:15" ht="12.75" x14ac:dyDescent="0.2">
      <c r="A97" s="117">
        <v>87</v>
      </c>
      <c r="B97" s="118" t="s">
        <v>111</v>
      </c>
      <c r="C97" s="122" t="s">
        <v>419</v>
      </c>
      <c r="D97" s="78">
        <f t="shared" si="12"/>
        <v>9112</v>
      </c>
      <c r="E97" s="78">
        <f t="shared" si="10"/>
        <v>0</v>
      </c>
      <c r="F97" s="78">
        <v>0</v>
      </c>
      <c r="G97" s="78">
        <v>0</v>
      </c>
      <c r="H97" s="78">
        <f t="shared" si="11"/>
        <v>9112</v>
      </c>
      <c r="I97" s="78">
        <v>291</v>
      </c>
      <c r="J97" s="78">
        <v>0</v>
      </c>
      <c r="K97" s="78">
        <v>0</v>
      </c>
      <c r="L97" s="78">
        <v>0</v>
      </c>
      <c r="M97" s="78">
        <v>8821</v>
      </c>
      <c r="N97" s="78">
        <v>0</v>
      </c>
      <c r="O97" s="63"/>
    </row>
    <row r="98" spans="1:15" ht="12.75" x14ac:dyDescent="0.2">
      <c r="A98" s="117">
        <v>88</v>
      </c>
      <c r="B98" s="118" t="s">
        <v>112</v>
      </c>
      <c r="C98" s="122" t="s">
        <v>420</v>
      </c>
      <c r="D98" s="78">
        <f t="shared" si="12"/>
        <v>82121</v>
      </c>
      <c r="E98" s="78">
        <f t="shared" si="10"/>
        <v>0</v>
      </c>
      <c r="F98" s="78">
        <v>0</v>
      </c>
      <c r="G98" s="78">
        <v>0</v>
      </c>
      <c r="H98" s="78">
        <f t="shared" si="11"/>
        <v>82121</v>
      </c>
      <c r="I98" s="78">
        <v>25833</v>
      </c>
      <c r="J98" s="78">
        <v>0</v>
      </c>
      <c r="K98" s="78">
        <v>400</v>
      </c>
      <c r="L98" s="78">
        <v>0</v>
      </c>
      <c r="M98" s="78">
        <v>55888</v>
      </c>
      <c r="N98" s="78">
        <v>0</v>
      </c>
      <c r="O98" s="63"/>
    </row>
    <row r="99" spans="1:15" ht="12.75" x14ac:dyDescent="0.2">
      <c r="A99" s="117">
        <v>89</v>
      </c>
      <c r="B99" s="123" t="s">
        <v>113</v>
      </c>
      <c r="C99" s="124" t="s">
        <v>421</v>
      </c>
      <c r="D99" s="78">
        <f t="shared" si="12"/>
        <v>26866</v>
      </c>
      <c r="E99" s="78">
        <f t="shared" si="10"/>
        <v>0</v>
      </c>
      <c r="F99" s="78">
        <v>0</v>
      </c>
      <c r="G99" s="78">
        <v>0</v>
      </c>
      <c r="H99" s="78">
        <f t="shared" si="11"/>
        <v>26866</v>
      </c>
      <c r="I99" s="78">
        <v>0</v>
      </c>
      <c r="J99" s="78">
        <v>1455</v>
      </c>
      <c r="K99" s="78">
        <v>0</v>
      </c>
      <c r="L99" s="78">
        <v>0</v>
      </c>
      <c r="M99" s="78">
        <v>0</v>
      </c>
      <c r="N99" s="78">
        <v>25411</v>
      </c>
      <c r="O99" s="63"/>
    </row>
    <row r="100" spans="1:15" ht="12.75" x14ac:dyDescent="0.2">
      <c r="A100" s="117">
        <v>90</v>
      </c>
      <c r="B100" s="118" t="s">
        <v>9</v>
      </c>
      <c r="C100" s="122" t="s">
        <v>422</v>
      </c>
      <c r="D100" s="78">
        <f t="shared" si="12"/>
        <v>30215</v>
      </c>
      <c r="E100" s="78">
        <f t="shared" si="10"/>
        <v>0</v>
      </c>
      <c r="F100" s="78">
        <v>0</v>
      </c>
      <c r="G100" s="78">
        <v>0</v>
      </c>
      <c r="H100" s="78">
        <f t="shared" si="11"/>
        <v>30215</v>
      </c>
      <c r="I100" s="78">
        <v>5498</v>
      </c>
      <c r="J100" s="78">
        <v>0</v>
      </c>
      <c r="K100" s="78">
        <v>322</v>
      </c>
      <c r="L100" s="78">
        <v>0</v>
      </c>
      <c r="M100" s="78">
        <v>24395</v>
      </c>
      <c r="N100" s="78">
        <v>0</v>
      </c>
      <c r="O100" s="63"/>
    </row>
    <row r="101" spans="1:15" ht="12.75" x14ac:dyDescent="0.2">
      <c r="A101" s="117">
        <v>91</v>
      </c>
      <c r="B101" s="123" t="s">
        <v>114</v>
      </c>
      <c r="C101" s="124" t="s">
        <v>423</v>
      </c>
      <c r="D101" s="78">
        <f t="shared" si="12"/>
        <v>13210</v>
      </c>
      <c r="E101" s="78">
        <f t="shared" si="10"/>
        <v>13210</v>
      </c>
      <c r="F101" s="78">
        <v>13210</v>
      </c>
      <c r="G101" s="78">
        <v>0</v>
      </c>
      <c r="H101" s="78">
        <f t="shared" si="11"/>
        <v>0</v>
      </c>
      <c r="I101" s="78">
        <v>0</v>
      </c>
      <c r="J101" s="78">
        <v>0</v>
      </c>
      <c r="K101" s="78">
        <v>0</v>
      </c>
      <c r="L101" s="78">
        <v>0</v>
      </c>
      <c r="M101" s="78">
        <v>0</v>
      </c>
      <c r="N101" s="78">
        <v>0</v>
      </c>
      <c r="O101" s="63"/>
    </row>
    <row r="102" spans="1:15" x14ac:dyDescent="0.2">
      <c r="A102" s="117">
        <v>92</v>
      </c>
      <c r="B102" s="94" t="s">
        <v>324</v>
      </c>
      <c r="C102" s="86" t="s">
        <v>424</v>
      </c>
      <c r="D102" s="78">
        <f t="shared" si="12"/>
        <v>0</v>
      </c>
      <c r="E102" s="78">
        <v>0</v>
      </c>
      <c r="F102" s="78">
        <v>0</v>
      </c>
      <c r="G102" s="78">
        <v>0</v>
      </c>
      <c r="H102" s="78">
        <f t="shared" si="11"/>
        <v>0</v>
      </c>
      <c r="I102" s="78">
        <v>0</v>
      </c>
      <c r="J102" s="78">
        <v>0</v>
      </c>
      <c r="K102" s="78">
        <v>0</v>
      </c>
      <c r="L102" s="78">
        <v>0</v>
      </c>
      <c r="M102" s="78">
        <v>0</v>
      </c>
      <c r="N102" s="78">
        <v>0</v>
      </c>
      <c r="O102" s="63"/>
    </row>
    <row r="103" spans="1:15" ht="21" customHeight="1" x14ac:dyDescent="0.2">
      <c r="A103" s="117">
        <v>93</v>
      </c>
      <c r="B103" s="121" t="s">
        <v>115</v>
      </c>
      <c r="C103" s="122" t="s">
        <v>116</v>
      </c>
      <c r="D103" s="78">
        <f t="shared" si="12"/>
        <v>500</v>
      </c>
      <c r="E103" s="78">
        <f t="shared" si="10"/>
        <v>0</v>
      </c>
      <c r="F103" s="78">
        <v>0</v>
      </c>
      <c r="G103" s="78">
        <v>0</v>
      </c>
      <c r="H103" s="78">
        <f t="shared" si="11"/>
        <v>500</v>
      </c>
      <c r="I103" s="78">
        <v>0</v>
      </c>
      <c r="J103" s="78">
        <v>0</v>
      </c>
      <c r="K103" s="78">
        <v>0</v>
      </c>
      <c r="L103" s="78">
        <v>0</v>
      </c>
      <c r="M103" s="78">
        <v>500</v>
      </c>
      <c r="N103" s="78">
        <v>0</v>
      </c>
      <c r="O103" s="63"/>
    </row>
    <row r="104" spans="1:15" ht="25.5" x14ac:dyDescent="0.2">
      <c r="A104" s="117">
        <v>94</v>
      </c>
      <c r="B104" s="120" t="s">
        <v>186</v>
      </c>
      <c r="C104" s="119" t="s">
        <v>425</v>
      </c>
      <c r="D104" s="78">
        <f t="shared" si="12"/>
        <v>0</v>
      </c>
      <c r="E104" s="78">
        <f t="shared" si="10"/>
        <v>0</v>
      </c>
      <c r="F104" s="78">
        <v>0</v>
      </c>
      <c r="G104" s="78">
        <v>0</v>
      </c>
      <c r="H104" s="78">
        <f t="shared" si="11"/>
        <v>0</v>
      </c>
      <c r="I104" s="78">
        <v>0</v>
      </c>
      <c r="J104" s="78">
        <v>0</v>
      </c>
      <c r="K104" s="78">
        <v>0</v>
      </c>
      <c r="L104" s="78">
        <v>0</v>
      </c>
      <c r="M104" s="78">
        <v>0</v>
      </c>
      <c r="N104" s="78">
        <v>0</v>
      </c>
      <c r="O104" s="63"/>
    </row>
    <row r="105" spans="1:15" ht="12.75" x14ac:dyDescent="0.2">
      <c r="A105" s="117">
        <v>95</v>
      </c>
      <c r="B105" s="120" t="s">
        <v>117</v>
      </c>
      <c r="C105" s="124" t="s">
        <v>426</v>
      </c>
      <c r="D105" s="78">
        <f t="shared" si="12"/>
        <v>3857</v>
      </c>
      <c r="E105" s="78">
        <f t="shared" si="10"/>
        <v>0</v>
      </c>
      <c r="F105" s="78">
        <v>0</v>
      </c>
      <c r="G105" s="78">
        <v>0</v>
      </c>
      <c r="H105" s="78">
        <f t="shared" si="11"/>
        <v>3857</v>
      </c>
      <c r="I105" s="78">
        <v>0</v>
      </c>
      <c r="J105" s="78">
        <v>0</v>
      </c>
      <c r="K105" s="78">
        <v>0</v>
      </c>
      <c r="L105" s="78">
        <v>0</v>
      </c>
      <c r="M105" s="78">
        <v>3857</v>
      </c>
      <c r="N105" s="78">
        <v>0</v>
      </c>
      <c r="O105" s="63"/>
    </row>
    <row r="106" spans="1:15" ht="12.75" x14ac:dyDescent="0.2">
      <c r="A106" s="117">
        <v>96</v>
      </c>
      <c r="B106" s="121" t="s">
        <v>118</v>
      </c>
      <c r="C106" s="122" t="s">
        <v>427</v>
      </c>
      <c r="D106" s="78">
        <f t="shared" si="12"/>
        <v>8058</v>
      </c>
      <c r="E106" s="78">
        <f t="shared" si="10"/>
        <v>0</v>
      </c>
      <c r="F106" s="78">
        <v>0</v>
      </c>
      <c r="G106" s="78">
        <v>0</v>
      </c>
      <c r="H106" s="78">
        <f t="shared" si="11"/>
        <v>8058</v>
      </c>
      <c r="I106" s="78">
        <v>674</v>
      </c>
      <c r="J106" s="78">
        <v>0</v>
      </c>
      <c r="K106" s="78">
        <v>0</v>
      </c>
      <c r="L106" s="78">
        <v>0</v>
      </c>
      <c r="M106" s="78">
        <v>7384</v>
      </c>
      <c r="N106" s="78">
        <v>0</v>
      </c>
      <c r="O106" s="63"/>
    </row>
    <row r="107" spans="1:15" ht="12.75" x14ac:dyDescent="0.2">
      <c r="A107" s="117">
        <v>97</v>
      </c>
      <c r="B107" s="120" t="s">
        <v>119</v>
      </c>
      <c r="C107" s="130" t="s">
        <v>120</v>
      </c>
      <c r="D107" s="78">
        <f t="shared" si="12"/>
        <v>4658</v>
      </c>
      <c r="E107" s="78">
        <f t="shared" si="10"/>
        <v>0</v>
      </c>
      <c r="F107" s="78">
        <v>0</v>
      </c>
      <c r="G107" s="78">
        <v>0</v>
      </c>
      <c r="H107" s="78">
        <f t="shared" si="11"/>
        <v>4658</v>
      </c>
      <c r="I107" s="78">
        <v>1150</v>
      </c>
      <c r="J107" s="78">
        <v>250</v>
      </c>
      <c r="K107" s="78">
        <v>300</v>
      </c>
      <c r="L107" s="78">
        <v>100</v>
      </c>
      <c r="M107" s="78">
        <v>2630</v>
      </c>
      <c r="N107" s="78">
        <v>228</v>
      </c>
      <c r="O107" s="63"/>
    </row>
    <row r="108" spans="1:15" ht="12.75" x14ac:dyDescent="0.2">
      <c r="A108" s="117">
        <v>98</v>
      </c>
      <c r="B108" s="121" t="s">
        <v>121</v>
      </c>
      <c r="C108" s="122" t="s">
        <v>122</v>
      </c>
      <c r="D108" s="78">
        <f t="shared" si="12"/>
        <v>5000</v>
      </c>
      <c r="E108" s="78">
        <f t="shared" si="10"/>
        <v>0</v>
      </c>
      <c r="F108" s="78">
        <v>0</v>
      </c>
      <c r="G108" s="78">
        <v>0</v>
      </c>
      <c r="H108" s="78">
        <f t="shared" si="11"/>
        <v>5000</v>
      </c>
      <c r="I108" s="78">
        <v>490</v>
      </c>
      <c r="J108" s="78">
        <v>0</v>
      </c>
      <c r="K108" s="78">
        <v>0</v>
      </c>
      <c r="L108" s="78">
        <v>0</v>
      </c>
      <c r="M108" s="78">
        <v>3382</v>
      </c>
      <c r="N108" s="78">
        <v>1128</v>
      </c>
      <c r="O108" s="63"/>
    </row>
    <row r="109" spans="1:15" ht="12.75" x14ac:dyDescent="0.2">
      <c r="A109" s="117">
        <v>99</v>
      </c>
      <c r="B109" s="121" t="s">
        <v>123</v>
      </c>
      <c r="C109" s="122" t="s">
        <v>124</v>
      </c>
      <c r="D109" s="78">
        <f t="shared" si="12"/>
        <v>14500</v>
      </c>
      <c r="E109" s="78">
        <f t="shared" si="10"/>
        <v>0</v>
      </c>
      <c r="F109" s="78">
        <v>0</v>
      </c>
      <c r="G109" s="78">
        <v>0</v>
      </c>
      <c r="H109" s="78">
        <f t="shared" si="11"/>
        <v>14500</v>
      </c>
      <c r="I109" s="78">
        <v>2054</v>
      </c>
      <c r="J109" s="78">
        <v>469</v>
      </c>
      <c r="K109" s="78">
        <v>0</v>
      </c>
      <c r="L109" s="78">
        <v>0</v>
      </c>
      <c r="M109" s="78">
        <v>8891</v>
      </c>
      <c r="N109" s="78">
        <v>3086</v>
      </c>
      <c r="O109" s="63"/>
    </row>
    <row r="110" spans="1:15" ht="12.75" x14ac:dyDescent="0.2">
      <c r="A110" s="117">
        <v>100</v>
      </c>
      <c r="B110" s="120" t="s">
        <v>125</v>
      </c>
      <c r="C110" s="124" t="s">
        <v>126</v>
      </c>
      <c r="D110" s="78">
        <f t="shared" si="12"/>
        <v>10000</v>
      </c>
      <c r="E110" s="78">
        <f t="shared" si="10"/>
        <v>0</v>
      </c>
      <c r="F110" s="78">
        <v>0</v>
      </c>
      <c r="G110" s="78">
        <v>0</v>
      </c>
      <c r="H110" s="78">
        <f t="shared" si="11"/>
        <v>10000</v>
      </c>
      <c r="I110" s="78">
        <v>1150</v>
      </c>
      <c r="J110" s="78">
        <v>100</v>
      </c>
      <c r="K110" s="78">
        <v>0</v>
      </c>
      <c r="L110" s="78">
        <v>0</v>
      </c>
      <c r="M110" s="78">
        <v>6680</v>
      </c>
      <c r="N110" s="78">
        <v>2070</v>
      </c>
      <c r="O110" s="63"/>
    </row>
    <row r="111" spans="1:15" ht="12.75" x14ac:dyDescent="0.2">
      <c r="A111" s="117">
        <v>101</v>
      </c>
      <c r="B111" s="120" t="s">
        <v>127</v>
      </c>
      <c r="C111" s="119" t="s">
        <v>128</v>
      </c>
      <c r="D111" s="78">
        <f t="shared" si="12"/>
        <v>17607</v>
      </c>
      <c r="E111" s="78">
        <f t="shared" si="10"/>
        <v>0</v>
      </c>
      <c r="F111" s="78">
        <v>0</v>
      </c>
      <c r="G111" s="78">
        <v>0</v>
      </c>
      <c r="H111" s="78">
        <f t="shared" si="11"/>
        <v>17607</v>
      </c>
      <c r="I111" s="78">
        <v>4631</v>
      </c>
      <c r="J111" s="78">
        <v>34</v>
      </c>
      <c r="K111" s="78">
        <v>0</v>
      </c>
      <c r="L111" s="78">
        <v>0</v>
      </c>
      <c r="M111" s="78">
        <v>11251</v>
      </c>
      <c r="N111" s="78">
        <v>1691</v>
      </c>
      <c r="O111" s="63"/>
    </row>
    <row r="112" spans="1:15" ht="12.75" x14ac:dyDescent="0.2">
      <c r="A112" s="117">
        <v>102</v>
      </c>
      <c r="B112" s="118" t="s">
        <v>129</v>
      </c>
      <c r="C112" s="119" t="s">
        <v>130</v>
      </c>
      <c r="D112" s="78">
        <f t="shared" si="12"/>
        <v>33616</v>
      </c>
      <c r="E112" s="78">
        <f t="shared" si="10"/>
        <v>0</v>
      </c>
      <c r="F112" s="78">
        <v>0</v>
      </c>
      <c r="G112" s="78">
        <v>0</v>
      </c>
      <c r="H112" s="78">
        <f t="shared" si="11"/>
        <v>33616</v>
      </c>
      <c r="I112" s="78">
        <v>1800</v>
      </c>
      <c r="J112" s="78">
        <v>300</v>
      </c>
      <c r="K112" s="78">
        <v>0</v>
      </c>
      <c r="L112" s="78">
        <v>0</v>
      </c>
      <c r="M112" s="78">
        <v>20866</v>
      </c>
      <c r="N112" s="78">
        <v>10650</v>
      </c>
      <c r="O112" s="63"/>
    </row>
    <row r="113" spans="1:15" ht="12.75" x14ac:dyDescent="0.2">
      <c r="A113" s="117">
        <v>103</v>
      </c>
      <c r="B113" s="118" t="s">
        <v>131</v>
      </c>
      <c r="C113" s="119" t="s">
        <v>132</v>
      </c>
      <c r="D113" s="78">
        <f t="shared" si="12"/>
        <v>19643</v>
      </c>
      <c r="E113" s="78">
        <f t="shared" si="10"/>
        <v>0</v>
      </c>
      <c r="F113" s="78">
        <v>0</v>
      </c>
      <c r="G113" s="78">
        <v>0</v>
      </c>
      <c r="H113" s="78">
        <f t="shared" si="11"/>
        <v>19643</v>
      </c>
      <c r="I113" s="78">
        <v>2382</v>
      </c>
      <c r="J113" s="78">
        <v>360</v>
      </c>
      <c r="K113" s="78">
        <v>0</v>
      </c>
      <c r="L113" s="78">
        <v>200</v>
      </c>
      <c r="M113" s="78">
        <v>13900</v>
      </c>
      <c r="N113" s="78">
        <v>2801</v>
      </c>
      <c r="O113" s="63"/>
    </row>
    <row r="114" spans="1:15" ht="12.75" x14ac:dyDescent="0.2">
      <c r="A114" s="117">
        <v>104</v>
      </c>
      <c r="B114" s="121" t="s">
        <v>133</v>
      </c>
      <c r="C114" s="122" t="s">
        <v>134</v>
      </c>
      <c r="D114" s="78">
        <f t="shared" si="12"/>
        <v>4984</v>
      </c>
      <c r="E114" s="78">
        <f t="shared" si="10"/>
        <v>0</v>
      </c>
      <c r="F114" s="78">
        <v>0</v>
      </c>
      <c r="G114" s="78">
        <v>0</v>
      </c>
      <c r="H114" s="78">
        <f t="shared" si="11"/>
        <v>4984</v>
      </c>
      <c r="I114" s="78">
        <v>0</v>
      </c>
      <c r="J114" s="78">
        <v>0</v>
      </c>
      <c r="K114" s="78">
        <v>0</v>
      </c>
      <c r="L114" s="78">
        <v>0</v>
      </c>
      <c r="M114" s="78">
        <v>3884</v>
      </c>
      <c r="N114" s="78">
        <v>1100</v>
      </c>
      <c r="O114" s="63"/>
    </row>
    <row r="115" spans="1:15" ht="12.75" x14ac:dyDescent="0.2">
      <c r="A115" s="117">
        <v>105</v>
      </c>
      <c r="B115" s="123" t="s">
        <v>135</v>
      </c>
      <c r="C115" s="124" t="s">
        <v>136</v>
      </c>
      <c r="D115" s="78">
        <f t="shared" si="12"/>
        <v>14285</v>
      </c>
      <c r="E115" s="78">
        <f t="shared" si="10"/>
        <v>0</v>
      </c>
      <c r="F115" s="78">
        <v>0</v>
      </c>
      <c r="G115" s="78">
        <v>0</v>
      </c>
      <c r="H115" s="78">
        <f t="shared" si="11"/>
        <v>14285</v>
      </c>
      <c r="I115" s="78">
        <v>1923</v>
      </c>
      <c r="J115" s="78">
        <v>151</v>
      </c>
      <c r="K115" s="78">
        <v>266</v>
      </c>
      <c r="L115" s="78">
        <v>86</v>
      </c>
      <c r="M115" s="78">
        <v>8248</v>
      </c>
      <c r="N115" s="78">
        <v>3611</v>
      </c>
      <c r="O115" s="63"/>
    </row>
    <row r="116" spans="1:15" ht="12.75" x14ac:dyDescent="0.2">
      <c r="A116" s="117">
        <v>106</v>
      </c>
      <c r="B116" s="118" t="s">
        <v>137</v>
      </c>
      <c r="C116" s="119" t="s">
        <v>138</v>
      </c>
      <c r="D116" s="78">
        <f t="shared" si="12"/>
        <v>13948</v>
      </c>
      <c r="E116" s="78">
        <f t="shared" si="10"/>
        <v>0</v>
      </c>
      <c r="F116" s="78">
        <v>0</v>
      </c>
      <c r="G116" s="78">
        <v>0</v>
      </c>
      <c r="H116" s="78">
        <f t="shared" si="11"/>
        <v>13948</v>
      </c>
      <c r="I116" s="78">
        <v>884</v>
      </c>
      <c r="J116" s="78">
        <v>60</v>
      </c>
      <c r="K116" s="78">
        <v>12</v>
      </c>
      <c r="L116" s="78">
        <v>12</v>
      </c>
      <c r="M116" s="78">
        <v>10916</v>
      </c>
      <c r="N116" s="78">
        <v>2064</v>
      </c>
      <c r="O116" s="63"/>
    </row>
    <row r="117" spans="1:15" ht="12.75" x14ac:dyDescent="0.2">
      <c r="A117" s="117">
        <v>107</v>
      </c>
      <c r="B117" s="120" t="s">
        <v>139</v>
      </c>
      <c r="C117" s="119" t="s">
        <v>140</v>
      </c>
      <c r="D117" s="78">
        <f t="shared" si="12"/>
        <v>15360</v>
      </c>
      <c r="E117" s="78">
        <f t="shared" si="10"/>
        <v>0</v>
      </c>
      <c r="F117" s="78">
        <v>0</v>
      </c>
      <c r="G117" s="78">
        <v>0</v>
      </c>
      <c r="H117" s="78">
        <f t="shared" si="11"/>
        <v>15360</v>
      </c>
      <c r="I117" s="78">
        <v>1400</v>
      </c>
      <c r="J117" s="78">
        <v>130</v>
      </c>
      <c r="K117" s="78">
        <v>0</v>
      </c>
      <c r="L117" s="78">
        <v>500</v>
      </c>
      <c r="M117" s="78">
        <v>11277</v>
      </c>
      <c r="N117" s="78">
        <v>2053</v>
      </c>
      <c r="O117" s="63"/>
    </row>
    <row r="118" spans="1:15" ht="12.75" x14ac:dyDescent="0.2">
      <c r="A118" s="117">
        <v>108</v>
      </c>
      <c r="B118" s="121" t="s">
        <v>141</v>
      </c>
      <c r="C118" s="122" t="s">
        <v>142</v>
      </c>
      <c r="D118" s="78">
        <f t="shared" si="12"/>
        <v>10915</v>
      </c>
      <c r="E118" s="78">
        <f t="shared" si="10"/>
        <v>0</v>
      </c>
      <c r="F118" s="78">
        <v>0</v>
      </c>
      <c r="G118" s="78">
        <v>0</v>
      </c>
      <c r="H118" s="78">
        <f t="shared" si="11"/>
        <v>10915</v>
      </c>
      <c r="I118" s="78">
        <v>0</v>
      </c>
      <c r="J118" s="78">
        <v>0</v>
      </c>
      <c r="K118" s="78">
        <v>0</v>
      </c>
      <c r="L118" s="78">
        <v>0</v>
      </c>
      <c r="M118" s="78">
        <v>9865</v>
      </c>
      <c r="N118" s="78">
        <v>1050</v>
      </c>
      <c r="O118" s="63"/>
    </row>
    <row r="119" spans="1:15" ht="12.75" x14ac:dyDescent="0.2">
      <c r="A119" s="117">
        <v>109</v>
      </c>
      <c r="B119" s="121" t="s">
        <v>143</v>
      </c>
      <c r="C119" s="122" t="s">
        <v>144</v>
      </c>
      <c r="D119" s="78">
        <f t="shared" si="12"/>
        <v>26488</v>
      </c>
      <c r="E119" s="78">
        <f t="shared" si="10"/>
        <v>0</v>
      </c>
      <c r="F119" s="78">
        <v>0</v>
      </c>
      <c r="G119" s="78">
        <v>0</v>
      </c>
      <c r="H119" s="78">
        <f t="shared" si="11"/>
        <v>26488</v>
      </c>
      <c r="I119" s="78">
        <v>2470</v>
      </c>
      <c r="J119" s="78">
        <v>0</v>
      </c>
      <c r="K119" s="78">
        <v>960</v>
      </c>
      <c r="L119" s="78">
        <v>0</v>
      </c>
      <c r="M119" s="78">
        <v>19845</v>
      </c>
      <c r="N119" s="78">
        <v>3213</v>
      </c>
      <c r="O119" s="63"/>
    </row>
    <row r="120" spans="1:15" ht="12.75" x14ac:dyDescent="0.2">
      <c r="A120" s="117">
        <v>110</v>
      </c>
      <c r="B120" s="118" t="s">
        <v>145</v>
      </c>
      <c r="C120" s="119" t="s">
        <v>146</v>
      </c>
      <c r="D120" s="78">
        <f>E120+H120</f>
        <v>59000</v>
      </c>
      <c r="E120" s="78">
        <f t="shared" si="10"/>
        <v>0</v>
      </c>
      <c r="F120" s="78">
        <v>0</v>
      </c>
      <c r="G120" s="78">
        <v>0</v>
      </c>
      <c r="H120" s="78">
        <f t="shared" si="11"/>
        <v>59000</v>
      </c>
      <c r="I120" s="78">
        <v>3170</v>
      </c>
      <c r="J120" s="78">
        <v>0</v>
      </c>
      <c r="K120" s="78">
        <v>0</v>
      </c>
      <c r="L120" s="78">
        <v>0</v>
      </c>
      <c r="M120" s="78">
        <v>39640</v>
      </c>
      <c r="N120" s="78">
        <v>16190</v>
      </c>
      <c r="O120" s="63"/>
    </row>
    <row r="121" spans="1:15" ht="12.75" x14ac:dyDescent="0.2">
      <c r="A121" s="117">
        <v>111</v>
      </c>
      <c r="B121" s="120" t="s">
        <v>147</v>
      </c>
      <c r="C121" s="119" t="s">
        <v>428</v>
      </c>
      <c r="D121" s="78">
        <f t="shared" si="12"/>
        <v>12508</v>
      </c>
      <c r="E121" s="78">
        <f t="shared" si="10"/>
        <v>0</v>
      </c>
      <c r="F121" s="78">
        <v>0</v>
      </c>
      <c r="G121" s="78">
        <v>0</v>
      </c>
      <c r="H121" s="78">
        <f t="shared" si="11"/>
        <v>12508</v>
      </c>
      <c r="I121" s="78">
        <v>1118</v>
      </c>
      <c r="J121" s="78">
        <v>30</v>
      </c>
      <c r="K121" s="78">
        <v>150</v>
      </c>
      <c r="L121" s="78">
        <v>0</v>
      </c>
      <c r="M121" s="78">
        <v>8473</v>
      </c>
      <c r="N121" s="78">
        <v>2737</v>
      </c>
      <c r="O121" s="63"/>
    </row>
    <row r="122" spans="1:15" ht="12.75" x14ac:dyDescent="0.2">
      <c r="A122" s="117">
        <v>112</v>
      </c>
      <c r="B122" s="118" t="s">
        <v>187</v>
      </c>
      <c r="C122" s="122" t="s">
        <v>429</v>
      </c>
      <c r="D122" s="78">
        <f t="shared" si="12"/>
        <v>576</v>
      </c>
      <c r="E122" s="78">
        <f t="shared" si="10"/>
        <v>576</v>
      </c>
      <c r="F122" s="78">
        <v>576</v>
      </c>
      <c r="G122" s="78">
        <v>0</v>
      </c>
      <c r="H122" s="78">
        <f t="shared" si="11"/>
        <v>0</v>
      </c>
      <c r="I122" s="78">
        <v>0</v>
      </c>
      <c r="J122" s="78">
        <v>0</v>
      </c>
      <c r="K122" s="78">
        <v>0</v>
      </c>
      <c r="L122" s="78">
        <v>0</v>
      </c>
      <c r="M122" s="78">
        <v>0</v>
      </c>
      <c r="N122" s="78">
        <v>0</v>
      </c>
      <c r="O122" s="63"/>
    </row>
    <row r="123" spans="1:15" x14ac:dyDescent="0.2">
      <c r="A123" s="117">
        <v>113</v>
      </c>
      <c r="B123" s="85" t="s">
        <v>326</v>
      </c>
      <c r="C123" s="82" t="s">
        <v>327</v>
      </c>
      <c r="D123" s="78">
        <f t="shared" si="12"/>
        <v>0</v>
      </c>
      <c r="E123" s="78">
        <v>0</v>
      </c>
      <c r="F123" s="78">
        <v>0</v>
      </c>
      <c r="G123" s="78">
        <v>0</v>
      </c>
      <c r="H123" s="78">
        <f t="shared" si="11"/>
        <v>0</v>
      </c>
      <c r="I123" s="78">
        <v>0</v>
      </c>
      <c r="J123" s="78">
        <v>0</v>
      </c>
      <c r="K123" s="78">
        <v>0</v>
      </c>
      <c r="L123" s="78">
        <v>0</v>
      </c>
      <c r="M123" s="78">
        <v>0</v>
      </c>
      <c r="N123" s="78">
        <v>0</v>
      </c>
      <c r="O123" s="63"/>
    </row>
    <row r="124" spans="1:15" ht="12.75" x14ac:dyDescent="0.2">
      <c r="A124" s="117">
        <v>114</v>
      </c>
      <c r="B124" s="121" t="s">
        <v>188</v>
      </c>
      <c r="C124" s="122" t="s">
        <v>430</v>
      </c>
      <c r="D124" s="78">
        <f t="shared" si="12"/>
        <v>140</v>
      </c>
      <c r="E124" s="78">
        <f t="shared" si="10"/>
        <v>140</v>
      </c>
      <c r="F124" s="78">
        <v>140</v>
      </c>
      <c r="G124" s="78">
        <v>0</v>
      </c>
      <c r="H124" s="78">
        <f t="shared" si="11"/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63"/>
    </row>
    <row r="125" spans="1:15" ht="12.75" x14ac:dyDescent="0.2">
      <c r="A125" s="117">
        <v>115</v>
      </c>
      <c r="B125" s="121" t="s">
        <v>189</v>
      </c>
      <c r="C125" s="122" t="s">
        <v>431</v>
      </c>
      <c r="D125" s="78">
        <f t="shared" si="12"/>
        <v>0</v>
      </c>
      <c r="E125" s="78">
        <f t="shared" si="10"/>
        <v>0</v>
      </c>
      <c r="F125" s="78">
        <v>0</v>
      </c>
      <c r="G125" s="78">
        <v>0</v>
      </c>
      <c r="H125" s="78">
        <f t="shared" si="11"/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63"/>
    </row>
    <row r="126" spans="1:15" x14ac:dyDescent="0.2">
      <c r="A126" s="117">
        <v>116</v>
      </c>
      <c r="B126" s="97" t="s">
        <v>328</v>
      </c>
      <c r="C126" s="86" t="s">
        <v>329</v>
      </c>
      <c r="D126" s="78">
        <f t="shared" si="12"/>
        <v>0</v>
      </c>
      <c r="E126" s="78">
        <v>0</v>
      </c>
      <c r="F126" s="78">
        <v>0</v>
      </c>
      <c r="G126" s="78">
        <v>0</v>
      </c>
      <c r="H126" s="78">
        <f t="shared" si="11"/>
        <v>0</v>
      </c>
      <c r="I126" s="78">
        <v>0</v>
      </c>
      <c r="J126" s="78">
        <v>0</v>
      </c>
      <c r="K126" s="78">
        <v>0</v>
      </c>
      <c r="L126" s="78">
        <v>0</v>
      </c>
      <c r="M126" s="78">
        <v>0</v>
      </c>
      <c r="N126" s="78">
        <v>0</v>
      </c>
      <c r="O126" s="63"/>
    </row>
    <row r="127" spans="1:15" ht="24" x14ac:dyDescent="0.2">
      <c r="A127" s="117">
        <v>117</v>
      </c>
      <c r="B127" s="97" t="s">
        <v>190</v>
      </c>
      <c r="C127" s="86" t="s">
        <v>432</v>
      </c>
      <c r="D127" s="78">
        <f t="shared" si="12"/>
        <v>0</v>
      </c>
      <c r="E127" s="78">
        <v>0</v>
      </c>
      <c r="F127" s="78">
        <v>0</v>
      </c>
      <c r="G127" s="78">
        <v>0</v>
      </c>
      <c r="H127" s="78">
        <f t="shared" si="11"/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63"/>
    </row>
    <row r="128" spans="1:15" x14ac:dyDescent="0.2">
      <c r="A128" s="117">
        <v>118</v>
      </c>
      <c r="B128" s="97" t="s">
        <v>330</v>
      </c>
      <c r="C128" s="86" t="s">
        <v>331</v>
      </c>
      <c r="D128" s="78">
        <f t="shared" si="12"/>
        <v>0</v>
      </c>
      <c r="E128" s="78">
        <v>0</v>
      </c>
      <c r="F128" s="78">
        <v>0</v>
      </c>
      <c r="G128" s="78">
        <v>0</v>
      </c>
      <c r="H128" s="78">
        <f t="shared" si="11"/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63"/>
    </row>
    <row r="129" spans="1:15" ht="12.75" x14ac:dyDescent="0.2">
      <c r="A129" s="117">
        <v>119</v>
      </c>
      <c r="B129" s="121" t="s">
        <v>191</v>
      </c>
      <c r="C129" s="122" t="s">
        <v>433</v>
      </c>
      <c r="D129" s="78">
        <f t="shared" si="12"/>
        <v>2772</v>
      </c>
      <c r="E129" s="78">
        <f t="shared" si="10"/>
        <v>2772</v>
      </c>
      <c r="F129" s="75">
        <v>2772</v>
      </c>
      <c r="G129" s="75">
        <v>0</v>
      </c>
      <c r="H129" s="78">
        <f t="shared" si="11"/>
        <v>0</v>
      </c>
      <c r="I129" s="78">
        <v>0</v>
      </c>
      <c r="J129" s="78">
        <v>0</v>
      </c>
      <c r="K129" s="78">
        <v>0</v>
      </c>
      <c r="L129" s="78">
        <v>0</v>
      </c>
      <c r="M129" s="75">
        <v>0</v>
      </c>
      <c r="N129" s="75">
        <v>0</v>
      </c>
      <c r="O129" s="63"/>
    </row>
    <row r="130" spans="1:15" x14ac:dyDescent="0.2">
      <c r="A130" s="117">
        <v>120</v>
      </c>
      <c r="B130" s="99" t="s">
        <v>434</v>
      </c>
      <c r="C130" s="100" t="s">
        <v>435</v>
      </c>
      <c r="D130" s="78">
        <f t="shared" si="12"/>
        <v>0</v>
      </c>
      <c r="E130" s="78">
        <v>0</v>
      </c>
      <c r="F130" s="75">
        <v>0</v>
      </c>
      <c r="G130" s="75">
        <v>0</v>
      </c>
      <c r="H130" s="78">
        <f t="shared" si="11"/>
        <v>0</v>
      </c>
      <c r="I130" s="78">
        <v>0</v>
      </c>
      <c r="J130" s="78">
        <v>0</v>
      </c>
      <c r="K130" s="78">
        <v>0</v>
      </c>
      <c r="L130" s="78">
        <v>0</v>
      </c>
      <c r="M130" s="75">
        <v>0</v>
      </c>
      <c r="N130" s="75">
        <v>0</v>
      </c>
      <c r="O130" s="63"/>
    </row>
    <row r="131" spans="1:15" ht="12.75" x14ac:dyDescent="0.2">
      <c r="A131" s="117">
        <v>121</v>
      </c>
      <c r="B131" s="131" t="s">
        <v>436</v>
      </c>
      <c r="C131" s="132" t="s">
        <v>457</v>
      </c>
      <c r="D131" s="78">
        <f t="shared" si="12"/>
        <v>0</v>
      </c>
      <c r="E131" s="78">
        <f t="shared" si="10"/>
        <v>0</v>
      </c>
      <c r="F131" s="75">
        <v>0</v>
      </c>
      <c r="G131" s="75">
        <v>0</v>
      </c>
      <c r="H131" s="78">
        <f t="shared" si="11"/>
        <v>0</v>
      </c>
      <c r="I131" s="78">
        <v>0</v>
      </c>
      <c r="J131" s="78">
        <v>0</v>
      </c>
      <c r="K131" s="78">
        <v>0</v>
      </c>
      <c r="L131" s="78">
        <v>0</v>
      </c>
      <c r="M131" s="75">
        <v>0</v>
      </c>
      <c r="N131" s="75">
        <v>0</v>
      </c>
      <c r="O131" s="63"/>
    </row>
    <row r="132" spans="1:15" x14ac:dyDescent="0.2">
      <c r="A132" s="117">
        <v>122</v>
      </c>
      <c r="B132" s="97" t="s">
        <v>192</v>
      </c>
      <c r="C132" s="86" t="s">
        <v>438</v>
      </c>
      <c r="D132" s="78">
        <f t="shared" si="12"/>
        <v>0</v>
      </c>
      <c r="E132" s="78">
        <v>0</v>
      </c>
      <c r="F132" s="75">
        <v>0</v>
      </c>
      <c r="G132" s="75">
        <v>0</v>
      </c>
      <c r="H132" s="78">
        <f t="shared" si="11"/>
        <v>0</v>
      </c>
      <c r="I132" s="78">
        <v>0</v>
      </c>
      <c r="J132" s="78">
        <v>0</v>
      </c>
      <c r="K132" s="78">
        <v>0</v>
      </c>
      <c r="L132" s="78">
        <v>0</v>
      </c>
      <c r="M132" s="75">
        <v>0</v>
      </c>
      <c r="N132" s="75">
        <v>0</v>
      </c>
      <c r="O132" s="63"/>
    </row>
    <row r="133" spans="1:15" x14ac:dyDescent="0.2">
      <c r="A133" s="117">
        <v>123</v>
      </c>
      <c r="B133" s="85" t="s">
        <v>332</v>
      </c>
      <c r="C133" s="102" t="s">
        <v>439</v>
      </c>
      <c r="D133" s="78">
        <f t="shared" si="12"/>
        <v>0</v>
      </c>
      <c r="E133" s="78">
        <v>0</v>
      </c>
      <c r="F133" s="75">
        <v>0</v>
      </c>
      <c r="G133" s="75">
        <v>0</v>
      </c>
      <c r="H133" s="78">
        <f t="shared" si="11"/>
        <v>0</v>
      </c>
      <c r="I133" s="78">
        <v>0</v>
      </c>
      <c r="J133" s="78">
        <v>0</v>
      </c>
      <c r="K133" s="78">
        <v>0</v>
      </c>
      <c r="L133" s="78">
        <v>0</v>
      </c>
      <c r="M133" s="75">
        <v>0</v>
      </c>
      <c r="N133" s="75">
        <v>0</v>
      </c>
      <c r="O133" s="63"/>
    </row>
    <row r="134" spans="1:15" ht="24" x14ac:dyDescent="0.2">
      <c r="A134" s="117">
        <v>124</v>
      </c>
      <c r="B134" s="97" t="s">
        <v>334</v>
      </c>
      <c r="C134" s="86" t="s">
        <v>440</v>
      </c>
      <c r="D134" s="78">
        <f t="shared" si="12"/>
        <v>0</v>
      </c>
      <c r="E134" s="78">
        <v>0</v>
      </c>
      <c r="F134" s="75">
        <v>0</v>
      </c>
      <c r="G134" s="75">
        <v>0</v>
      </c>
      <c r="H134" s="78">
        <f t="shared" si="11"/>
        <v>0</v>
      </c>
      <c r="I134" s="78">
        <v>0</v>
      </c>
      <c r="J134" s="78">
        <v>0</v>
      </c>
      <c r="K134" s="78">
        <v>0</v>
      </c>
      <c r="L134" s="78">
        <v>0</v>
      </c>
      <c r="M134" s="75">
        <v>0</v>
      </c>
      <c r="N134" s="75">
        <v>0</v>
      </c>
      <c r="O134" s="63"/>
    </row>
    <row r="135" spans="1:15" ht="24" x14ac:dyDescent="0.2">
      <c r="A135" s="117">
        <v>125</v>
      </c>
      <c r="B135" s="97" t="s">
        <v>336</v>
      </c>
      <c r="C135" s="86" t="s">
        <v>441</v>
      </c>
      <c r="D135" s="78">
        <f t="shared" si="12"/>
        <v>0</v>
      </c>
      <c r="E135" s="78">
        <v>0</v>
      </c>
      <c r="F135" s="75">
        <v>0</v>
      </c>
      <c r="G135" s="75">
        <v>0</v>
      </c>
      <c r="H135" s="78">
        <f t="shared" si="11"/>
        <v>0</v>
      </c>
      <c r="I135" s="78">
        <v>0</v>
      </c>
      <c r="J135" s="78">
        <v>0</v>
      </c>
      <c r="K135" s="78">
        <v>0</v>
      </c>
      <c r="L135" s="78">
        <v>0</v>
      </c>
      <c r="M135" s="75">
        <v>0</v>
      </c>
      <c r="N135" s="75">
        <v>0</v>
      </c>
      <c r="O135" s="63"/>
    </row>
    <row r="136" spans="1:15" ht="12.75" x14ac:dyDescent="0.2">
      <c r="A136" s="117">
        <v>126</v>
      </c>
      <c r="B136" s="120" t="s">
        <v>148</v>
      </c>
      <c r="C136" s="122" t="s">
        <v>442</v>
      </c>
      <c r="D136" s="78">
        <f t="shared" si="12"/>
        <v>0</v>
      </c>
      <c r="E136" s="78">
        <f t="shared" si="10"/>
        <v>0</v>
      </c>
      <c r="F136" s="75">
        <v>0</v>
      </c>
      <c r="G136" s="75">
        <v>0</v>
      </c>
      <c r="H136" s="78">
        <f t="shared" si="11"/>
        <v>0</v>
      </c>
      <c r="I136" s="78">
        <v>0</v>
      </c>
      <c r="J136" s="78">
        <v>0</v>
      </c>
      <c r="K136" s="78">
        <v>0</v>
      </c>
      <c r="L136" s="78">
        <v>0</v>
      </c>
      <c r="M136" s="75">
        <v>0</v>
      </c>
      <c r="N136" s="75">
        <v>0</v>
      </c>
      <c r="O136" s="63"/>
    </row>
    <row r="137" spans="1:15" x14ac:dyDescent="0.2">
      <c r="A137" s="117">
        <v>127</v>
      </c>
      <c r="B137" s="103" t="s">
        <v>338</v>
      </c>
      <c r="C137" s="104" t="s">
        <v>339</v>
      </c>
      <c r="D137" s="78">
        <f t="shared" si="12"/>
        <v>0</v>
      </c>
      <c r="E137" s="78">
        <v>0</v>
      </c>
      <c r="F137" s="75">
        <v>0</v>
      </c>
      <c r="G137" s="75">
        <v>0</v>
      </c>
      <c r="H137" s="78">
        <f t="shared" si="11"/>
        <v>0</v>
      </c>
      <c r="I137" s="78">
        <v>0</v>
      </c>
      <c r="J137" s="78">
        <v>0</v>
      </c>
      <c r="K137" s="78">
        <v>0</v>
      </c>
      <c r="L137" s="78">
        <v>0</v>
      </c>
      <c r="M137" s="75">
        <v>0</v>
      </c>
      <c r="N137" s="75">
        <v>0</v>
      </c>
      <c r="O137" s="63"/>
    </row>
    <row r="138" spans="1:15" x14ac:dyDescent="0.2">
      <c r="A138" s="117">
        <v>128</v>
      </c>
      <c r="B138" s="97" t="s">
        <v>340</v>
      </c>
      <c r="C138" s="86" t="s">
        <v>341</v>
      </c>
      <c r="D138" s="78">
        <f t="shared" si="12"/>
        <v>0</v>
      </c>
      <c r="E138" s="78">
        <v>0</v>
      </c>
      <c r="F138" s="75">
        <v>0</v>
      </c>
      <c r="G138" s="75">
        <v>0</v>
      </c>
      <c r="H138" s="78">
        <f t="shared" si="11"/>
        <v>0</v>
      </c>
      <c r="I138" s="78">
        <v>0</v>
      </c>
      <c r="J138" s="78">
        <v>0</v>
      </c>
      <c r="K138" s="78">
        <v>0</v>
      </c>
      <c r="L138" s="78">
        <v>0</v>
      </c>
      <c r="M138" s="75">
        <v>0</v>
      </c>
      <c r="N138" s="75">
        <v>0</v>
      </c>
      <c r="O138" s="63"/>
    </row>
    <row r="139" spans="1:15" ht="12.75" x14ac:dyDescent="0.2">
      <c r="A139" s="117">
        <v>129</v>
      </c>
      <c r="B139" s="118" t="s">
        <v>193</v>
      </c>
      <c r="C139" s="119" t="s">
        <v>443</v>
      </c>
      <c r="D139" s="78">
        <f t="shared" si="12"/>
        <v>256</v>
      </c>
      <c r="E139" s="78">
        <f t="shared" si="10"/>
        <v>256</v>
      </c>
      <c r="F139" s="75">
        <v>256</v>
      </c>
      <c r="G139" s="75">
        <v>0</v>
      </c>
      <c r="H139" s="78">
        <f t="shared" si="11"/>
        <v>0</v>
      </c>
      <c r="I139" s="78">
        <v>0</v>
      </c>
      <c r="J139" s="78">
        <v>0</v>
      </c>
      <c r="K139" s="78">
        <v>0</v>
      </c>
      <c r="L139" s="78">
        <v>0</v>
      </c>
      <c r="M139" s="75">
        <v>0</v>
      </c>
      <c r="N139" s="75">
        <v>0</v>
      </c>
      <c r="O139" s="63"/>
    </row>
    <row r="140" spans="1:15" x14ac:dyDescent="0.2">
      <c r="A140" s="117">
        <v>130</v>
      </c>
      <c r="B140" s="94" t="s">
        <v>194</v>
      </c>
      <c r="C140" s="82" t="s">
        <v>444</v>
      </c>
      <c r="D140" s="78">
        <f t="shared" si="12"/>
        <v>0</v>
      </c>
      <c r="E140" s="78">
        <v>0</v>
      </c>
      <c r="F140" s="75">
        <v>0</v>
      </c>
      <c r="G140" s="75">
        <v>0</v>
      </c>
      <c r="H140" s="78">
        <f t="shared" si="11"/>
        <v>0</v>
      </c>
      <c r="I140" s="78">
        <v>0</v>
      </c>
      <c r="J140" s="78">
        <v>0</v>
      </c>
      <c r="K140" s="78">
        <v>0</v>
      </c>
      <c r="L140" s="78">
        <v>0</v>
      </c>
      <c r="M140" s="75">
        <v>0</v>
      </c>
      <c r="N140" s="75">
        <v>0</v>
      </c>
      <c r="O140" s="63"/>
    </row>
    <row r="141" spans="1:15" ht="12.75" x14ac:dyDescent="0.2">
      <c r="A141" s="117">
        <v>131</v>
      </c>
      <c r="B141" s="121" t="s">
        <v>195</v>
      </c>
      <c r="C141" s="122" t="s">
        <v>445</v>
      </c>
      <c r="D141" s="78">
        <f t="shared" si="12"/>
        <v>992</v>
      </c>
      <c r="E141" s="78">
        <f t="shared" si="10"/>
        <v>992</v>
      </c>
      <c r="F141" s="75">
        <v>992</v>
      </c>
      <c r="G141" s="75">
        <v>0</v>
      </c>
      <c r="H141" s="78">
        <f t="shared" si="11"/>
        <v>0</v>
      </c>
      <c r="I141" s="78">
        <v>0</v>
      </c>
      <c r="J141" s="78">
        <v>0</v>
      </c>
      <c r="K141" s="78">
        <v>0</v>
      </c>
      <c r="L141" s="78">
        <v>0</v>
      </c>
      <c r="M141" s="75">
        <v>0</v>
      </c>
      <c r="N141" s="75">
        <v>0</v>
      </c>
      <c r="O141" s="63"/>
    </row>
    <row r="142" spans="1:15" x14ac:dyDescent="0.2">
      <c r="A142" s="117">
        <v>132</v>
      </c>
      <c r="B142" s="97" t="s">
        <v>446</v>
      </c>
      <c r="C142" s="86" t="s">
        <v>447</v>
      </c>
      <c r="D142" s="78">
        <f t="shared" si="12"/>
        <v>0</v>
      </c>
      <c r="E142" s="78">
        <v>0</v>
      </c>
      <c r="F142" s="75">
        <v>0</v>
      </c>
      <c r="G142" s="75">
        <v>0</v>
      </c>
      <c r="H142" s="78">
        <f t="shared" si="11"/>
        <v>0</v>
      </c>
      <c r="I142" s="78">
        <v>0</v>
      </c>
      <c r="J142" s="78">
        <v>0</v>
      </c>
      <c r="K142" s="78">
        <v>0</v>
      </c>
      <c r="L142" s="78">
        <v>0</v>
      </c>
      <c r="M142" s="75">
        <v>0</v>
      </c>
      <c r="N142" s="75">
        <v>0</v>
      </c>
      <c r="O142" s="63"/>
    </row>
    <row r="143" spans="1:15" ht="12.75" x14ac:dyDescent="0.2">
      <c r="A143" s="117">
        <v>133</v>
      </c>
      <c r="B143" s="121" t="s">
        <v>15</v>
      </c>
      <c r="C143" s="122" t="s">
        <v>448</v>
      </c>
      <c r="D143" s="78">
        <f t="shared" si="12"/>
        <v>0</v>
      </c>
      <c r="E143" s="78">
        <f t="shared" si="10"/>
        <v>0</v>
      </c>
      <c r="F143" s="75">
        <v>0</v>
      </c>
      <c r="G143" s="75">
        <v>0</v>
      </c>
      <c r="H143" s="78">
        <f t="shared" si="11"/>
        <v>0</v>
      </c>
      <c r="I143" s="78">
        <v>0</v>
      </c>
      <c r="J143" s="78">
        <v>0</v>
      </c>
      <c r="K143" s="78">
        <v>0</v>
      </c>
      <c r="L143" s="78">
        <v>0</v>
      </c>
      <c r="M143" s="75">
        <v>0</v>
      </c>
      <c r="N143" s="75">
        <v>0</v>
      </c>
      <c r="O143" s="63"/>
    </row>
    <row r="144" spans="1:15" ht="12.75" x14ac:dyDescent="0.2">
      <c r="A144" s="117">
        <v>134</v>
      </c>
      <c r="B144" s="121" t="s">
        <v>342</v>
      </c>
      <c r="C144" s="122" t="s">
        <v>343</v>
      </c>
      <c r="D144" s="78">
        <f t="shared" si="12"/>
        <v>0</v>
      </c>
      <c r="E144" s="78">
        <f t="shared" si="10"/>
        <v>0</v>
      </c>
      <c r="F144" s="75">
        <v>0</v>
      </c>
      <c r="G144" s="75">
        <v>0</v>
      </c>
      <c r="H144" s="78">
        <f t="shared" si="11"/>
        <v>0</v>
      </c>
      <c r="I144" s="78">
        <v>0</v>
      </c>
      <c r="J144" s="78">
        <v>0</v>
      </c>
      <c r="K144" s="78">
        <v>0</v>
      </c>
      <c r="L144" s="78">
        <v>0</v>
      </c>
      <c r="M144" s="75">
        <v>0</v>
      </c>
      <c r="N144" s="75">
        <v>0</v>
      </c>
      <c r="O144" s="63"/>
    </row>
    <row r="145" spans="1:15" ht="12.75" x14ac:dyDescent="0.2">
      <c r="A145" s="117">
        <v>135</v>
      </c>
      <c r="B145" s="121" t="s">
        <v>14</v>
      </c>
      <c r="C145" s="122" t="s">
        <v>13</v>
      </c>
      <c r="D145" s="78">
        <f t="shared" si="12"/>
        <v>0</v>
      </c>
      <c r="E145" s="78">
        <f t="shared" si="10"/>
        <v>0</v>
      </c>
      <c r="F145" s="75">
        <v>0</v>
      </c>
      <c r="G145" s="75">
        <v>0</v>
      </c>
      <c r="H145" s="78">
        <f t="shared" si="11"/>
        <v>0</v>
      </c>
      <c r="I145" s="78">
        <v>0</v>
      </c>
      <c r="J145" s="78">
        <v>0</v>
      </c>
      <c r="K145" s="78">
        <v>0</v>
      </c>
      <c r="L145" s="78">
        <v>0</v>
      </c>
      <c r="M145" s="75">
        <v>0</v>
      </c>
      <c r="N145" s="75">
        <v>0</v>
      </c>
      <c r="O145" s="63"/>
    </row>
    <row r="146" spans="1:15" ht="12.75" x14ac:dyDescent="0.2">
      <c r="A146" s="117">
        <v>136</v>
      </c>
      <c r="B146" s="118" t="s">
        <v>10</v>
      </c>
      <c r="C146" s="119" t="s">
        <v>7</v>
      </c>
      <c r="D146" s="78">
        <f t="shared" si="12"/>
        <v>0</v>
      </c>
      <c r="E146" s="78">
        <f t="shared" si="10"/>
        <v>0</v>
      </c>
      <c r="F146" s="75">
        <v>0</v>
      </c>
      <c r="G146" s="75">
        <v>0</v>
      </c>
      <c r="H146" s="78">
        <f t="shared" si="11"/>
        <v>0</v>
      </c>
      <c r="I146" s="78">
        <v>0</v>
      </c>
      <c r="J146" s="78">
        <v>0</v>
      </c>
      <c r="K146" s="78">
        <v>0</v>
      </c>
      <c r="L146" s="78">
        <v>0</v>
      </c>
      <c r="M146" s="75">
        <v>0</v>
      </c>
      <c r="N146" s="75">
        <v>0</v>
      </c>
      <c r="O146" s="63"/>
    </row>
    <row r="147" spans="1:15" ht="12.75" x14ac:dyDescent="0.2">
      <c r="A147" s="117">
        <v>137</v>
      </c>
      <c r="B147" s="121" t="s">
        <v>196</v>
      </c>
      <c r="C147" s="122" t="s">
        <v>449</v>
      </c>
      <c r="D147" s="78">
        <f t="shared" si="12"/>
        <v>0</v>
      </c>
      <c r="E147" s="78">
        <f t="shared" si="10"/>
        <v>0</v>
      </c>
      <c r="F147" s="75">
        <v>0</v>
      </c>
      <c r="G147" s="75">
        <v>0</v>
      </c>
      <c r="H147" s="78">
        <f t="shared" si="11"/>
        <v>0</v>
      </c>
      <c r="I147" s="78">
        <v>0</v>
      </c>
      <c r="J147" s="78">
        <v>0</v>
      </c>
      <c r="K147" s="78">
        <v>0</v>
      </c>
      <c r="L147" s="78">
        <v>0</v>
      </c>
      <c r="M147" s="75">
        <v>0</v>
      </c>
      <c r="N147" s="75">
        <v>0</v>
      </c>
      <c r="O147" s="63"/>
    </row>
    <row r="148" spans="1:15" ht="12.75" x14ac:dyDescent="0.2">
      <c r="A148" s="117">
        <v>138</v>
      </c>
      <c r="B148" s="118" t="s">
        <v>149</v>
      </c>
      <c r="C148" s="122" t="s">
        <v>150</v>
      </c>
      <c r="D148" s="78">
        <f t="shared" si="12"/>
        <v>0</v>
      </c>
      <c r="E148" s="78">
        <f t="shared" si="10"/>
        <v>0</v>
      </c>
      <c r="F148" s="75">
        <v>0</v>
      </c>
      <c r="G148" s="75">
        <v>0</v>
      </c>
      <c r="H148" s="78">
        <f t="shared" si="11"/>
        <v>0</v>
      </c>
      <c r="I148" s="78">
        <v>0</v>
      </c>
      <c r="J148" s="78">
        <v>0</v>
      </c>
      <c r="K148" s="78">
        <v>0</v>
      </c>
      <c r="L148" s="78">
        <v>0</v>
      </c>
      <c r="M148" s="75">
        <v>0</v>
      </c>
      <c r="N148" s="75">
        <v>0</v>
      </c>
      <c r="O148" s="63"/>
    </row>
    <row r="149" spans="1:15" ht="12.75" x14ac:dyDescent="0.2">
      <c r="A149" s="117">
        <v>139</v>
      </c>
      <c r="B149" s="123" t="s">
        <v>151</v>
      </c>
      <c r="C149" s="124" t="s">
        <v>152</v>
      </c>
      <c r="D149" s="78">
        <f t="shared" si="12"/>
        <v>5855</v>
      </c>
      <c r="E149" s="78">
        <f t="shared" si="10"/>
        <v>5855</v>
      </c>
      <c r="F149" s="75">
        <v>5855</v>
      </c>
      <c r="G149" s="75">
        <v>0</v>
      </c>
      <c r="H149" s="78">
        <f t="shared" si="11"/>
        <v>0</v>
      </c>
      <c r="I149" s="78">
        <v>0</v>
      </c>
      <c r="J149" s="78">
        <v>0</v>
      </c>
      <c r="K149" s="78">
        <v>0</v>
      </c>
      <c r="L149" s="78">
        <v>0</v>
      </c>
      <c r="M149" s="75">
        <v>0</v>
      </c>
      <c r="N149" s="75">
        <v>0</v>
      </c>
      <c r="O149" s="63"/>
    </row>
    <row r="150" spans="1:15" ht="12.75" x14ac:dyDescent="0.2">
      <c r="A150" s="117">
        <v>140</v>
      </c>
      <c r="B150" s="121" t="s">
        <v>344</v>
      </c>
      <c r="C150" s="122" t="s">
        <v>345</v>
      </c>
      <c r="D150" s="78">
        <f t="shared" si="12"/>
        <v>0</v>
      </c>
      <c r="E150" s="78">
        <f t="shared" si="10"/>
        <v>0</v>
      </c>
      <c r="F150" s="75">
        <v>0</v>
      </c>
      <c r="G150" s="75">
        <v>0</v>
      </c>
      <c r="H150" s="78">
        <f t="shared" si="11"/>
        <v>0</v>
      </c>
      <c r="I150" s="78">
        <v>0</v>
      </c>
      <c r="J150" s="78">
        <v>0</v>
      </c>
      <c r="K150" s="78">
        <v>0</v>
      </c>
      <c r="L150" s="78">
        <v>0</v>
      </c>
      <c r="M150" s="75">
        <v>0</v>
      </c>
      <c r="N150" s="75">
        <v>0</v>
      </c>
      <c r="O150" s="63"/>
    </row>
    <row r="151" spans="1:15" ht="12.75" x14ac:dyDescent="0.2">
      <c r="A151" s="117">
        <v>141</v>
      </c>
      <c r="B151" s="121" t="s">
        <v>197</v>
      </c>
      <c r="C151" s="122" t="s">
        <v>198</v>
      </c>
      <c r="D151" s="78">
        <f t="shared" si="12"/>
        <v>0</v>
      </c>
      <c r="E151" s="78">
        <f t="shared" si="10"/>
        <v>0</v>
      </c>
      <c r="F151" s="75">
        <v>0</v>
      </c>
      <c r="G151" s="75">
        <v>0</v>
      </c>
      <c r="H151" s="78">
        <f t="shared" si="11"/>
        <v>0</v>
      </c>
      <c r="I151" s="78">
        <v>0</v>
      </c>
      <c r="J151" s="78">
        <v>0</v>
      </c>
      <c r="K151" s="78">
        <v>0</v>
      </c>
      <c r="L151" s="78">
        <v>0</v>
      </c>
      <c r="M151" s="75">
        <v>0</v>
      </c>
      <c r="N151" s="75">
        <v>0</v>
      </c>
      <c r="O151" s="63"/>
    </row>
    <row r="152" spans="1:15" ht="12.75" x14ac:dyDescent="0.2">
      <c r="A152" s="117">
        <v>142</v>
      </c>
      <c r="B152" s="121" t="s">
        <v>346</v>
      </c>
      <c r="C152" s="122" t="s">
        <v>347</v>
      </c>
      <c r="D152" s="78">
        <f t="shared" si="12"/>
        <v>0</v>
      </c>
      <c r="E152" s="78">
        <f t="shared" si="10"/>
        <v>0</v>
      </c>
      <c r="F152" s="75">
        <v>0</v>
      </c>
      <c r="G152" s="75">
        <v>0</v>
      </c>
      <c r="H152" s="78">
        <f t="shared" si="11"/>
        <v>0</v>
      </c>
      <c r="I152" s="78">
        <v>0</v>
      </c>
      <c r="J152" s="78">
        <v>0</v>
      </c>
      <c r="K152" s="78">
        <v>0</v>
      </c>
      <c r="L152" s="78">
        <v>0</v>
      </c>
      <c r="M152" s="75">
        <v>0</v>
      </c>
      <c r="N152" s="75">
        <v>0</v>
      </c>
      <c r="O152" s="63"/>
    </row>
    <row r="153" spans="1:15" ht="12.75" x14ac:dyDescent="0.2">
      <c r="A153" s="117">
        <v>143</v>
      </c>
      <c r="B153" s="123" t="s">
        <v>12</v>
      </c>
      <c r="C153" s="124" t="s">
        <v>2</v>
      </c>
      <c r="D153" s="78">
        <f t="shared" si="12"/>
        <v>0</v>
      </c>
      <c r="E153" s="78">
        <f t="shared" si="10"/>
        <v>0</v>
      </c>
      <c r="F153" s="75">
        <v>0</v>
      </c>
      <c r="G153" s="75">
        <v>0</v>
      </c>
      <c r="H153" s="78">
        <f t="shared" si="11"/>
        <v>0</v>
      </c>
      <c r="I153" s="78">
        <v>0</v>
      </c>
      <c r="J153" s="78">
        <v>0</v>
      </c>
      <c r="K153" s="78">
        <v>0</v>
      </c>
      <c r="L153" s="78">
        <v>0</v>
      </c>
      <c r="M153" s="75">
        <v>0</v>
      </c>
      <c r="N153" s="75">
        <v>0</v>
      </c>
      <c r="O153" s="63"/>
    </row>
    <row r="154" spans="1:15" ht="12.75" x14ac:dyDescent="0.2">
      <c r="A154" s="117">
        <v>144</v>
      </c>
      <c r="B154" s="120" t="s">
        <v>3</v>
      </c>
      <c r="C154" s="124" t="s">
        <v>450</v>
      </c>
      <c r="D154" s="78">
        <f t="shared" si="12"/>
        <v>62223</v>
      </c>
      <c r="E154" s="78">
        <f t="shared" si="10"/>
        <v>0</v>
      </c>
      <c r="F154" s="75">
        <v>0</v>
      </c>
      <c r="G154" s="75">
        <v>0</v>
      </c>
      <c r="H154" s="78">
        <f t="shared" si="11"/>
        <v>62223</v>
      </c>
      <c r="I154" s="78">
        <v>17031</v>
      </c>
      <c r="J154" s="78">
        <v>670</v>
      </c>
      <c r="K154" s="78">
        <v>135</v>
      </c>
      <c r="L154" s="78">
        <v>84</v>
      </c>
      <c r="M154" s="75">
        <v>30460</v>
      </c>
      <c r="N154" s="75">
        <v>13843</v>
      </c>
      <c r="O154" s="63"/>
    </row>
    <row r="155" spans="1:15" ht="12.75" x14ac:dyDescent="0.2">
      <c r="A155" s="117">
        <v>145</v>
      </c>
      <c r="B155" s="121" t="s">
        <v>11</v>
      </c>
      <c r="C155" s="122" t="s">
        <v>8</v>
      </c>
      <c r="D155" s="78">
        <f t="shared" si="12"/>
        <v>0</v>
      </c>
      <c r="E155" s="78">
        <f t="shared" si="10"/>
        <v>0</v>
      </c>
      <c r="F155" s="75">
        <v>0</v>
      </c>
      <c r="G155" s="75">
        <v>0</v>
      </c>
      <c r="H155" s="78">
        <f t="shared" si="11"/>
        <v>0</v>
      </c>
      <c r="I155" s="78">
        <v>0</v>
      </c>
      <c r="J155" s="78">
        <v>0</v>
      </c>
      <c r="K155" s="78">
        <v>0</v>
      </c>
      <c r="L155" s="78">
        <v>0</v>
      </c>
      <c r="M155" s="75">
        <v>0</v>
      </c>
      <c r="N155" s="75">
        <v>0</v>
      </c>
      <c r="O155" s="63"/>
    </row>
    <row r="156" spans="1:15" ht="12.75" x14ac:dyDescent="0.2">
      <c r="A156" s="117">
        <v>146</v>
      </c>
      <c r="B156" s="118" t="s">
        <v>200</v>
      </c>
      <c r="C156" s="119" t="s">
        <v>201</v>
      </c>
      <c r="D156" s="78">
        <f t="shared" si="12"/>
        <v>0</v>
      </c>
      <c r="E156" s="78">
        <f t="shared" si="10"/>
        <v>0</v>
      </c>
      <c r="F156" s="75">
        <v>0</v>
      </c>
      <c r="G156" s="75">
        <v>0</v>
      </c>
      <c r="H156" s="78">
        <f t="shared" si="11"/>
        <v>0</v>
      </c>
      <c r="I156" s="78">
        <v>0</v>
      </c>
      <c r="J156" s="78">
        <v>0</v>
      </c>
      <c r="K156" s="78">
        <v>0</v>
      </c>
      <c r="L156" s="78">
        <v>0</v>
      </c>
      <c r="M156" s="75">
        <v>0</v>
      </c>
      <c r="N156" s="75">
        <v>0</v>
      </c>
      <c r="O156" s="63"/>
    </row>
    <row r="157" spans="1:15" x14ac:dyDescent="0.2">
      <c r="A157" s="117">
        <v>147</v>
      </c>
      <c r="B157" s="85" t="s">
        <v>202</v>
      </c>
      <c r="C157" s="82" t="s">
        <v>451</v>
      </c>
      <c r="D157" s="78">
        <f t="shared" si="12"/>
        <v>0</v>
      </c>
      <c r="E157" s="78">
        <v>0</v>
      </c>
      <c r="F157" s="75">
        <v>0</v>
      </c>
      <c r="G157" s="75">
        <v>0</v>
      </c>
      <c r="H157" s="78">
        <f t="shared" si="11"/>
        <v>0</v>
      </c>
      <c r="I157" s="78">
        <v>0</v>
      </c>
      <c r="J157" s="78">
        <v>0</v>
      </c>
      <c r="K157" s="78">
        <v>0</v>
      </c>
      <c r="L157" s="78">
        <v>0</v>
      </c>
      <c r="M157" s="75">
        <v>0</v>
      </c>
      <c r="N157" s="75">
        <v>0</v>
      </c>
      <c r="O157" s="63"/>
    </row>
    <row r="158" spans="1:15" ht="12.75" x14ac:dyDescent="0.2">
      <c r="A158" s="117">
        <v>148</v>
      </c>
      <c r="B158" s="107" t="s">
        <v>348</v>
      </c>
      <c r="C158" s="108" t="s">
        <v>349</v>
      </c>
      <c r="D158" s="78">
        <f t="shared" si="12"/>
        <v>0</v>
      </c>
      <c r="E158" s="78">
        <v>0</v>
      </c>
      <c r="F158" s="75">
        <v>0</v>
      </c>
      <c r="G158" s="75">
        <v>0</v>
      </c>
      <c r="H158" s="78">
        <f t="shared" si="11"/>
        <v>0</v>
      </c>
      <c r="I158" s="78">
        <v>0</v>
      </c>
      <c r="J158" s="78">
        <v>0</v>
      </c>
      <c r="K158" s="78">
        <v>0</v>
      </c>
      <c r="L158" s="78">
        <v>0</v>
      </c>
      <c r="M158" s="75">
        <v>0</v>
      </c>
      <c r="N158" s="75">
        <v>0</v>
      </c>
      <c r="O158" s="63"/>
    </row>
    <row r="159" spans="1:15" x14ac:dyDescent="0.2">
      <c r="E159" s="109"/>
      <c r="H159" s="63"/>
      <c r="I159" s="63"/>
      <c r="J159" s="63">
        <v>0</v>
      </c>
      <c r="K159" s="133">
        <v>0</v>
      </c>
      <c r="L159" s="133"/>
      <c r="M159" s="133">
        <v>0</v>
      </c>
      <c r="N159" s="133">
        <v>0</v>
      </c>
    </row>
    <row r="160" spans="1:15" x14ac:dyDescent="0.2">
      <c r="K160" s="63"/>
    </row>
    <row r="161" spans="4:14" x14ac:dyDescent="0.2">
      <c r="F161" s="63"/>
    </row>
    <row r="162" spans="4:14" x14ac:dyDescent="0.2"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</row>
    <row r="163" spans="4:14" x14ac:dyDescent="0.2">
      <c r="I163" s="63"/>
    </row>
  </sheetData>
  <mergeCells count="18">
    <mergeCell ref="A8:C8"/>
    <mergeCell ref="A9:C9"/>
    <mergeCell ref="A10:C10"/>
    <mergeCell ref="E5:E6"/>
    <mergeCell ref="F5:G5"/>
    <mergeCell ref="H5:H6"/>
    <mergeCell ref="I5:J5"/>
    <mergeCell ref="K5:L5"/>
    <mergeCell ref="M5:N5"/>
    <mergeCell ref="A1:N1"/>
    <mergeCell ref="A2:A6"/>
    <mergeCell ref="B2:B6"/>
    <mergeCell ref="C2:C6"/>
    <mergeCell ref="D2:N2"/>
    <mergeCell ref="D3:D6"/>
    <mergeCell ref="E3:N3"/>
    <mergeCell ref="E4:G4"/>
    <mergeCell ref="H4:N4"/>
  </mergeCells>
  <pageMargins left="0.70866141732283472" right="0.70866141732283472" top="0.35433070866141736" bottom="0.15748031496062992" header="0.31496062992125984" footer="0.31496062992125984"/>
  <pageSetup paperSize="9" scale="79" fitToHeight="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64"/>
  <sheetViews>
    <sheetView zoomScale="90" zoomScaleNormal="90" workbookViewId="0">
      <pane xSplit="3" ySplit="10" topLeftCell="D80" activePane="bottomRight" state="frozen"/>
      <selection activeCell="S14" sqref="S14"/>
      <selection pane="topRight" activeCell="S14" sqref="S14"/>
      <selection pane="bottomLeft" activeCell="S14" sqref="S14"/>
      <selection pane="bottomRight" activeCell="D89" sqref="D89"/>
    </sheetView>
  </sheetViews>
  <sheetFormatPr defaultRowHeight="12" x14ac:dyDescent="0.2"/>
  <cols>
    <col min="1" max="1" width="5" style="110" customWidth="1"/>
    <col min="2" max="2" width="7.140625" style="110" customWidth="1"/>
    <col min="3" max="3" width="30.42578125" style="110" customWidth="1"/>
    <col min="4" max="4" width="13.7109375" style="110" customWidth="1"/>
    <col min="5" max="8" width="9.28515625" style="110" customWidth="1"/>
    <col min="9" max="9" width="9.7109375" style="110" customWidth="1"/>
    <col min="10" max="10" width="10.7109375" style="110" customWidth="1"/>
    <col min="11" max="11" width="9.5703125" style="110" customWidth="1"/>
    <col min="12" max="14" width="10.140625" style="110" customWidth="1"/>
    <col min="15" max="15" width="9.7109375" style="110" customWidth="1"/>
    <col min="16" max="16" width="10" style="110" customWidth="1"/>
    <col min="17" max="18" width="9.5703125" style="110" customWidth="1"/>
    <col min="19" max="19" width="10.7109375" style="110" customWidth="1"/>
    <col min="20" max="20" width="8.42578125" style="110" customWidth="1"/>
    <col min="21" max="22" width="10.7109375" style="110" customWidth="1"/>
    <col min="23" max="25" width="9.140625" style="110" customWidth="1"/>
    <col min="26" max="26" width="27.85546875" style="110" customWidth="1"/>
    <col min="27" max="16384" width="9.140625" style="110"/>
  </cols>
  <sheetData>
    <row r="1" spans="1:27" ht="22.5" customHeight="1" x14ac:dyDescent="0.2">
      <c r="A1" s="706" t="s">
        <v>461</v>
      </c>
      <c r="B1" s="706"/>
      <c r="C1" s="706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712"/>
      <c r="X1" s="144"/>
      <c r="Y1" s="144"/>
      <c r="Z1" s="144"/>
    </row>
    <row r="2" spans="1:27" ht="12" customHeight="1" x14ac:dyDescent="0.2">
      <c r="A2" s="702" t="s">
        <v>0</v>
      </c>
      <c r="B2" s="707" t="s">
        <v>351</v>
      </c>
      <c r="C2" s="702" t="s">
        <v>352</v>
      </c>
      <c r="D2" s="710" t="s">
        <v>462</v>
      </c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</row>
    <row r="3" spans="1:27" x14ac:dyDescent="0.2">
      <c r="A3" s="702"/>
      <c r="B3" s="708"/>
      <c r="C3" s="702"/>
      <c r="D3" s="701" t="s">
        <v>453</v>
      </c>
      <c r="E3" s="702" t="s">
        <v>16</v>
      </c>
      <c r="F3" s="702"/>
      <c r="G3" s="702"/>
      <c r="H3" s="702"/>
      <c r="I3" s="702"/>
      <c r="J3" s="702"/>
      <c r="K3" s="702"/>
      <c r="L3" s="702"/>
      <c r="M3" s="702"/>
      <c r="N3" s="702"/>
      <c r="O3" s="702"/>
      <c r="P3" s="702"/>
      <c r="Q3" s="702"/>
      <c r="R3" s="702"/>
      <c r="S3" s="702"/>
      <c r="T3" s="702"/>
      <c r="U3" s="702"/>
      <c r="V3" s="702"/>
      <c r="W3" s="702"/>
      <c r="X3" s="702"/>
      <c r="Y3" s="702"/>
      <c r="Z3" s="702"/>
    </row>
    <row r="4" spans="1:27" ht="47.25" customHeight="1" x14ac:dyDescent="0.2">
      <c r="A4" s="702"/>
      <c r="B4" s="708"/>
      <c r="C4" s="702"/>
      <c r="D4" s="702"/>
      <c r="E4" s="703" t="s">
        <v>454</v>
      </c>
      <c r="F4" s="713"/>
      <c r="G4" s="713"/>
      <c r="H4" s="713"/>
      <c r="I4" s="704"/>
      <c r="J4" s="705" t="s">
        <v>455</v>
      </c>
      <c r="K4" s="705"/>
      <c r="L4" s="705"/>
      <c r="M4" s="705"/>
      <c r="N4" s="705"/>
      <c r="O4" s="705"/>
      <c r="P4" s="705"/>
      <c r="Q4" s="705" t="s">
        <v>463</v>
      </c>
      <c r="R4" s="705"/>
      <c r="S4" s="705"/>
      <c r="T4" s="705" t="s">
        <v>464</v>
      </c>
      <c r="U4" s="705"/>
      <c r="V4" s="705"/>
      <c r="W4" s="705"/>
      <c r="X4" s="705"/>
      <c r="Y4" s="705"/>
      <c r="Z4" s="145" t="s">
        <v>465</v>
      </c>
    </row>
    <row r="5" spans="1:27" ht="22.5" customHeight="1" x14ac:dyDescent="0.2">
      <c r="A5" s="702"/>
      <c r="B5" s="708"/>
      <c r="C5" s="702"/>
      <c r="D5" s="702"/>
      <c r="E5" s="702" t="s">
        <v>266</v>
      </c>
      <c r="F5" s="705" t="s">
        <v>466</v>
      </c>
      <c r="G5" s="705"/>
      <c r="H5" s="714" t="s">
        <v>279</v>
      </c>
      <c r="I5" s="715"/>
      <c r="J5" s="702" t="s">
        <v>266</v>
      </c>
      <c r="K5" s="705" t="s">
        <v>278</v>
      </c>
      <c r="L5" s="705"/>
      <c r="M5" s="703" t="s">
        <v>279</v>
      </c>
      <c r="N5" s="704"/>
      <c r="O5" s="705" t="s">
        <v>280</v>
      </c>
      <c r="P5" s="705"/>
      <c r="Q5" s="702" t="s">
        <v>266</v>
      </c>
      <c r="R5" s="705" t="s">
        <v>16</v>
      </c>
      <c r="S5" s="705"/>
      <c r="T5" s="705" t="s">
        <v>266</v>
      </c>
      <c r="U5" s="702" t="s">
        <v>467</v>
      </c>
      <c r="V5" s="702"/>
      <c r="W5" s="702"/>
      <c r="X5" s="702" t="s">
        <v>279</v>
      </c>
      <c r="Y5" s="702"/>
      <c r="Z5" s="146" t="s">
        <v>468</v>
      </c>
    </row>
    <row r="6" spans="1:27" ht="34.5" customHeight="1" x14ac:dyDescent="0.2">
      <c r="A6" s="702"/>
      <c r="B6" s="709"/>
      <c r="C6" s="702"/>
      <c r="D6" s="702"/>
      <c r="E6" s="702"/>
      <c r="F6" s="113" t="s">
        <v>218</v>
      </c>
      <c r="G6" s="147" t="s">
        <v>219</v>
      </c>
      <c r="H6" s="113" t="s">
        <v>218</v>
      </c>
      <c r="I6" s="147" t="s">
        <v>219</v>
      </c>
      <c r="J6" s="702"/>
      <c r="K6" s="113" t="s">
        <v>218</v>
      </c>
      <c r="L6" s="147" t="s">
        <v>219</v>
      </c>
      <c r="M6" s="147" t="s">
        <v>218</v>
      </c>
      <c r="N6" s="147" t="s">
        <v>219</v>
      </c>
      <c r="O6" s="113" t="s">
        <v>218</v>
      </c>
      <c r="P6" s="147" t="s">
        <v>219</v>
      </c>
      <c r="Q6" s="702"/>
      <c r="R6" s="113" t="s">
        <v>469</v>
      </c>
      <c r="S6" s="147" t="s">
        <v>470</v>
      </c>
      <c r="T6" s="705"/>
      <c r="U6" s="113" t="s">
        <v>218</v>
      </c>
      <c r="V6" s="113" t="s">
        <v>471</v>
      </c>
      <c r="W6" s="147" t="s">
        <v>219</v>
      </c>
      <c r="X6" s="113" t="s">
        <v>218</v>
      </c>
      <c r="Y6" s="147" t="s">
        <v>219</v>
      </c>
      <c r="Z6" s="113" t="s">
        <v>218</v>
      </c>
    </row>
    <row r="7" spans="1:27" s="116" customFormat="1" ht="11.25" x14ac:dyDescent="0.2">
      <c r="A7" s="114">
        <v>1</v>
      </c>
      <c r="B7" s="114">
        <v>2</v>
      </c>
      <c r="C7" s="114">
        <v>3</v>
      </c>
      <c r="D7" s="115">
        <v>4</v>
      </c>
      <c r="E7" s="68">
        <v>5</v>
      </c>
      <c r="F7" s="68">
        <v>6</v>
      </c>
      <c r="G7" s="68">
        <v>7</v>
      </c>
      <c r="H7" s="68">
        <v>8</v>
      </c>
      <c r="I7" s="68">
        <v>9</v>
      </c>
      <c r="J7" s="68">
        <v>10</v>
      </c>
      <c r="K7" s="68">
        <v>11</v>
      </c>
      <c r="L7" s="68">
        <v>12</v>
      </c>
      <c r="M7" s="68">
        <v>13</v>
      </c>
      <c r="N7" s="68">
        <v>14</v>
      </c>
      <c r="O7" s="68">
        <v>15</v>
      </c>
      <c r="P7" s="68">
        <v>16</v>
      </c>
      <c r="Q7" s="68">
        <v>17</v>
      </c>
      <c r="R7" s="68">
        <v>18</v>
      </c>
      <c r="S7" s="68">
        <v>19</v>
      </c>
      <c r="T7" s="68">
        <v>20</v>
      </c>
      <c r="U7" s="68">
        <v>21</v>
      </c>
      <c r="V7" s="68">
        <v>22</v>
      </c>
      <c r="W7" s="68">
        <v>23</v>
      </c>
      <c r="X7" s="68">
        <v>24</v>
      </c>
      <c r="Y7" s="68">
        <v>25</v>
      </c>
      <c r="Z7" s="68">
        <v>26</v>
      </c>
    </row>
    <row r="8" spans="1:27" s="116" customFormat="1" x14ac:dyDescent="0.2">
      <c r="A8" s="685" t="s">
        <v>1</v>
      </c>
      <c r="B8" s="685"/>
      <c r="C8" s="685"/>
      <c r="D8" s="71">
        <f>D9+D10</f>
        <v>4010793</v>
      </c>
      <c r="E8" s="71">
        <f>SUM(F8:I8)</f>
        <v>187020</v>
      </c>
      <c r="F8" s="71">
        <f t="shared" ref="F8:I8" si="0">F9+F10</f>
        <v>101501</v>
      </c>
      <c r="G8" s="71">
        <f t="shared" si="0"/>
        <v>3865</v>
      </c>
      <c r="H8" s="71">
        <f t="shared" si="0"/>
        <v>23509</v>
      </c>
      <c r="I8" s="71">
        <f t="shared" si="0"/>
        <v>58145</v>
      </c>
      <c r="J8" s="71">
        <f>J9+J10</f>
        <v>2963951</v>
      </c>
      <c r="K8" s="71">
        <f t="shared" ref="K8:P8" si="1">K9+K10</f>
        <v>438929</v>
      </c>
      <c r="L8" s="71">
        <f t="shared" si="1"/>
        <v>78664</v>
      </c>
      <c r="M8" s="71">
        <f t="shared" si="1"/>
        <v>104897</v>
      </c>
      <c r="N8" s="71">
        <f t="shared" si="1"/>
        <v>49333</v>
      </c>
      <c r="O8" s="71">
        <f t="shared" si="1"/>
        <v>1461904</v>
      </c>
      <c r="P8" s="71">
        <f t="shared" si="1"/>
        <v>770633</v>
      </c>
      <c r="Q8" s="71">
        <f>R8+S8</f>
        <v>55667</v>
      </c>
      <c r="R8" s="71">
        <f t="shared" ref="R8:S8" si="2">R9+R10</f>
        <v>38960</v>
      </c>
      <c r="S8" s="71">
        <f t="shared" si="2"/>
        <v>16707</v>
      </c>
      <c r="T8" s="71">
        <f t="shared" ref="T8:T9" si="3">U8+W8+X8+Y8</f>
        <v>802611</v>
      </c>
      <c r="U8" s="71">
        <f t="shared" ref="U8:X8" si="4">U9+U10</f>
        <v>631379</v>
      </c>
      <c r="V8" s="71">
        <f t="shared" si="4"/>
        <v>26073</v>
      </c>
      <c r="W8" s="71">
        <f t="shared" si="4"/>
        <v>153506</v>
      </c>
      <c r="X8" s="71">
        <f t="shared" si="4"/>
        <v>11329</v>
      </c>
      <c r="Y8" s="71">
        <f>Y9+Y10</f>
        <v>6397</v>
      </c>
      <c r="Z8" s="71">
        <f>Z9+Z10</f>
        <v>1544</v>
      </c>
    </row>
    <row r="9" spans="1:27" s="116" customFormat="1" x14ac:dyDescent="0.2">
      <c r="A9" s="695" t="s">
        <v>17</v>
      </c>
      <c r="B9" s="696"/>
      <c r="C9" s="697"/>
      <c r="D9" s="71">
        <f t="shared" ref="D9:D10" si="5">E9+J9+Q9+T9+Z9</f>
        <v>63983</v>
      </c>
      <c r="E9" s="71">
        <f t="shared" ref="E9" si="6">F9+G9+H9+I9</f>
        <v>4392</v>
      </c>
      <c r="F9" s="71">
        <v>4392</v>
      </c>
      <c r="G9" s="71">
        <v>0</v>
      </c>
      <c r="H9" s="71">
        <v>0</v>
      </c>
      <c r="I9" s="71">
        <v>0</v>
      </c>
      <c r="J9" s="71">
        <f>'[11]Прот.10-21'!J9-125961+26818-166294</f>
        <v>59591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f t="shared" ref="Q9:Q10" si="7">R9+S9</f>
        <v>0</v>
      </c>
      <c r="R9" s="71">
        <v>0</v>
      </c>
      <c r="S9" s="71">
        <v>0</v>
      </c>
      <c r="T9" s="71">
        <f t="shared" si="3"/>
        <v>0</v>
      </c>
      <c r="U9" s="71">
        <v>0</v>
      </c>
      <c r="V9" s="71"/>
      <c r="W9" s="71">
        <v>0</v>
      </c>
      <c r="X9" s="71">
        <v>0</v>
      </c>
      <c r="Y9" s="71">
        <v>0</v>
      </c>
      <c r="Z9" s="71">
        <v>0</v>
      </c>
    </row>
    <row r="10" spans="1:27" s="116" customFormat="1" x14ac:dyDescent="0.2">
      <c r="A10" s="695" t="s">
        <v>18</v>
      </c>
      <c r="B10" s="696"/>
      <c r="C10" s="697"/>
      <c r="D10" s="71">
        <f t="shared" si="5"/>
        <v>3946810</v>
      </c>
      <c r="E10" s="71">
        <f>+F10+G10+H10+I10</f>
        <v>182628</v>
      </c>
      <c r="F10" s="71">
        <f t="shared" ref="F10:I10" si="8">SUM(F11:F158)</f>
        <v>97109</v>
      </c>
      <c r="G10" s="71">
        <f t="shared" si="8"/>
        <v>3865</v>
      </c>
      <c r="H10" s="71">
        <f t="shared" si="8"/>
        <v>23509</v>
      </c>
      <c r="I10" s="71">
        <f t="shared" si="8"/>
        <v>58145</v>
      </c>
      <c r="J10" s="71">
        <f>SUM(K10:P10)</f>
        <v>2904360</v>
      </c>
      <c r="K10" s="71">
        <f t="shared" ref="K10:P10" si="9">SUM(K11:K158)</f>
        <v>438929</v>
      </c>
      <c r="L10" s="71">
        <f t="shared" si="9"/>
        <v>78664</v>
      </c>
      <c r="M10" s="71">
        <f t="shared" si="9"/>
        <v>104897</v>
      </c>
      <c r="N10" s="71">
        <f t="shared" si="9"/>
        <v>49333</v>
      </c>
      <c r="O10" s="71">
        <f t="shared" si="9"/>
        <v>1461904</v>
      </c>
      <c r="P10" s="71">
        <f t="shared" si="9"/>
        <v>770633</v>
      </c>
      <c r="Q10" s="71">
        <f t="shared" si="7"/>
        <v>55667</v>
      </c>
      <c r="R10" s="71">
        <f t="shared" ref="R10:S10" si="10">SUM(R11:R158)</f>
        <v>38960</v>
      </c>
      <c r="S10" s="71">
        <f t="shared" si="10"/>
        <v>16707</v>
      </c>
      <c r="T10" s="71">
        <f>U10+W10+X10+Y10</f>
        <v>802611</v>
      </c>
      <c r="U10" s="71">
        <f t="shared" ref="U10:Y10" si="11">SUM(U11:U158)</f>
        <v>631379</v>
      </c>
      <c r="V10" s="71">
        <f t="shared" si="11"/>
        <v>26073</v>
      </c>
      <c r="W10" s="71">
        <f t="shared" si="11"/>
        <v>153506</v>
      </c>
      <c r="X10" s="71">
        <f t="shared" si="11"/>
        <v>11329</v>
      </c>
      <c r="Y10" s="71">
        <f t="shared" si="11"/>
        <v>6397</v>
      </c>
      <c r="Z10" s="71">
        <f>SUM(Z11:Z158)</f>
        <v>1544</v>
      </c>
    </row>
    <row r="11" spans="1:27" ht="12.75" x14ac:dyDescent="0.2">
      <c r="A11" s="117">
        <v>1</v>
      </c>
      <c r="B11" s="118" t="s">
        <v>19</v>
      </c>
      <c r="C11" s="119" t="s">
        <v>20</v>
      </c>
      <c r="D11" s="78">
        <f>E11+J11+Q11+T11+Z11</f>
        <v>9344</v>
      </c>
      <c r="E11" s="78">
        <f t="shared" ref="E11:E81" si="12">F11+G11+H11+I11</f>
        <v>0</v>
      </c>
      <c r="F11" s="78">
        <v>0</v>
      </c>
      <c r="G11" s="78">
        <v>0</v>
      </c>
      <c r="H11" s="78">
        <v>0</v>
      </c>
      <c r="I11" s="78">
        <v>0</v>
      </c>
      <c r="J11" s="78">
        <f t="shared" ref="J11:J81" si="13">O11+P11+N11+M11+L11+K11</f>
        <v>9344</v>
      </c>
      <c r="K11" s="78">
        <v>2562</v>
      </c>
      <c r="L11" s="78">
        <v>269</v>
      </c>
      <c r="M11" s="78">
        <v>1654</v>
      </c>
      <c r="N11" s="78">
        <v>320</v>
      </c>
      <c r="O11" s="78">
        <v>3288</v>
      </c>
      <c r="P11" s="78">
        <v>1251</v>
      </c>
      <c r="Q11" s="78">
        <f>R11+S11</f>
        <v>0</v>
      </c>
      <c r="R11" s="78">
        <v>0</v>
      </c>
      <c r="S11" s="78">
        <v>0</v>
      </c>
      <c r="T11" s="78">
        <f t="shared" ref="T11:T81" si="14">U11+W11+X11+Y11</f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8">
        <v>0</v>
      </c>
      <c r="AA11" s="63"/>
    </row>
    <row r="12" spans="1:27" ht="12.75" x14ac:dyDescent="0.2">
      <c r="A12" s="117">
        <v>2</v>
      </c>
      <c r="B12" s="120" t="s">
        <v>21</v>
      </c>
      <c r="C12" s="119" t="s">
        <v>456</v>
      </c>
      <c r="D12" s="78">
        <f t="shared" ref="D12:D82" si="15">E12+J12+Q12+T12+Z12</f>
        <v>18240</v>
      </c>
      <c r="E12" s="78">
        <f t="shared" si="12"/>
        <v>0</v>
      </c>
      <c r="F12" s="78">
        <v>0</v>
      </c>
      <c r="G12" s="78">
        <v>0</v>
      </c>
      <c r="H12" s="78">
        <v>0</v>
      </c>
      <c r="I12" s="78">
        <v>0</v>
      </c>
      <c r="J12" s="78">
        <f t="shared" si="13"/>
        <v>16776</v>
      </c>
      <c r="K12" s="78">
        <v>1450</v>
      </c>
      <c r="L12" s="78">
        <v>65</v>
      </c>
      <c r="M12" s="78">
        <v>3800</v>
      </c>
      <c r="N12" s="78">
        <v>850</v>
      </c>
      <c r="O12" s="78">
        <v>8145</v>
      </c>
      <c r="P12" s="78">
        <v>2466</v>
      </c>
      <c r="Q12" s="78">
        <f>R12+S12</f>
        <v>1464</v>
      </c>
      <c r="R12" s="78">
        <v>1025</v>
      </c>
      <c r="S12" s="78">
        <v>439</v>
      </c>
      <c r="T12" s="78">
        <f t="shared" si="14"/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8">
        <v>0</v>
      </c>
      <c r="AA12" s="63"/>
    </row>
    <row r="13" spans="1:27" ht="12.75" x14ac:dyDescent="0.2">
      <c r="A13" s="117">
        <v>3</v>
      </c>
      <c r="B13" s="121" t="s">
        <v>22</v>
      </c>
      <c r="C13" s="122" t="s">
        <v>23</v>
      </c>
      <c r="D13" s="78">
        <f t="shared" si="15"/>
        <v>25170</v>
      </c>
      <c r="E13" s="78">
        <f t="shared" si="12"/>
        <v>0</v>
      </c>
      <c r="F13" s="78">
        <v>0</v>
      </c>
      <c r="G13" s="78">
        <v>0</v>
      </c>
      <c r="H13" s="78">
        <v>0</v>
      </c>
      <c r="I13" s="78">
        <v>0</v>
      </c>
      <c r="J13" s="78">
        <f t="shared" si="13"/>
        <v>23706</v>
      </c>
      <c r="K13" s="78">
        <v>1110</v>
      </c>
      <c r="L13" s="78">
        <v>584</v>
      </c>
      <c r="M13" s="78">
        <v>0</v>
      </c>
      <c r="N13" s="78">
        <v>0</v>
      </c>
      <c r="O13" s="78">
        <v>12018</v>
      </c>
      <c r="P13" s="78">
        <v>9994</v>
      </c>
      <c r="Q13" s="78">
        <f t="shared" ref="Q13:Q83" si="16">R13+S13</f>
        <v>1464</v>
      </c>
      <c r="R13" s="78">
        <v>1025</v>
      </c>
      <c r="S13" s="78">
        <v>439</v>
      </c>
      <c r="T13" s="78">
        <f t="shared" si="14"/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8">
        <v>0</v>
      </c>
      <c r="AA13" s="63"/>
    </row>
    <row r="14" spans="1:27" ht="12.75" x14ac:dyDescent="0.2">
      <c r="A14" s="117">
        <v>4</v>
      </c>
      <c r="B14" s="118" t="s">
        <v>24</v>
      </c>
      <c r="C14" s="119" t="s">
        <v>368</v>
      </c>
      <c r="D14" s="78">
        <f t="shared" si="15"/>
        <v>18017</v>
      </c>
      <c r="E14" s="78">
        <f t="shared" si="12"/>
        <v>0</v>
      </c>
      <c r="F14" s="78">
        <v>0</v>
      </c>
      <c r="G14" s="78">
        <v>0</v>
      </c>
      <c r="H14" s="78">
        <v>0</v>
      </c>
      <c r="I14" s="78">
        <v>0</v>
      </c>
      <c r="J14" s="78">
        <f t="shared" si="13"/>
        <v>18017</v>
      </c>
      <c r="K14" s="78">
        <v>2901</v>
      </c>
      <c r="L14" s="78">
        <v>950</v>
      </c>
      <c r="M14" s="78">
        <v>767</v>
      </c>
      <c r="N14" s="78">
        <v>433</v>
      </c>
      <c r="O14" s="78">
        <v>10356</v>
      </c>
      <c r="P14" s="78">
        <v>2610</v>
      </c>
      <c r="Q14" s="78">
        <f t="shared" si="16"/>
        <v>0</v>
      </c>
      <c r="R14" s="78">
        <v>0</v>
      </c>
      <c r="S14" s="78">
        <v>0</v>
      </c>
      <c r="T14" s="78">
        <f t="shared" si="14"/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8">
        <v>0</v>
      </c>
      <c r="AA14" s="63"/>
    </row>
    <row r="15" spans="1:27" ht="14.25" customHeight="1" x14ac:dyDescent="0.2">
      <c r="A15" s="117">
        <v>5</v>
      </c>
      <c r="B15" s="118" t="s">
        <v>25</v>
      </c>
      <c r="C15" s="119" t="s">
        <v>26</v>
      </c>
      <c r="D15" s="78">
        <f t="shared" si="15"/>
        <v>16124</v>
      </c>
      <c r="E15" s="78">
        <f t="shared" si="12"/>
        <v>0</v>
      </c>
      <c r="F15" s="78">
        <v>0</v>
      </c>
      <c r="G15" s="78">
        <v>0</v>
      </c>
      <c r="H15" s="78">
        <v>0</v>
      </c>
      <c r="I15" s="78">
        <v>0</v>
      </c>
      <c r="J15" s="78">
        <f t="shared" si="13"/>
        <v>16124</v>
      </c>
      <c r="K15" s="78">
        <v>1870</v>
      </c>
      <c r="L15" s="78">
        <v>890</v>
      </c>
      <c r="M15" s="78">
        <v>1786</v>
      </c>
      <c r="N15" s="78">
        <v>1245</v>
      </c>
      <c r="O15" s="78">
        <v>7804</v>
      </c>
      <c r="P15" s="78">
        <v>2529</v>
      </c>
      <c r="Q15" s="78">
        <f t="shared" si="16"/>
        <v>0</v>
      </c>
      <c r="R15" s="78">
        <v>0</v>
      </c>
      <c r="S15" s="78">
        <v>0</v>
      </c>
      <c r="T15" s="78">
        <f t="shared" si="14"/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8">
        <v>0</v>
      </c>
      <c r="AA15" s="63"/>
    </row>
    <row r="16" spans="1:27" ht="12.75" x14ac:dyDescent="0.2">
      <c r="A16" s="117">
        <v>6</v>
      </c>
      <c r="B16" s="121" t="s">
        <v>4</v>
      </c>
      <c r="C16" s="122" t="s">
        <v>27</v>
      </c>
      <c r="D16" s="78">
        <f t="shared" si="15"/>
        <v>121282</v>
      </c>
      <c r="E16" s="78">
        <f t="shared" si="12"/>
        <v>0</v>
      </c>
      <c r="F16" s="78">
        <v>0</v>
      </c>
      <c r="G16" s="78">
        <v>0</v>
      </c>
      <c r="H16" s="78">
        <v>0</v>
      </c>
      <c r="I16" s="78">
        <v>0</v>
      </c>
      <c r="J16" s="78">
        <f t="shared" si="13"/>
        <v>119818</v>
      </c>
      <c r="K16" s="78">
        <v>17911</v>
      </c>
      <c r="L16" s="78">
        <v>5716</v>
      </c>
      <c r="M16" s="78">
        <v>3501</v>
      </c>
      <c r="N16" s="78">
        <v>3672</v>
      </c>
      <c r="O16" s="78">
        <v>51253</v>
      </c>
      <c r="P16" s="78">
        <v>37765</v>
      </c>
      <c r="Q16" s="78">
        <f t="shared" si="16"/>
        <v>1464</v>
      </c>
      <c r="R16" s="78">
        <v>1025</v>
      </c>
      <c r="S16" s="78">
        <v>439</v>
      </c>
      <c r="T16" s="78">
        <f t="shared" si="14"/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8">
        <v>0</v>
      </c>
      <c r="AA16" s="63"/>
    </row>
    <row r="17" spans="1:27" ht="12.75" x14ac:dyDescent="0.2">
      <c r="A17" s="117">
        <v>7</v>
      </c>
      <c r="B17" s="123" t="s">
        <v>28</v>
      </c>
      <c r="C17" s="124" t="s">
        <v>369</v>
      </c>
      <c r="D17" s="78">
        <f t="shared" si="15"/>
        <v>50673</v>
      </c>
      <c r="E17" s="78">
        <f t="shared" si="12"/>
        <v>0</v>
      </c>
      <c r="F17" s="78">
        <v>0</v>
      </c>
      <c r="G17" s="78">
        <v>0</v>
      </c>
      <c r="H17" s="78">
        <v>0</v>
      </c>
      <c r="I17" s="78">
        <v>0</v>
      </c>
      <c r="J17" s="78">
        <f t="shared" si="13"/>
        <v>47514</v>
      </c>
      <c r="K17" s="78">
        <v>2632</v>
      </c>
      <c r="L17" s="78">
        <v>985</v>
      </c>
      <c r="M17" s="78">
        <v>3334</v>
      </c>
      <c r="N17" s="78">
        <v>584</v>
      </c>
      <c r="O17" s="78">
        <v>26323</v>
      </c>
      <c r="P17" s="78">
        <v>13656</v>
      </c>
      <c r="Q17" s="78">
        <f t="shared" si="16"/>
        <v>1327</v>
      </c>
      <c r="R17" s="78">
        <v>888</v>
      </c>
      <c r="S17" s="78">
        <v>439</v>
      </c>
      <c r="T17" s="78">
        <f t="shared" si="14"/>
        <v>1832</v>
      </c>
      <c r="U17" s="78">
        <v>1832</v>
      </c>
      <c r="V17" s="78">
        <v>1681</v>
      </c>
      <c r="W17" s="78">
        <v>0</v>
      </c>
      <c r="X17" s="78">
        <v>0</v>
      </c>
      <c r="Y17" s="78">
        <v>0</v>
      </c>
      <c r="Z17" s="78">
        <v>0</v>
      </c>
      <c r="AA17" s="63"/>
    </row>
    <row r="18" spans="1:27" ht="12.75" x14ac:dyDescent="0.2">
      <c r="A18" s="117">
        <v>8</v>
      </c>
      <c r="B18" s="121" t="s">
        <v>29</v>
      </c>
      <c r="C18" s="122" t="s">
        <v>30</v>
      </c>
      <c r="D18" s="78">
        <f t="shared" si="15"/>
        <v>16516</v>
      </c>
      <c r="E18" s="78">
        <f t="shared" si="12"/>
        <v>0</v>
      </c>
      <c r="F18" s="78">
        <v>0</v>
      </c>
      <c r="G18" s="78">
        <v>0</v>
      </c>
      <c r="H18" s="78">
        <v>0</v>
      </c>
      <c r="I18" s="78">
        <v>0</v>
      </c>
      <c r="J18" s="78">
        <f t="shared" si="13"/>
        <v>16516</v>
      </c>
      <c r="K18" s="78">
        <v>1820</v>
      </c>
      <c r="L18" s="78">
        <v>310</v>
      </c>
      <c r="M18" s="78">
        <v>2736</v>
      </c>
      <c r="N18" s="78">
        <v>2055</v>
      </c>
      <c r="O18" s="78">
        <v>5380</v>
      </c>
      <c r="P18" s="78">
        <v>4215</v>
      </c>
      <c r="Q18" s="78">
        <f t="shared" si="16"/>
        <v>0</v>
      </c>
      <c r="R18" s="78">
        <v>0</v>
      </c>
      <c r="S18" s="78">
        <v>0</v>
      </c>
      <c r="T18" s="78">
        <f t="shared" si="14"/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8">
        <v>0</v>
      </c>
      <c r="AA18" s="63"/>
    </row>
    <row r="19" spans="1:27" ht="12.75" x14ac:dyDescent="0.2">
      <c r="A19" s="117">
        <v>9</v>
      </c>
      <c r="B19" s="121" t="s">
        <v>31</v>
      </c>
      <c r="C19" s="122" t="s">
        <v>32</v>
      </c>
      <c r="D19" s="78">
        <f t="shared" si="15"/>
        <v>24045</v>
      </c>
      <c r="E19" s="78">
        <f t="shared" si="12"/>
        <v>0</v>
      </c>
      <c r="F19" s="78">
        <v>0</v>
      </c>
      <c r="G19" s="78">
        <v>0</v>
      </c>
      <c r="H19" s="78">
        <v>0</v>
      </c>
      <c r="I19" s="78">
        <v>0</v>
      </c>
      <c r="J19" s="78">
        <f t="shared" si="13"/>
        <v>22781</v>
      </c>
      <c r="K19" s="78">
        <v>3560</v>
      </c>
      <c r="L19" s="78">
        <v>1233</v>
      </c>
      <c r="M19" s="78">
        <v>1060</v>
      </c>
      <c r="N19" s="78">
        <v>307</v>
      </c>
      <c r="O19" s="78">
        <v>10260</v>
      </c>
      <c r="P19" s="78">
        <v>6361</v>
      </c>
      <c r="Q19" s="78">
        <f t="shared" si="16"/>
        <v>1264</v>
      </c>
      <c r="R19" s="78">
        <v>825</v>
      </c>
      <c r="S19" s="78">
        <v>439</v>
      </c>
      <c r="T19" s="78">
        <f t="shared" si="14"/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8">
        <v>0</v>
      </c>
      <c r="AA19" s="63"/>
    </row>
    <row r="20" spans="1:27" ht="12.75" x14ac:dyDescent="0.2">
      <c r="A20" s="117">
        <v>10</v>
      </c>
      <c r="B20" s="121" t="s">
        <v>33</v>
      </c>
      <c r="C20" s="122" t="s">
        <v>34</v>
      </c>
      <c r="D20" s="78">
        <f t="shared" si="15"/>
        <v>21065</v>
      </c>
      <c r="E20" s="78">
        <f t="shared" si="12"/>
        <v>0</v>
      </c>
      <c r="F20" s="78">
        <v>0</v>
      </c>
      <c r="G20" s="78">
        <v>0</v>
      </c>
      <c r="H20" s="78">
        <v>0</v>
      </c>
      <c r="I20" s="78">
        <v>0</v>
      </c>
      <c r="J20" s="78">
        <f t="shared" si="13"/>
        <v>21065</v>
      </c>
      <c r="K20" s="78">
        <v>6249</v>
      </c>
      <c r="L20" s="78">
        <v>0</v>
      </c>
      <c r="M20" s="78">
        <v>1320</v>
      </c>
      <c r="N20" s="78">
        <v>955</v>
      </c>
      <c r="O20" s="78">
        <v>11038</v>
      </c>
      <c r="P20" s="78">
        <v>1503</v>
      </c>
      <c r="Q20" s="78">
        <f t="shared" si="16"/>
        <v>0</v>
      </c>
      <c r="R20" s="78">
        <v>0</v>
      </c>
      <c r="S20" s="78">
        <v>0</v>
      </c>
      <c r="T20" s="78">
        <f t="shared" si="14"/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8">
        <v>0</v>
      </c>
      <c r="AA20" s="63"/>
    </row>
    <row r="21" spans="1:27" ht="12.75" x14ac:dyDescent="0.2">
      <c r="A21" s="117">
        <v>11</v>
      </c>
      <c r="B21" s="121" t="s">
        <v>35</v>
      </c>
      <c r="C21" s="122" t="s">
        <v>36</v>
      </c>
      <c r="D21" s="78">
        <f t="shared" si="15"/>
        <v>14005</v>
      </c>
      <c r="E21" s="78">
        <f t="shared" si="12"/>
        <v>0</v>
      </c>
      <c r="F21" s="78">
        <v>0</v>
      </c>
      <c r="G21" s="78">
        <v>0</v>
      </c>
      <c r="H21" s="78">
        <v>0</v>
      </c>
      <c r="I21" s="78">
        <v>0</v>
      </c>
      <c r="J21" s="78">
        <f t="shared" si="13"/>
        <v>14005</v>
      </c>
      <c r="K21" s="78">
        <v>1124</v>
      </c>
      <c r="L21" s="78">
        <v>424</v>
      </c>
      <c r="M21" s="78">
        <v>1807</v>
      </c>
      <c r="N21" s="78">
        <v>68</v>
      </c>
      <c r="O21" s="78">
        <v>6263</v>
      </c>
      <c r="P21" s="78">
        <v>4319</v>
      </c>
      <c r="Q21" s="78">
        <f t="shared" si="16"/>
        <v>0</v>
      </c>
      <c r="R21" s="78">
        <v>0</v>
      </c>
      <c r="S21" s="78">
        <v>0</v>
      </c>
      <c r="T21" s="78">
        <f t="shared" si="14"/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8">
        <v>0</v>
      </c>
      <c r="AA21" s="63"/>
    </row>
    <row r="22" spans="1:27" ht="12.75" x14ac:dyDescent="0.2">
      <c r="A22" s="117">
        <v>12</v>
      </c>
      <c r="B22" s="121" t="s">
        <v>37</v>
      </c>
      <c r="C22" s="122" t="s">
        <v>38</v>
      </c>
      <c r="D22" s="78">
        <f t="shared" si="15"/>
        <v>28961</v>
      </c>
      <c r="E22" s="78">
        <f t="shared" si="12"/>
        <v>0</v>
      </c>
      <c r="F22" s="78">
        <v>0</v>
      </c>
      <c r="G22" s="78">
        <v>0</v>
      </c>
      <c r="H22" s="78">
        <v>0</v>
      </c>
      <c r="I22" s="78">
        <v>0</v>
      </c>
      <c r="J22" s="78">
        <f t="shared" si="13"/>
        <v>27497</v>
      </c>
      <c r="K22" s="78">
        <v>11080</v>
      </c>
      <c r="L22" s="78">
        <v>850</v>
      </c>
      <c r="M22" s="78">
        <v>450</v>
      </c>
      <c r="N22" s="78">
        <v>300</v>
      </c>
      <c r="O22" s="78">
        <v>12255</v>
      </c>
      <c r="P22" s="78">
        <v>2562</v>
      </c>
      <c r="Q22" s="78">
        <f t="shared" si="16"/>
        <v>1464</v>
      </c>
      <c r="R22" s="78">
        <v>1025</v>
      </c>
      <c r="S22" s="78">
        <v>439</v>
      </c>
      <c r="T22" s="78">
        <f t="shared" si="14"/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8">
        <v>0</v>
      </c>
      <c r="AA22" s="63"/>
    </row>
    <row r="23" spans="1:27" x14ac:dyDescent="0.2">
      <c r="A23" s="117">
        <v>13</v>
      </c>
      <c r="B23" s="85" t="s">
        <v>166</v>
      </c>
      <c r="C23" s="86" t="s">
        <v>370</v>
      </c>
      <c r="D23" s="78">
        <f t="shared" si="15"/>
        <v>0</v>
      </c>
      <c r="E23" s="78">
        <f t="shared" si="12"/>
        <v>0</v>
      </c>
      <c r="F23" s="78">
        <v>0</v>
      </c>
      <c r="G23" s="78">
        <v>0</v>
      </c>
      <c r="H23" s="78">
        <v>0</v>
      </c>
      <c r="I23" s="78">
        <v>0</v>
      </c>
      <c r="J23" s="78">
        <f t="shared" si="13"/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f t="shared" si="16"/>
        <v>0</v>
      </c>
      <c r="R23" s="78">
        <v>0</v>
      </c>
      <c r="S23" s="78">
        <v>0</v>
      </c>
      <c r="T23" s="78">
        <f t="shared" si="14"/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8">
        <v>0</v>
      </c>
      <c r="AA23" s="63"/>
    </row>
    <row r="24" spans="1:27" x14ac:dyDescent="0.2">
      <c r="A24" s="117">
        <v>14</v>
      </c>
      <c r="B24" s="85" t="s">
        <v>167</v>
      </c>
      <c r="C24" s="82" t="s">
        <v>371</v>
      </c>
      <c r="D24" s="78">
        <f t="shared" si="15"/>
        <v>0</v>
      </c>
      <c r="E24" s="78">
        <f t="shared" si="12"/>
        <v>0</v>
      </c>
      <c r="F24" s="78">
        <v>0</v>
      </c>
      <c r="G24" s="78">
        <v>0</v>
      </c>
      <c r="H24" s="78">
        <v>0</v>
      </c>
      <c r="I24" s="78">
        <v>0</v>
      </c>
      <c r="J24" s="78">
        <f t="shared" si="13"/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f t="shared" si="16"/>
        <v>0</v>
      </c>
      <c r="R24" s="78">
        <v>0</v>
      </c>
      <c r="S24" s="78">
        <v>0</v>
      </c>
      <c r="T24" s="78">
        <f t="shared" si="14"/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8">
        <v>0</v>
      </c>
      <c r="AA24" s="63"/>
    </row>
    <row r="25" spans="1:27" ht="12.75" x14ac:dyDescent="0.2">
      <c r="A25" s="117">
        <v>15</v>
      </c>
      <c r="B25" s="121" t="s">
        <v>39</v>
      </c>
      <c r="C25" s="122" t="s">
        <v>40</v>
      </c>
      <c r="D25" s="78">
        <f t="shared" si="15"/>
        <v>14942</v>
      </c>
      <c r="E25" s="78">
        <f t="shared" si="12"/>
        <v>0</v>
      </c>
      <c r="F25" s="78">
        <v>0</v>
      </c>
      <c r="G25" s="78">
        <v>0</v>
      </c>
      <c r="H25" s="78">
        <v>0</v>
      </c>
      <c r="I25" s="78">
        <v>0</v>
      </c>
      <c r="J25" s="78">
        <f t="shared" si="13"/>
        <v>14942</v>
      </c>
      <c r="K25" s="78">
        <v>1334</v>
      </c>
      <c r="L25" s="78">
        <v>1792</v>
      </c>
      <c r="M25" s="78">
        <v>0</v>
      </c>
      <c r="N25" s="78">
        <v>0</v>
      </c>
      <c r="O25" s="78">
        <v>4917</v>
      </c>
      <c r="P25" s="78">
        <v>6899</v>
      </c>
      <c r="Q25" s="78">
        <f t="shared" si="16"/>
        <v>0</v>
      </c>
      <c r="R25" s="78">
        <v>0</v>
      </c>
      <c r="S25" s="78">
        <v>0</v>
      </c>
      <c r="T25" s="78">
        <f t="shared" si="14"/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8">
        <v>0</v>
      </c>
      <c r="AA25" s="63"/>
    </row>
    <row r="26" spans="1:27" ht="12.75" x14ac:dyDescent="0.2">
      <c r="A26" s="117">
        <v>16</v>
      </c>
      <c r="B26" s="121" t="s">
        <v>41</v>
      </c>
      <c r="C26" s="122" t="s">
        <v>42</v>
      </c>
      <c r="D26" s="78">
        <f t="shared" si="15"/>
        <v>22673</v>
      </c>
      <c r="E26" s="78">
        <f t="shared" si="12"/>
        <v>0</v>
      </c>
      <c r="F26" s="78">
        <v>0</v>
      </c>
      <c r="G26" s="78">
        <v>0</v>
      </c>
      <c r="H26" s="78">
        <v>0</v>
      </c>
      <c r="I26" s="78">
        <v>0</v>
      </c>
      <c r="J26" s="78">
        <f t="shared" si="13"/>
        <v>21328</v>
      </c>
      <c r="K26" s="78">
        <v>1848</v>
      </c>
      <c r="L26" s="78">
        <v>110</v>
      </c>
      <c r="M26" s="78">
        <v>4706</v>
      </c>
      <c r="N26" s="78">
        <v>386</v>
      </c>
      <c r="O26" s="78">
        <v>6564</v>
      </c>
      <c r="P26" s="78">
        <v>7714</v>
      </c>
      <c r="Q26" s="78">
        <f t="shared" si="16"/>
        <v>1345</v>
      </c>
      <c r="R26" s="78">
        <v>906</v>
      </c>
      <c r="S26" s="78">
        <v>439</v>
      </c>
      <c r="T26" s="78">
        <f t="shared" si="14"/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8">
        <v>0</v>
      </c>
      <c r="AA26" s="63"/>
    </row>
    <row r="27" spans="1:27" ht="12.75" x14ac:dyDescent="0.2">
      <c r="A27" s="117">
        <v>17</v>
      </c>
      <c r="B27" s="121" t="s">
        <v>43</v>
      </c>
      <c r="C27" s="122" t="s">
        <v>372</v>
      </c>
      <c r="D27" s="78">
        <f t="shared" si="15"/>
        <v>42766</v>
      </c>
      <c r="E27" s="78">
        <f t="shared" si="12"/>
        <v>0</v>
      </c>
      <c r="F27" s="78">
        <v>0</v>
      </c>
      <c r="G27" s="78">
        <v>0</v>
      </c>
      <c r="H27" s="78">
        <v>0</v>
      </c>
      <c r="I27" s="78">
        <v>0</v>
      </c>
      <c r="J27" s="78">
        <f t="shared" si="13"/>
        <v>42766</v>
      </c>
      <c r="K27" s="78">
        <v>5604</v>
      </c>
      <c r="L27" s="78">
        <v>350</v>
      </c>
      <c r="M27" s="78">
        <v>1897</v>
      </c>
      <c r="N27" s="78">
        <v>513</v>
      </c>
      <c r="O27" s="78">
        <v>15892</v>
      </c>
      <c r="P27" s="78">
        <v>18510</v>
      </c>
      <c r="Q27" s="78">
        <f t="shared" si="16"/>
        <v>0</v>
      </c>
      <c r="R27" s="78">
        <v>0</v>
      </c>
      <c r="S27" s="78">
        <v>0</v>
      </c>
      <c r="T27" s="78">
        <f t="shared" si="14"/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8">
        <v>0</v>
      </c>
      <c r="AA27" s="63"/>
    </row>
    <row r="28" spans="1:27" ht="12.75" x14ac:dyDescent="0.2">
      <c r="A28" s="117">
        <v>18</v>
      </c>
      <c r="B28" s="121" t="s">
        <v>44</v>
      </c>
      <c r="C28" s="122" t="s">
        <v>45</v>
      </c>
      <c r="D28" s="78">
        <f t="shared" si="15"/>
        <v>69801</v>
      </c>
      <c r="E28" s="78">
        <f t="shared" si="12"/>
        <v>0</v>
      </c>
      <c r="F28" s="78">
        <v>0</v>
      </c>
      <c r="G28" s="78">
        <v>0</v>
      </c>
      <c r="H28" s="78">
        <v>0</v>
      </c>
      <c r="I28" s="78">
        <v>0</v>
      </c>
      <c r="J28" s="78">
        <f t="shared" si="13"/>
        <v>68337</v>
      </c>
      <c r="K28" s="78">
        <v>20090</v>
      </c>
      <c r="L28" s="78">
        <v>6040</v>
      </c>
      <c r="M28" s="78">
        <v>2995</v>
      </c>
      <c r="N28" s="78">
        <v>749</v>
      </c>
      <c r="O28" s="78">
        <v>21893</v>
      </c>
      <c r="P28" s="78">
        <v>16570</v>
      </c>
      <c r="Q28" s="78">
        <f t="shared" si="16"/>
        <v>1464</v>
      </c>
      <c r="R28" s="78">
        <v>1025</v>
      </c>
      <c r="S28" s="78">
        <v>439</v>
      </c>
      <c r="T28" s="78">
        <f t="shared" si="14"/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8">
        <v>0</v>
      </c>
      <c r="AA28" s="63"/>
    </row>
    <row r="29" spans="1:27" ht="12.75" x14ac:dyDescent="0.2">
      <c r="A29" s="117">
        <v>19</v>
      </c>
      <c r="B29" s="118" t="s">
        <v>46</v>
      </c>
      <c r="C29" s="119" t="s">
        <v>47</v>
      </c>
      <c r="D29" s="78">
        <f t="shared" si="15"/>
        <v>10153</v>
      </c>
      <c r="E29" s="78">
        <f t="shared" si="12"/>
        <v>0</v>
      </c>
      <c r="F29" s="78">
        <v>0</v>
      </c>
      <c r="G29" s="78">
        <v>0</v>
      </c>
      <c r="H29" s="78">
        <v>0</v>
      </c>
      <c r="I29" s="78">
        <v>0</v>
      </c>
      <c r="J29" s="78">
        <f t="shared" si="13"/>
        <v>10153</v>
      </c>
      <c r="K29" s="78">
        <v>2115</v>
      </c>
      <c r="L29" s="78">
        <v>150</v>
      </c>
      <c r="M29" s="78">
        <v>131</v>
      </c>
      <c r="N29" s="78">
        <v>35</v>
      </c>
      <c r="O29" s="78">
        <v>3296</v>
      </c>
      <c r="P29" s="78">
        <v>4426</v>
      </c>
      <c r="Q29" s="78">
        <f t="shared" si="16"/>
        <v>0</v>
      </c>
      <c r="R29" s="78">
        <v>0</v>
      </c>
      <c r="S29" s="78">
        <v>0</v>
      </c>
      <c r="T29" s="78">
        <f t="shared" si="14"/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8">
        <v>0</v>
      </c>
      <c r="AA29" s="63"/>
    </row>
    <row r="30" spans="1:27" ht="12.75" x14ac:dyDescent="0.2">
      <c r="A30" s="117">
        <v>20</v>
      </c>
      <c r="B30" s="118" t="s">
        <v>48</v>
      </c>
      <c r="C30" s="119" t="s">
        <v>373</v>
      </c>
      <c r="D30" s="78">
        <f t="shared" si="15"/>
        <v>7457</v>
      </c>
      <c r="E30" s="78">
        <f t="shared" si="12"/>
        <v>0</v>
      </c>
      <c r="F30" s="78">
        <v>0</v>
      </c>
      <c r="G30" s="78">
        <v>0</v>
      </c>
      <c r="H30" s="78">
        <v>0</v>
      </c>
      <c r="I30" s="78">
        <v>0</v>
      </c>
      <c r="J30" s="78">
        <f t="shared" si="13"/>
        <v>7457</v>
      </c>
      <c r="K30" s="78">
        <v>2606</v>
      </c>
      <c r="L30" s="78">
        <v>155</v>
      </c>
      <c r="M30" s="78">
        <v>0</v>
      </c>
      <c r="N30" s="78">
        <v>0</v>
      </c>
      <c r="O30" s="78">
        <v>3917</v>
      </c>
      <c r="P30" s="78">
        <v>779</v>
      </c>
      <c r="Q30" s="78">
        <f t="shared" si="16"/>
        <v>0</v>
      </c>
      <c r="R30" s="78">
        <v>0</v>
      </c>
      <c r="S30" s="78">
        <v>0</v>
      </c>
      <c r="T30" s="78">
        <f t="shared" si="14"/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8">
        <v>0</v>
      </c>
      <c r="AA30" s="63"/>
    </row>
    <row r="31" spans="1:27" ht="12.75" x14ac:dyDescent="0.2">
      <c r="A31" s="117">
        <v>21</v>
      </c>
      <c r="B31" s="118" t="s">
        <v>49</v>
      </c>
      <c r="C31" s="119" t="s">
        <v>50</v>
      </c>
      <c r="D31" s="78">
        <f t="shared" si="15"/>
        <v>54515</v>
      </c>
      <c r="E31" s="78">
        <f t="shared" si="12"/>
        <v>0</v>
      </c>
      <c r="F31" s="78">
        <v>0</v>
      </c>
      <c r="G31" s="78">
        <v>0</v>
      </c>
      <c r="H31" s="78">
        <v>0</v>
      </c>
      <c r="I31" s="78">
        <v>0</v>
      </c>
      <c r="J31" s="78">
        <f t="shared" si="13"/>
        <v>53051</v>
      </c>
      <c r="K31" s="78">
        <v>4615</v>
      </c>
      <c r="L31" s="78">
        <v>2560</v>
      </c>
      <c r="M31" s="78">
        <v>1337</v>
      </c>
      <c r="N31" s="78">
        <v>952</v>
      </c>
      <c r="O31" s="78">
        <v>32887</v>
      </c>
      <c r="P31" s="78">
        <v>10700</v>
      </c>
      <c r="Q31" s="78">
        <f t="shared" si="16"/>
        <v>1464</v>
      </c>
      <c r="R31" s="78">
        <v>1025</v>
      </c>
      <c r="S31" s="78">
        <v>439</v>
      </c>
      <c r="T31" s="78">
        <f t="shared" si="14"/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8">
        <v>0</v>
      </c>
      <c r="AA31" s="63"/>
    </row>
    <row r="32" spans="1:27" ht="12.75" x14ac:dyDescent="0.2">
      <c r="A32" s="117">
        <v>22</v>
      </c>
      <c r="B32" s="118" t="s">
        <v>51</v>
      </c>
      <c r="C32" s="119" t="s">
        <v>52</v>
      </c>
      <c r="D32" s="78">
        <f t="shared" si="15"/>
        <v>56302</v>
      </c>
      <c r="E32" s="78">
        <f t="shared" si="12"/>
        <v>0</v>
      </c>
      <c r="F32" s="78">
        <v>0</v>
      </c>
      <c r="G32" s="78">
        <v>0</v>
      </c>
      <c r="H32" s="78">
        <v>0</v>
      </c>
      <c r="I32" s="78">
        <v>0</v>
      </c>
      <c r="J32" s="78">
        <f t="shared" si="13"/>
        <v>54838</v>
      </c>
      <c r="K32" s="78">
        <v>6192</v>
      </c>
      <c r="L32" s="78">
        <v>1383</v>
      </c>
      <c r="M32" s="78">
        <v>2728</v>
      </c>
      <c r="N32" s="78">
        <v>1973</v>
      </c>
      <c r="O32" s="78">
        <v>28161</v>
      </c>
      <c r="P32" s="78">
        <v>14401</v>
      </c>
      <c r="Q32" s="78">
        <f t="shared" si="16"/>
        <v>1464</v>
      </c>
      <c r="R32" s="78">
        <v>1025</v>
      </c>
      <c r="S32" s="78">
        <v>439</v>
      </c>
      <c r="T32" s="78">
        <f t="shared" si="14"/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8">
        <v>0</v>
      </c>
      <c r="AA32" s="63"/>
    </row>
    <row r="33" spans="1:27" ht="13.5" customHeight="1" x14ac:dyDescent="0.2">
      <c r="A33" s="117">
        <v>23</v>
      </c>
      <c r="B33" s="121" t="s">
        <v>53</v>
      </c>
      <c r="C33" s="122" t="s">
        <v>374</v>
      </c>
      <c r="D33" s="78">
        <f t="shared" si="15"/>
        <v>15948</v>
      </c>
      <c r="E33" s="78">
        <f t="shared" si="12"/>
        <v>0</v>
      </c>
      <c r="F33" s="78">
        <v>0</v>
      </c>
      <c r="G33" s="78">
        <v>0</v>
      </c>
      <c r="H33" s="78">
        <v>0</v>
      </c>
      <c r="I33" s="78">
        <v>0</v>
      </c>
      <c r="J33" s="78">
        <f t="shared" si="13"/>
        <v>15948</v>
      </c>
      <c r="K33" s="78">
        <v>3297</v>
      </c>
      <c r="L33" s="78">
        <v>370</v>
      </c>
      <c r="M33" s="78">
        <v>2415</v>
      </c>
      <c r="N33" s="78">
        <v>1747</v>
      </c>
      <c r="O33" s="78">
        <v>6213</v>
      </c>
      <c r="P33" s="78">
        <v>1906</v>
      </c>
      <c r="Q33" s="78">
        <f t="shared" si="16"/>
        <v>0</v>
      </c>
      <c r="R33" s="78">
        <v>0</v>
      </c>
      <c r="S33" s="78">
        <v>0</v>
      </c>
      <c r="T33" s="78">
        <f t="shared" si="14"/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8">
        <v>0</v>
      </c>
      <c r="AA33" s="63"/>
    </row>
    <row r="34" spans="1:27" ht="13.5" customHeight="1" x14ac:dyDescent="0.2">
      <c r="A34" s="117">
        <v>24</v>
      </c>
      <c r="B34" s="97" t="s">
        <v>316</v>
      </c>
      <c r="C34" s="86" t="s">
        <v>375</v>
      </c>
      <c r="D34" s="78">
        <f t="shared" si="15"/>
        <v>0</v>
      </c>
      <c r="E34" s="78">
        <f t="shared" si="12"/>
        <v>0</v>
      </c>
      <c r="F34" s="78">
        <v>0</v>
      </c>
      <c r="G34" s="78">
        <v>0</v>
      </c>
      <c r="H34" s="78">
        <v>0</v>
      </c>
      <c r="I34" s="78">
        <v>0</v>
      </c>
      <c r="J34" s="78">
        <f t="shared" si="13"/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f t="shared" si="16"/>
        <v>0</v>
      </c>
      <c r="R34" s="78">
        <v>0</v>
      </c>
      <c r="S34" s="78">
        <v>0</v>
      </c>
      <c r="T34" s="78">
        <f t="shared" si="14"/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8">
        <v>0</v>
      </c>
      <c r="AA34" s="63"/>
    </row>
    <row r="35" spans="1:27" ht="27.75" customHeight="1" x14ac:dyDescent="0.2">
      <c r="A35" s="117">
        <v>25</v>
      </c>
      <c r="B35" s="97" t="s">
        <v>318</v>
      </c>
      <c r="C35" s="86" t="s">
        <v>376</v>
      </c>
      <c r="D35" s="78">
        <f t="shared" si="15"/>
        <v>0</v>
      </c>
      <c r="E35" s="78">
        <f t="shared" si="12"/>
        <v>0</v>
      </c>
      <c r="F35" s="78">
        <v>0</v>
      </c>
      <c r="G35" s="78">
        <v>0</v>
      </c>
      <c r="H35" s="78">
        <v>0</v>
      </c>
      <c r="I35" s="78">
        <v>0</v>
      </c>
      <c r="J35" s="78">
        <f t="shared" si="13"/>
        <v>0</v>
      </c>
      <c r="K35" s="78">
        <v>0</v>
      </c>
      <c r="L35" s="78">
        <v>0</v>
      </c>
      <c r="M35" s="78">
        <v>0</v>
      </c>
      <c r="N35" s="78">
        <v>0</v>
      </c>
      <c r="O35" s="78">
        <v>0</v>
      </c>
      <c r="P35" s="78">
        <v>0</v>
      </c>
      <c r="Q35" s="78">
        <f t="shared" si="16"/>
        <v>0</v>
      </c>
      <c r="R35" s="78">
        <v>0</v>
      </c>
      <c r="S35" s="78">
        <v>0</v>
      </c>
      <c r="T35" s="78">
        <f t="shared" si="14"/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8">
        <v>0</v>
      </c>
      <c r="AA35" s="63"/>
    </row>
    <row r="36" spans="1:27" ht="12.75" x14ac:dyDescent="0.2">
      <c r="A36" s="117">
        <v>26</v>
      </c>
      <c r="B36" s="118" t="s">
        <v>6</v>
      </c>
      <c r="C36" s="124" t="s">
        <v>377</v>
      </c>
      <c r="D36" s="78">
        <f t="shared" si="15"/>
        <v>71183</v>
      </c>
      <c r="E36" s="78">
        <f t="shared" si="12"/>
        <v>0</v>
      </c>
      <c r="F36" s="78">
        <v>0</v>
      </c>
      <c r="G36" s="78">
        <v>0</v>
      </c>
      <c r="H36" s="78">
        <v>0</v>
      </c>
      <c r="I36" s="78">
        <v>0</v>
      </c>
      <c r="J36" s="78">
        <f t="shared" si="13"/>
        <v>68004</v>
      </c>
      <c r="K36" s="78">
        <v>24165</v>
      </c>
      <c r="L36" s="78">
        <v>0</v>
      </c>
      <c r="M36" s="78">
        <v>0</v>
      </c>
      <c r="N36" s="78">
        <v>0</v>
      </c>
      <c r="O36" s="78">
        <v>43839</v>
      </c>
      <c r="P36" s="78">
        <v>0</v>
      </c>
      <c r="Q36" s="78">
        <f t="shared" si="16"/>
        <v>1499</v>
      </c>
      <c r="R36" s="78">
        <v>1034</v>
      </c>
      <c r="S36" s="78">
        <v>465</v>
      </c>
      <c r="T36" s="78">
        <f t="shared" si="14"/>
        <v>1680</v>
      </c>
      <c r="U36" s="78">
        <v>1680</v>
      </c>
      <c r="V36" s="78">
        <v>0</v>
      </c>
      <c r="W36" s="78">
        <v>0</v>
      </c>
      <c r="X36" s="78">
        <v>0</v>
      </c>
      <c r="Y36" s="78">
        <v>0</v>
      </c>
      <c r="Z36" s="78">
        <v>0</v>
      </c>
      <c r="AA36" s="63"/>
    </row>
    <row r="37" spans="1:27" ht="12.75" x14ac:dyDescent="0.2">
      <c r="A37" s="117">
        <v>27</v>
      </c>
      <c r="B37" s="121" t="s">
        <v>5</v>
      </c>
      <c r="C37" s="122" t="s">
        <v>378</v>
      </c>
      <c r="D37" s="78">
        <f t="shared" si="15"/>
        <v>95937</v>
      </c>
      <c r="E37" s="78">
        <f t="shared" si="12"/>
        <v>0</v>
      </c>
      <c r="F37" s="78">
        <v>0</v>
      </c>
      <c r="G37" s="78">
        <v>0</v>
      </c>
      <c r="H37" s="78">
        <v>0</v>
      </c>
      <c r="I37" s="78">
        <v>0</v>
      </c>
      <c r="J37" s="78">
        <f t="shared" si="13"/>
        <v>92393</v>
      </c>
      <c r="K37" s="78">
        <v>20354</v>
      </c>
      <c r="L37" s="78">
        <v>2443</v>
      </c>
      <c r="M37" s="78">
        <v>541</v>
      </c>
      <c r="N37" s="78">
        <v>421</v>
      </c>
      <c r="O37" s="78">
        <v>50880</v>
      </c>
      <c r="P37" s="78">
        <v>17754</v>
      </c>
      <c r="Q37" s="78">
        <f t="shared" si="16"/>
        <v>2399</v>
      </c>
      <c r="R37" s="78">
        <v>1657</v>
      </c>
      <c r="S37" s="78">
        <v>742</v>
      </c>
      <c r="T37" s="78">
        <f t="shared" si="14"/>
        <v>1145</v>
      </c>
      <c r="U37" s="78">
        <v>1145</v>
      </c>
      <c r="V37" s="78">
        <v>0</v>
      </c>
      <c r="W37" s="78">
        <v>0</v>
      </c>
      <c r="X37" s="78">
        <v>0</v>
      </c>
      <c r="Y37" s="78">
        <v>0</v>
      </c>
      <c r="Z37" s="78">
        <v>0</v>
      </c>
      <c r="AA37" s="63"/>
    </row>
    <row r="38" spans="1:27" ht="12.75" x14ac:dyDescent="0.2">
      <c r="A38" s="117">
        <v>28</v>
      </c>
      <c r="B38" s="121" t="s">
        <v>54</v>
      </c>
      <c r="C38" s="122" t="s">
        <v>379</v>
      </c>
      <c r="D38" s="78">
        <f t="shared" si="15"/>
        <v>62599</v>
      </c>
      <c r="E38" s="78">
        <f t="shared" si="12"/>
        <v>0</v>
      </c>
      <c r="F38" s="78">
        <v>0</v>
      </c>
      <c r="G38" s="78">
        <v>0</v>
      </c>
      <c r="H38" s="78">
        <v>0</v>
      </c>
      <c r="I38" s="78">
        <v>0</v>
      </c>
      <c r="J38" s="78">
        <f t="shared" si="13"/>
        <v>60224</v>
      </c>
      <c r="K38" s="78">
        <v>0</v>
      </c>
      <c r="L38" s="78">
        <v>2300</v>
      </c>
      <c r="M38" s="78">
        <v>0</v>
      </c>
      <c r="N38" s="78">
        <v>200</v>
      </c>
      <c r="O38" s="78">
        <v>0</v>
      </c>
      <c r="P38" s="78">
        <v>57724</v>
      </c>
      <c r="Q38" s="78">
        <f t="shared" si="16"/>
        <v>0</v>
      </c>
      <c r="R38" s="78">
        <v>0</v>
      </c>
      <c r="S38" s="78">
        <v>0</v>
      </c>
      <c r="T38" s="78">
        <f t="shared" si="14"/>
        <v>2375</v>
      </c>
      <c r="U38" s="78">
        <v>1956</v>
      </c>
      <c r="V38" s="78">
        <v>0</v>
      </c>
      <c r="W38" s="78">
        <v>419</v>
      </c>
      <c r="X38" s="78">
        <v>0</v>
      </c>
      <c r="Y38" s="78">
        <v>0</v>
      </c>
      <c r="Z38" s="78">
        <v>0</v>
      </c>
      <c r="AA38" s="63"/>
    </row>
    <row r="39" spans="1:27" ht="12.75" x14ac:dyDescent="0.2">
      <c r="A39" s="117">
        <v>29</v>
      </c>
      <c r="B39" s="118" t="s">
        <v>168</v>
      </c>
      <c r="C39" s="119" t="s">
        <v>169</v>
      </c>
      <c r="D39" s="78">
        <f t="shared" si="15"/>
        <v>7586</v>
      </c>
      <c r="E39" s="78">
        <f t="shared" si="12"/>
        <v>7586</v>
      </c>
      <c r="F39" s="78">
        <v>4092</v>
      </c>
      <c r="G39" s="78">
        <v>3494</v>
      </c>
      <c r="H39" s="78">
        <v>0</v>
      </c>
      <c r="I39" s="78">
        <v>0</v>
      </c>
      <c r="J39" s="78">
        <f t="shared" si="13"/>
        <v>0</v>
      </c>
      <c r="K39" s="78">
        <v>0</v>
      </c>
      <c r="L39" s="78">
        <v>0</v>
      </c>
      <c r="M39" s="78">
        <v>0</v>
      </c>
      <c r="N39" s="78">
        <v>0</v>
      </c>
      <c r="O39" s="78">
        <v>0</v>
      </c>
      <c r="P39" s="78">
        <v>0</v>
      </c>
      <c r="Q39" s="78">
        <f t="shared" si="16"/>
        <v>0</v>
      </c>
      <c r="R39" s="78">
        <v>0</v>
      </c>
      <c r="S39" s="78">
        <v>0</v>
      </c>
      <c r="T39" s="78">
        <f t="shared" si="14"/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8">
        <v>0</v>
      </c>
      <c r="AA39" s="63"/>
    </row>
    <row r="40" spans="1:27" ht="12.75" x14ac:dyDescent="0.2">
      <c r="A40" s="117">
        <v>30</v>
      </c>
      <c r="B40" s="120" t="s">
        <v>170</v>
      </c>
      <c r="C40" s="124" t="s">
        <v>171</v>
      </c>
      <c r="D40" s="78">
        <f t="shared" si="15"/>
        <v>9694</v>
      </c>
      <c r="E40" s="78">
        <f t="shared" si="12"/>
        <v>9694</v>
      </c>
      <c r="F40" s="78">
        <v>0</v>
      </c>
      <c r="G40" s="78">
        <v>0</v>
      </c>
      <c r="H40" s="78">
        <v>1021</v>
      </c>
      <c r="I40" s="78">
        <v>8673</v>
      </c>
      <c r="J40" s="78">
        <f t="shared" si="13"/>
        <v>0</v>
      </c>
      <c r="K40" s="78">
        <v>0</v>
      </c>
      <c r="L40" s="78">
        <v>0</v>
      </c>
      <c r="M40" s="78">
        <v>0</v>
      </c>
      <c r="N40" s="78">
        <v>0</v>
      </c>
      <c r="O40" s="78">
        <v>0</v>
      </c>
      <c r="P40" s="78">
        <v>0</v>
      </c>
      <c r="Q40" s="78">
        <f t="shared" si="16"/>
        <v>0</v>
      </c>
      <c r="R40" s="78">
        <v>0</v>
      </c>
      <c r="S40" s="78">
        <v>0</v>
      </c>
      <c r="T40" s="78">
        <f t="shared" si="14"/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8">
        <v>0</v>
      </c>
      <c r="AA40" s="63"/>
    </row>
    <row r="41" spans="1:27" ht="24" x14ac:dyDescent="0.2">
      <c r="A41" s="117">
        <v>31</v>
      </c>
      <c r="B41" s="142" t="s">
        <v>320</v>
      </c>
      <c r="C41" s="82" t="s">
        <v>380</v>
      </c>
      <c r="D41" s="78">
        <f t="shared" si="15"/>
        <v>0</v>
      </c>
      <c r="E41" s="78">
        <f t="shared" si="12"/>
        <v>0</v>
      </c>
      <c r="F41" s="78">
        <v>0</v>
      </c>
      <c r="G41" s="78">
        <v>0</v>
      </c>
      <c r="H41" s="78">
        <v>0</v>
      </c>
      <c r="I41" s="78">
        <v>0</v>
      </c>
      <c r="J41" s="78">
        <f t="shared" si="13"/>
        <v>0</v>
      </c>
      <c r="K41" s="78">
        <v>0</v>
      </c>
      <c r="L41" s="78">
        <v>0</v>
      </c>
      <c r="M41" s="78">
        <v>0</v>
      </c>
      <c r="N41" s="78">
        <v>0</v>
      </c>
      <c r="O41" s="78">
        <v>0</v>
      </c>
      <c r="P41" s="78">
        <v>0</v>
      </c>
      <c r="Q41" s="78">
        <f t="shared" si="16"/>
        <v>0</v>
      </c>
      <c r="R41" s="78">
        <v>0</v>
      </c>
      <c r="S41" s="78">
        <v>0</v>
      </c>
      <c r="T41" s="78">
        <f t="shared" si="14"/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8">
        <v>0</v>
      </c>
      <c r="AA41" s="63"/>
    </row>
    <row r="42" spans="1:27" ht="25.5" x14ac:dyDescent="0.2">
      <c r="A42" s="117">
        <v>32</v>
      </c>
      <c r="B42" s="121" t="s">
        <v>55</v>
      </c>
      <c r="C42" s="122" t="s">
        <v>381</v>
      </c>
      <c r="D42" s="78">
        <f t="shared" si="15"/>
        <v>6311</v>
      </c>
      <c r="E42" s="78">
        <f t="shared" si="12"/>
        <v>0</v>
      </c>
      <c r="F42" s="78">
        <v>0</v>
      </c>
      <c r="G42" s="78">
        <v>0</v>
      </c>
      <c r="H42" s="78">
        <v>0</v>
      </c>
      <c r="I42" s="78">
        <v>0</v>
      </c>
      <c r="J42" s="78">
        <f t="shared" si="13"/>
        <v>6311</v>
      </c>
      <c r="K42" s="78">
        <v>458</v>
      </c>
      <c r="L42" s="78">
        <v>0</v>
      </c>
      <c r="M42" s="78">
        <v>35</v>
      </c>
      <c r="N42" s="78">
        <v>0</v>
      </c>
      <c r="O42" s="78">
        <v>5818</v>
      </c>
      <c r="P42" s="78">
        <v>0</v>
      </c>
      <c r="Q42" s="78">
        <f t="shared" si="16"/>
        <v>0</v>
      </c>
      <c r="R42" s="78">
        <v>0</v>
      </c>
      <c r="S42" s="78">
        <v>0</v>
      </c>
      <c r="T42" s="78">
        <f t="shared" si="14"/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8">
        <v>0</v>
      </c>
      <c r="AA42" s="63"/>
    </row>
    <row r="43" spans="1:27" ht="12.75" x14ac:dyDescent="0.2">
      <c r="A43" s="117">
        <v>33</v>
      </c>
      <c r="B43" s="120" t="s">
        <v>56</v>
      </c>
      <c r="C43" s="119" t="s">
        <v>57</v>
      </c>
      <c r="D43" s="78">
        <f t="shared" si="15"/>
        <v>66896</v>
      </c>
      <c r="E43" s="78">
        <f t="shared" si="12"/>
        <v>0</v>
      </c>
      <c r="F43" s="78">
        <v>0</v>
      </c>
      <c r="G43" s="78">
        <v>0</v>
      </c>
      <c r="H43" s="78">
        <v>0</v>
      </c>
      <c r="I43" s="78">
        <v>0</v>
      </c>
      <c r="J43" s="78">
        <f t="shared" si="13"/>
        <v>65724</v>
      </c>
      <c r="K43" s="78">
        <v>3082</v>
      </c>
      <c r="L43" s="78">
        <v>657</v>
      </c>
      <c r="M43" s="78">
        <v>824</v>
      </c>
      <c r="N43" s="78">
        <v>546</v>
      </c>
      <c r="O43" s="78">
        <v>48245</v>
      </c>
      <c r="P43" s="78">
        <v>12370</v>
      </c>
      <c r="Q43" s="78">
        <f t="shared" si="16"/>
        <v>1172</v>
      </c>
      <c r="R43" s="78">
        <v>808</v>
      </c>
      <c r="S43" s="78">
        <v>364</v>
      </c>
      <c r="T43" s="78">
        <f t="shared" si="14"/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8">
        <v>0</v>
      </c>
      <c r="AA43" s="63"/>
    </row>
    <row r="44" spans="1:27" ht="12.75" x14ac:dyDescent="0.2">
      <c r="A44" s="117">
        <v>34</v>
      </c>
      <c r="B44" s="123" t="s">
        <v>58</v>
      </c>
      <c r="C44" s="124" t="s">
        <v>59</v>
      </c>
      <c r="D44" s="78">
        <f t="shared" si="15"/>
        <v>110758</v>
      </c>
      <c r="E44" s="78">
        <f t="shared" si="12"/>
        <v>0</v>
      </c>
      <c r="F44" s="78">
        <v>0</v>
      </c>
      <c r="G44" s="78">
        <v>0</v>
      </c>
      <c r="H44" s="78">
        <v>0</v>
      </c>
      <c r="I44" s="78">
        <v>0</v>
      </c>
      <c r="J44" s="78">
        <f t="shared" si="13"/>
        <v>109294</v>
      </c>
      <c r="K44" s="78">
        <v>17220</v>
      </c>
      <c r="L44" s="78">
        <v>6300</v>
      </c>
      <c r="M44" s="78">
        <v>5228</v>
      </c>
      <c r="N44" s="78">
        <v>5489</v>
      </c>
      <c r="O44" s="78">
        <v>40010</v>
      </c>
      <c r="P44" s="78">
        <v>35047</v>
      </c>
      <c r="Q44" s="78">
        <f t="shared" si="16"/>
        <v>1464</v>
      </c>
      <c r="R44" s="78">
        <v>1025</v>
      </c>
      <c r="S44" s="78">
        <v>439</v>
      </c>
      <c r="T44" s="78">
        <f t="shared" si="14"/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8">
        <v>0</v>
      </c>
      <c r="AA44" s="63"/>
    </row>
    <row r="45" spans="1:27" ht="12.75" x14ac:dyDescent="0.2">
      <c r="A45" s="117">
        <v>35</v>
      </c>
      <c r="B45" s="118" t="s">
        <v>172</v>
      </c>
      <c r="C45" s="119" t="s">
        <v>173</v>
      </c>
      <c r="D45" s="78">
        <f t="shared" si="15"/>
        <v>1507</v>
      </c>
      <c r="E45" s="78">
        <f t="shared" si="12"/>
        <v>1507</v>
      </c>
      <c r="F45" s="78">
        <v>1291</v>
      </c>
      <c r="G45" s="78">
        <v>216</v>
      </c>
      <c r="H45" s="78">
        <v>0</v>
      </c>
      <c r="I45" s="78">
        <v>0</v>
      </c>
      <c r="J45" s="78">
        <f t="shared" si="13"/>
        <v>0</v>
      </c>
      <c r="K45" s="78">
        <v>0</v>
      </c>
      <c r="L45" s="78">
        <v>0</v>
      </c>
      <c r="M45" s="78">
        <v>0</v>
      </c>
      <c r="N45" s="78">
        <v>0</v>
      </c>
      <c r="O45" s="78">
        <v>0</v>
      </c>
      <c r="P45" s="78">
        <v>0</v>
      </c>
      <c r="Q45" s="78">
        <f t="shared" si="16"/>
        <v>0</v>
      </c>
      <c r="R45" s="78">
        <v>0</v>
      </c>
      <c r="S45" s="78">
        <v>0</v>
      </c>
      <c r="T45" s="78">
        <f t="shared" si="14"/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8">
        <v>0</v>
      </c>
      <c r="AA45" s="63"/>
    </row>
    <row r="46" spans="1:27" ht="12.75" x14ac:dyDescent="0.2">
      <c r="A46" s="117">
        <v>36</v>
      </c>
      <c r="B46" s="120" t="s">
        <v>60</v>
      </c>
      <c r="C46" s="119" t="s">
        <v>61</v>
      </c>
      <c r="D46" s="78">
        <f t="shared" si="15"/>
        <v>14403</v>
      </c>
      <c r="E46" s="78">
        <f t="shared" si="12"/>
        <v>0</v>
      </c>
      <c r="F46" s="78">
        <v>0</v>
      </c>
      <c r="G46" s="78">
        <v>0</v>
      </c>
      <c r="H46" s="78">
        <v>0</v>
      </c>
      <c r="I46" s="78">
        <v>0</v>
      </c>
      <c r="J46" s="78">
        <f t="shared" si="13"/>
        <v>14403</v>
      </c>
      <c r="K46" s="78">
        <v>400</v>
      </c>
      <c r="L46" s="78">
        <v>290</v>
      </c>
      <c r="M46" s="78">
        <v>1080</v>
      </c>
      <c r="N46" s="78">
        <v>90</v>
      </c>
      <c r="O46" s="78">
        <v>7624</v>
      </c>
      <c r="P46" s="78">
        <v>4919</v>
      </c>
      <c r="Q46" s="78">
        <f t="shared" si="16"/>
        <v>0</v>
      </c>
      <c r="R46" s="78">
        <v>0</v>
      </c>
      <c r="S46" s="78">
        <v>0</v>
      </c>
      <c r="T46" s="78">
        <f t="shared" si="14"/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8">
        <v>0</v>
      </c>
      <c r="AA46" s="63"/>
    </row>
    <row r="47" spans="1:27" ht="12.75" x14ac:dyDescent="0.2">
      <c r="A47" s="117">
        <v>37</v>
      </c>
      <c r="B47" s="121" t="s">
        <v>62</v>
      </c>
      <c r="C47" s="122" t="s">
        <v>63</v>
      </c>
      <c r="D47" s="78">
        <f t="shared" si="15"/>
        <v>47790</v>
      </c>
      <c r="E47" s="78">
        <f t="shared" si="12"/>
        <v>0</v>
      </c>
      <c r="F47" s="78">
        <v>0</v>
      </c>
      <c r="G47" s="78">
        <v>0</v>
      </c>
      <c r="H47" s="78">
        <v>0</v>
      </c>
      <c r="I47" s="78">
        <v>0</v>
      </c>
      <c r="J47" s="78">
        <f t="shared" si="13"/>
        <v>47790</v>
      </c>
      <c r="K47" s="78">
        <v>10465</v>
      </c>
      <c r="L47" s="78">
        <v>1553</v>
      </c>
      <c r="M47" s="78">
        <v>5142</v>
      </c>
      <c r="N47" s="78">
        <v>2069</v>
      </c>
      <c r="O47" s="78">
        <v>19221</v>
      </c>
      <c r="P47" s="78">
        <v>9340</v>
      </c>
      <c r="Q47" s="78">
        <f t="shared" si="16"/>
        <v>0</v>
      </c>
      <c r="R47" s="78">
        <v>0</v>
      </c>
      <c r="S47" s="78">
        <v>0</v>
      </c>
      <c r="T47" s="78">
        <f t="shared" si="14"/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8">
        <v>0</v>
      </c>
      <c r="AA47" s="63"/>
    </row>
    <row r="48" spans="1:27" ht="12.75" x14ac:dyDescent="0.2">
      <c r="A48" s="117">
        <v>38</v>
      </c>
      <c r="B48" s="120" t="s">
        <v>64</v>
      </c>
      <c r="C48" s="119" t="s">
        <v>65</v>
      </c>
      <c r="D48" s="78">
        <f t="shared" si="15"/>
        <v>22490</v>
      </c>
      <c r="E48" s="78">
        <f t="shared" si="12"/>
        <v>0</v>
      </c>
      <c r="F48" s="78">
        <v>0</v>
      </c>
      <c r="G48" s="78">
        <v>0</v>
      </c>
      <c r="H48" s="78">
        <v>0</v>
      </c>
      <c r="I48" s="78">
        <v>0</v>
      </c>
      <c r="J48" s="78">
        <f t="shared" si="13"/>
        <v>22490</v>
      </c>
      <c r="K48" s="78">
        <v>2719</v>
      </c>
      <c r="L48" s="78">
        <v>603</v>
      </c>
      <c r="M48" s="78">
        <v>367</v>
      </c>
      <c r="N48" s="78">
        <v>0</v>
      </c>
      <c r="O48" s="78">
        <v>10647</v>
      </c>
      <c r="P48" s="78">
        <v>8154</v>
      </c>
      <c r="Q48" s="78">
        <f t="shared" si="16"/>
        <v>0</v>
      </c>
      <c r="R48" s="78">
        <v>0</v>
      </c>
      <c r="S48" s="78">
        <v>0</v>
      </c>
      <c r="T48" s="78">
        <f t="shared" si="14"/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8">
        <v>0</v>
      </c>
      <c r="AA48" s="63"/>
    </row>
    <row r="49" spans="1:27" ht="12.75" x14ac:dyDescent="0.2">
      <c r="A49" s="117">
        <v>39</v>
      </c>
      <c r="B49" s="118" t="s">
        <v>66</v>
      </c>
      <c r="C49" s="119" t="s">
        <v>382</v>
      </c>
      <c r="D49" s="78">
        <f t="shared" si="15"/>
        <v>74736</v>
      </c>
      <c r="E49" s="78">
        <f t="shared" si="12"/>
        <v>0</v>
      </c>
      <c r="F49" s="78">
        <v>0</v>
      </c>
      <c r="G49" s="78">
        <v>0</v>
      </c>
      <c r="H49" s="78">
        <v>0</v>
      </c>
      <c r="I49" s="78">
        <v>0</v>
      </c>
      <c r="J49" s="78">
        <f t="shared" si="13"/>
        <v>73272</v>
      </c>
      <c r="K49" s="78">
        <v>8046</v>
      </c>
      <c r="L49" s="78">
        <v>3264</v>
      </c>
      <c r="M49" s="78">
        <v>2454</v>
      </c>
      <c r="N49" s="78">
        <v>790</v>
      </c>
      <c r="O49" s="78">
        <v>39732</v>
      </c>
      <c r="P49" s="78">
        <v>18986</v>
      </c>
      <c r="Q49" s="78">
        <f t="shared" si="16"/>
        <v>1464</v>
      </c>
      <c r="R49" s="78">
        <v>1025</v>
      </c>
      <c r="S49" s="78">
        <v>439</v>
      </c>
      <c r="T49" s="78">
        <f t="shared" si="14"/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63"/>
    </row>
    <row r="50" spans="1:27" ht="12.75" x14ac:dyDescent="0.2">
      <c r="A50" s="117">
        <v>40</v>
      </c>
      <c r="B50" s="125" t="s">
        <v>67</v>
      </c>
      <c r="C50" s="126" t="s">
        <v>383</v>
      </c>
      <c r="D50" s="78">
        <f t="shared" si="15"/>
        <v>20279</v>
      </c>
      <c r="E50" s="78">
        <f t="shared" si="12"/>
        <v>0</v>
      </c>
      <c r="F50" s="78">
        <v>0</v>
      </c>
      <c r="G50" s="78">
        <v>0</v>
      </c>
      <c r="H50" s="78">
        <v>0</v>
      </c>
      <c r="I50" s="78">
        <v>0</v>
      </c>
      <c r="J50" s="78">
        <f t="shared" si="13"/>
        <v>20279</v>
      </c>
      <c r="K50" s="78">
        <v>1980</v>
      </c>
      <c r="L50" s="78">
        <v>555</v>
      </c>
      <c r="M50" s="78">
        <v>912</v>
      </c>
      <c r="N50" s="78">
        <v>526</v>
      </c>
      <c r="O50" s="78">
        <v>12646</v>
      </c>
      <c r="P50" s="78">
        <v>3660</v>
      </c>
      <c r="Q50" s="78">
        <f t="shared" si="16"/>
        <v>0</v>
      </c>
      <c r="R50" s="78">
        <v>0</v>
      </c>
      <c r="S50" s="78">
        <v>0</v>
      </c>
      <c r="T50" s="78">
        <f t="shared" si="14"/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63"/>
    </row>
    <row r="51" spans="1:27" ht="12.75" x14ac:dyDescent="0.2">
      <c r="A51" s="117">
        <v>41</v>
      </c>
      <c r="B51" s="118" t="s">
        <v>68</v>
      </c>
      <c r="C51" s="119" t="s">
        <v>384</v>
      </c>
      <c r="D51" s="78">
        <f t="shared" si="15"/>
        <v>12801</v>
      </c>
      <c r="E51" s="78">
        <f t="shared" si="12"/>
        <v>0</v>
      </c>
      <c r="F51" s="78">
        <v>0</v>
      </c>
      <c r="G51" s="78">
        <v>0</v>
      </c>
      <c r="H51" s="78">
        <v>0</v>
      </c>
      <c r="I51" s="78">
        <v>0</v>
      </c>
      <c r="J51" s="78">
        <f t="shared" si="13"/>
        <v>12801</v>
      </c>
      <c r="K51" s="78">
        <v>313</v>
      </c>
      <c r="L51" s="78">
        <v>474</v>
      </c>
      <c r="M51" s="78">
        <v>104</v>
      </c>
      <c r="N51" s="78">
        <v>1</v>
      </c>
      <c r="O51" s="78">
        <v>11015</v>
      </c>
      <c r="P51" s="78">
        <v>894</v>
      </c>
      <c r="Q51" s="78">
        <f t="shared" si="16"/>
        <v>0</v>
      </c>
      <c r="R51" s="78">
        <v>0</v>
      </c>
      <c r="S51" s="78">
        <v>0</v>
      </c>
      <c r="T51" s="78">
        <f t="shared" si="14"/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8">
        <v>0</v>
      </c>
      <c r="AA51" s="63"/>
    </row>
    <row r="52" spans="1:27" ht="12.75" x14ac:dyDescent="0.2">
      <c r="A52" s="117">
        <v>42</v>
      </c>
      <c r="B52" s="123" t="s">
        <v>69</v>
      </c>
      <c r="C52" s="124" t="s">
        <v>70</v>
      </c>
      <c r="D52" s="78">
        <f t="shared" si="15"/>
        <v>19091</v>
      </c>
      <c r="E52" s="78">
        <f t="shared" si="12"/>
        <v>0</v>
      </c>
      <c r="F52" s="78">
        <v>0</v>
      </c>
      <c r="G52" s="78">
        <v>0</v>
      </c>
      <c r="H52" s="78">
        <v>0</v>
      </c>
      <c r="I52" s="78">
        <v>0</v>
      </c>
      <c r="J52" s="78">
        <f t="shared" si="13"/>
        <v>19091</v>
      </c>
      <c r="K52" s="78">
        <v>1331</v>
      </c>
      <c r="L52" s="78">
        <v>285</v>
      </c>
      <c r="M52" s="78">
        <v>1318</v>
      </c>
      <c r="N52" s="78">
        <v>278</v>
      </c>
      <c r="O52" s="78">
        <v>13287</v>
      </c>
      <c r="P52" s="78">
        <v>2592</v>
      </c>
      <c r="Q52" s="78">
        <f t="shared" si="16"/>
        <v>0</v>
      </c>
      <c r="R52" s="78">
        <v>0</v>
      </c>
      <c r="S52" s="78">
        <v>0</v>
      </c>
      <c r="T52" s="78">
        <f t="shared" si="14"/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63"/>
    </row>
    <row r="53" spans="1:27" ht="12.75" x14ac:dyDescent="0.2">
      <c r="A53" s="117">
        <v>43</v>
      </c>
      <c r="B53" s="121" t="s">
        <v>174</v>
      </c>
      <c r="C53" s="122" t="s">
        <v>175</v>
      </c>
      <c r="D53" s="78">
        <f t="shared" si="15"/>
        <v>10917</v>
      </c>
      <c r="E53" s="78">
        <f t="shared" si="12"/>
        <v>0</v>
      </c>
      <c r="F53" s="78">
        <v>0</v>
      </c>
      <c r="G53" s="78">
        <v>0</v>
      </c>
      <c r="H53" s="78">
        <v>0</v>
      </c>
      <c r="I53" s="78">
        <v>0</v>
      </c>
      <c r="J53" s="78">
        <f t="shared" si="13"/>
        <v>10917</v>
      </c>
      <c r="K53" s="78">
        <v>1434</v>
      </c>
      <c r="L53" s="78">
        <v>510</v>
      </c>
      <c r="M53" s="78">
        <v>263</v>
      </c>
      <c r="N53" s="78">
        <v>28</v>
      </c>
      <c r="O53" s="78">
        <v>7615</v>
      </c>
      <c r="P53" s="78">
        <v>1067</v>
      </c>
      <c r="Q53" s="78">
        <f t="shared" si="16"/>
        <v>0</v>
      </c>
      <c r="R53" s="78">
        <v>0</v>
      </c>
      <c r="S53" s="78">
        <v>0</v>
      </c>
      <c r="T53" s="78">
        <f t="shared" si="14"/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63"/>
    </row>
    <row r="54" spans="1:27" ht="12.75" x14ac:dyDescent="0.2">
      <c r="A54" s="117">
        <v>44</v>
      </c>
      <c r="B54" s="120" t="s">
        <v>71</v>
      </c>
      <c r="C54" s="119" t="s">
        <v>385</v>
      </c>
      <c r="D54" s="78">
        <f t="shared" si="15"/>
        <v>11079</v>
      </c>
      <c r="E54" s="78">
        <f t="shared" si="12"/>
        <v>0</v>
      </c>
      <c r="F54" s="78">
        <v>0</v>
      </c>
      <c r="G54" s="78">
        <v>0</v>
      </c>
      <c r="H54" s="78">
        <v>0</v>
      </c>
      <c r="I54" s="78">
        <v>0</v>
      </c>
      <c r="J54" s="78">
        <f t="shared" si="13"/>
        <v>11079</v>
      </c>
      <c r="K54" s="78">
        <v>770</v>
      </c>
      <c r="L54" s="78">
        <v>0</v>
      </c>
      <c r="M54" s="78">
        <v>1100</v>
      </c>
      <c r="N54" s="78">
        <v>0</v>
      </c>
      <c r="O54" s="78">
        <v>9209</v>
      </c>
      <c r="P54" s="78">
        <v>0</v>
      </c>
      <c r="Q54" s="78">
        <f t="shared" si="16"/>
        <v>0</v>
      </c>
      <c r="R54" s="78">
        <v>0</v>
      </c>
      <c r="S54" s="78">
        <v>0</v>
      </c>
      <c r="T54" s="78">
        <f t="shared" si="14"/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63"/>
    </row>
    <row r="55" spans="1:27" ht="12.75" x14ac:dyDescent="0.2">
      <c r="A55" s="117">
        <v>45</v>
      </c>
      <c r="B55" s="121" t="s">
        <v>72</v>
      </c>
      <c r="C55" s="122" t="s">
        <v>73</v>
      </c>
      <c r="D55" s="78">
        <f t="shared" si="15"/>
        <v>62484</v>
      </c>
      <c r="E55" s="78">
        <f t="shared" si="12"/>
        <v>0</v>
      </c>
      <c r="F55" s="78">
        <v>0</v>
      </c>
      <c r="G55" s="78">
        <v>0</v>
      </c>
      <c r="H55" s="78">
        <v>0</v>
      </c>
      <c r="I55" s="78">
        <v>0</v>
      </c>
      <c r="J55" s="78">
        <f t="shared" si="13"/>
        <v>61026</v>
      </c>
      <c r="K55" s="78">
        <v>3755</v>
      </c>
      <c r="L55" s="78">
        <v>407</v>
      </c>
      <c r="M55" s="78">
        <v>0</v>
      </c>
      <c r="N55" s="78">
        <v>8014</v>
      </c>
      <c r="O55" s="78">
        <v>29813</v>
      </c>
      <c r="P55" s="78">
        <v>19037</v>
      </c>
      <c r="Q55" s="78">
        <f t="shared" si="16"/>
        <v>1009</v>
      </c>
      <c r="R55" s="78">
        <v>722</v>
      </c>
      <c r="S55" s="78">
        <v>287</v>
      </c>
      <c r="T55" s="78">
        <f t="shared" si="14"/>
        <v>449</v>
      </c>
      <c r="U55" s="78">
        <v>449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63"/>
    </row>
    <row r="56" spans="1:27" ht="12.75" x14ac:dyDescent="0.2">
      <c r="A56" s="117">
        <v>46</v>
      </c>
      <c r="B56" s="118" t="s">
        <v>74</v>
      </c>
      <c r="C56" s="119" t="s">
        <v>386</v>
      </c>
      <c r="D56" s="78">
        <f t="shared" si="15"/>
        <v>22322</v>
      </c>
      <c r="E56" s="78">
        <f t="shared" si="12"/>
        <v>0</v>
      </c>
      <c r="F56" s="78">
        <v>0</v>
      </c>
      <c r="G56" s="78">
        <v>0</v>
      </c>
      <c r="H56" s="78">
        <v>0</v>
      </c>
      <c r="I56" s="78">
        <v>0</v>
      </c>
      <c r="J56" s="78">
        <f t="shared" si="13"/>
        <v>22322</v>
      </c>
      <c r="K56" s="78">
        <v>1205</v>
      </c>
      <c r="L56" s="78">
        <v>180</v>
      </c>
      <c r="M56" s="78">
        <v>1252</v>
      </c>
      <c r="N56" s="78">
        <v>226</v>
      </c>
      <c r="O56" s="78">
        <v>14388</v>
      </c>
      <c r="P56" s="78">
        <v>5071</v>
      </c>
      <c r="Q56" s="78">
        <f t="shared" si="16"/>
        <v>0</v>
      </c>
      <c r="R56" s="78">
        <v>0</v>
      </c>
      <c r="S56" s="78">
        <v>0</v>
      </c>
      <c r="T56" s="78">
        <f t="shared" si="14"/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63"/>
    </row>
    <row r="57" spans="1:27" ht="12.75" x14ac:dyDescent="0.2">
      <c r="A57" s="117">
        <v>47</v>
      </c>
      <c r="B57" s="118" t="s">
        <v>75</v>
      </c>
      <c r="C57" s="119" t="s">
        <v>76</v>
      </c>
      <c r="D57" s="78">
        <f t="shared" si="15"/>
        <v>66203</v>
      </c>
      <c r="E57" s="78">
        <f t="shared" si="12"/>
        <v>0</v>
      </c>
      <c r="F57" s="78">
        <v>0</v>
      </c>
      <c r="G57" s="78">
        <v>0</v>
      </c>
      <c r="H57" s="78">
        <v>0</v>
      </c>
      <c r="I57" s="78">
        <v>0</v>
      </c>
      <c r="J57" s="78">
        <f t="shared" si="13"/>
        <v>64739</v>
      </c>
      <c r="K57" s="78">
        <v>10412</v>
      </c>
      <c r="L57" s="78">
        <v>3254</v>
      </c>
      <c r="M57" s="78">
        <v>1041</v>
      </c>
      <c r="N57" s="78">
        <v>834</v>
      </c>
      <c r="O57" s="78">
        <v>34076</v>
      </c>
      <c r="P57" s="78">
        <v>15122</v>
      </c>
      <c r="Q57" s="78">
        <f t="shared" si="16"/>
        <v>1464</v>
      </c>
      <c r="R57" s="78">
        <v>1025</v>
      </c>
      <c r="S57" s="78">
        <v>439</v>
      </c>
      <c r="T57" s="78">
        <f t="shared" si="14"/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63"/>
    </row>
    <row r="58" spans="1:27" ht="12.75" x14ac:dyDescent="0.2">
      <c r="A58" s="117">
        <v>48</v>
      </c>
      <c r="B58" s="127" t="s">
        <v>77</v>
      </c>
      <c r="C58" s="128" t="s">
        <v>78</v>
      </c>
      <c r="D58" s="78">
        <f t="shared" si="15"/>
        <v>15604</v>
      </c>
      <c r="E58" s="78">
        <f t="shared" si="12"/>
        <v>0</v>
      </c>
      <c r="F58" s="78">
        <v>0</v>
      </c>
      <c r="G58" s="78">
        <v>0</v>
      </c>
      <c r="H58" s="78">
        <v>0</v>
      </c>
      <c r="I58" s="78">
        <v>0</v>
      </c>
      <c r="J58" s="78">
        <f t="shared" si="13"/>
        <v>15604</v>
      </c>
      <c r="K58" s="78">
        <v>1810</v>
      </c>
      <c r="L58" s="78">
        <v>380</v>
      </c>
      <c r="M58" s="78">
        <v>500</v>
      </c>
      <c r="N58" s="78">
        <v>50</v>
      </c>
      <c r="O58" s="78">
        <v>6443</v>
      </c>
      <c r="P58" s="78">
        <v>6421</v>
      </c>
      <c r="Q58" s="78">
        <f t="shared" si="16"/>
        <v>0</v>
      </c>
      <c r="R58" s="78">
        <v>0</v>
      </c>
      <c r="S58" s="78">
        <v>0</v>
      </c>
      <c r="T58" s="78">
        <f t="shared" si="14"/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63"/>
    </row>
    <row r="59" spans="1:27" ht="12.75" x14ac:dyDescent="0.2">
      <c r="A59" s="117">
        <v>49</v>
      </c>
      <c r="B59" s="121" t="s">
        <v>79</v>
      </c>
      <c r="C59" s="122" t="s">
        <v>387</v>
      </c>
      <c r="D59" s="78">
        <f t="shared" si="15"/>
        <v>19661</v>
      </c>
      <c r="E59" s="78">
        <f t="shared" si="12"/>
        <v>0</v>
      </c>
      <c r="F59" s="78">
        <v>0</v>
      </c>
      <c r="G59" s="78">
        <v>0</v>
      </c>
      <c r="H59" s="78">
        <v>0</v>
      </c>
      <c r="I59" s="78">
        <v>0</v>
      </c>
      <c r="J59" s="78">
        <f t="shared" si="13"/>
        <v>19661</v>
      </c>
      <c r="K59" s="78">
        <v>3311</v>
      </c>
      <c r="L59" s="78">
        <v>950</v>
      </c>
      <c r="M59" s="78">
        <v>769</v>
      </c>
      <c r="N59" s="78">
        <v>1252</v>
      </c>
      <c r="O59" s="78">
        <v>8170</v>
      </c>
      <c r="P59" s="78">
        <v>5209</v>
      </c>
      <c r="Q59" s="78">
        <f t="shared" si="16"/>
        <v>0</v>
      </c>
      <c r="R59" s="78">
        <v>0</v>
      </c>
      <c r="S59" s="78">
        <v>0</v>
      </c>
      <c r="T59" s="78">
        <f t="shared" si="14"/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63"/>
    </row>
    <row r="60" spans="1:27" ht="12.75" x14ac:dyDescent="0.2">
      <c r="A60" s="117">
        <v>50</v>
      </c>
      <c r="B60" s="120" t="s">
        <v>80</v>
      </c>
      <c r="C60" s="119" t="s">
        <v>81</v>
      </c>
      <c r="D60" s="78">
        <f t="shared" si="15"/>
        <v>41018</v>
      </c>
      <c r="E60" s="78">
        <f t="shared" si="12"/>
        <v>0</v>
      </c>
      <c r="F60" s="78">
        <v>0</v>
      </c>
      <c r="G60" s="78">
        <v>0</v>
      </c>
      <c r="H60" s="78">
        <v>0</v>
      </c>
      <c r="I60" s="78">
        <v>0</v>
      </c>
      <c r="J60" s="78">
        <f t="shared" si="13"/>
        <v>39554</v>
      </c>
      <c r="K60" s="78">
        <v>3078</v>
      </c>
      <c r="L60" s="78">
        <v>1536</v>
      </c>
      <c r="M60" s="78">
        <v>1296</v>
      </c>
      <c r="N60" s="78">
        <v>1312</v>
      </c>
      <c r="O60" s="78">
        <v>19476</v>
      </c>
      <c r="P60" s="78">
        <v>12856</v>
      </c>
      <c r="Q60" s="78">
        <f t="shared" si="16"/>
        <v>1464</v>
      </c>
      <c r="R60" s="78">
        <v>1025</v>
      </c>
      <c r="S60" s="78">
        <v>439</v>
      </c>
      <c r="T60" s="78">
        <f t="shared" si="14"/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63"/>
    </row>
    <row r="61" spans="1:27" ht="12.75" x14ac:dyDescent="0.2">
      <c r="A61" s="117">
        <v>51</v>
      </c>
      <c r="B61" s="121" t="s">
        <v>82</v>
      </c>
      <c r="C61" s="122" t="s">
        <v>83</v>
      </c>
      <c r="D61" s="78">
        <f t="shared" si="15"/>
        <v>8912</v>
      </c>
      <c r="E61" s="78">
        <f t="shared" si="12"/>
        <v>0</v>
      </c>
      <c r="F61" s="78">
        <v>0</v>
      </c>
      <c r="G61" s="78">
        <v>0</v>
      </c>
      <c r="H61" s="78">
        <v>0</v>
      </c>
      <c r="I61" s="78">
        <v>0</v>
      </c>
      <c r="J61" s="78">
        <f t="shared" si="13"/>
        <v>8912</v>
      </c>
      <c r="K61" s="78">
        <v>1054</v>
      </c>
      <c r="L61" s="78">
        <v>93</v>
      </c>
      <c r="M61" s="78">
        <v>119</v>
      </c>
      <c r="N61" s="78">
        <v>63</v>
      </c>
      <c r="O61" s="78">
        <v>5681</v>
      </c>
      <c r="P61" s="78">
        <v>1902</v>
      </c>
      <c r="Q61" s="78">
        <f t="shared" si="16"/>
        <v>0</v>
      </c>
      <c r="R61" s="78">
        <v>0</v>
      </c>
      <c r="S61" s="78">
        <v>0</v>
      </c>
      <c r="T61" s="78">
        <f t="shared" si="14"/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63"/>
    </row>
    <row r="62" spans="1:27" ht="12.75" x14ac:dyDescent="0.2">
      <c r="A62" s="117">
        <v>52</v>
      </c>
      <c r="B62" s="120" t="s">
        <v>84</v>
      </c>
      <c r="C62" s="119" t="s">
        <v>85</v>
      </c>
      <c r="D62" s="78">
        <f t="shared" si="15"/>
        <v>15857</v>
      </c>
      <c r="E62" s="78">
        <f t="shared" si="12"/>
        <v>0</v>
      </c>
      <c r="F62" s="78">
        <v>0</v>
      </c>
      <c r="G62" s="78">
        <v>0</v>
      </c>
      <c r="H62" s="78">
        <v>0</v>
      </c>
      <c r="I62" s="78">
        <v>0</v>
      </c>
      <c r="J62" s="78">
        <f t="shared" si="13"/>
        <v>14393</v>
      </c>
      <c r="K62" s="78">
        <v>2300</v>
      </c>
      <c r="L62" s="78">
        <v>500</v>
      </c>
      <c r="M62" s="78">
        <v>233</v>
      </c>
      <c r="N62" s="78">
        <v>194</v>
      </c>
      <c r="O62" s="78">
        <v>9392</v>
      </c>
      <c r="P62" s="78">
        <v>1774</v>
      </c>
      <c r="Q62" s="78">
        <f t="shared" si="16"/>
        <v>1464</v>
      </c>
      <c r="R62" s="78">
        <v>1025</v>
      </c>
      <c r="S62" s="78">
        <v>439</v>
      </c>
      <c r="T62" s="78">
        <f t="shared" si="14"/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63"/>
    </row>
    <row r="63" spans="1:27" ht="12.75" x14ac:dyDescent="0.2">
      <c r="A63" s="117">
        <v>53</v>
      </c>
      <c r="B63" s="121" t="s">
        <v>86</v>
      </c>
      <c r="C63" s="122" t="s">
        <v>388</v>
      </c>
      <c r="D63" s="78">
        <f t="shared" si="15"/>
        <v>16510</v>
      </c>
      <c r="E63" s="78">
        <f t="shared" si="12"/>
        <v>0</v>
      </c>
      <c r="F63" s="78">
        <v>0</v>
      </c>
      <c r="G63" s="78">
        <v>0</v>
      </c>
      <c r="H63" s="78">
        <v>0</v>
      </c>
      <c r="I63" s="78">
        <v>0</v>
      </c>
      <c r="J63" s="78">
        <f t="shared" si="13"/>
        <v>16510</v>
      </c>
      <c r="K63" s="78">
        <v>1060</v>
      </c>
      <c r="L63" s="78">
        <v>250</v>
      </c>
      <c r="M63" s="78">
        <v>495</v>
      </c>
      <c r="N63" s="78">
        <v>82</v>
      </c>
      <c r="O63" s="78">
        <v>9287</v>
      </c>
      <c r="P63" s="78">
        <v>5336</v>
      </c>
      <c r="Q63" s="78">
        <f t="shared" si="16"/>
        <v>0</v>
      </c>
      <c r="R63" s="78">
        <v>0</v>
      </c>
      <c r="S63" s="78">
        <v>0</v>
      </c>
      <c r="T63" s="78">
        <f t="shared" si="14"/>
        <v>0</v>
      </c>
      <c r="U63" s="78">
        <v>0</v>
      </c>
      <c r="V63" s="78">
        <v>0</v>
      </c>
      <c r="W63" s="78">
        <v>0</v>
      </c>
      <c r="X63" s="78">
        <v>0</v>
      </c>
      <c r="Y63" s="78">
        <v>0</v>
      </c>
      <c r="Z63" s="78">
        <v>0</v>
      </c>
      <c r="AA63" s="63"/>
    </row>
    <row r="64" spans="1:27" ht="12.75" x14ac:dyDescent="0.2">
      <c r="A64" s="117">
        <v>54</v>
      </c>
      <c r="B64" s="121" t="s">
        <v>87</v>
      </c>
      <c r="C64" s="122" t="s">
        <v>88</v>
      </c>
      <c r="D64" s="78">
        <f t="shared" si="15"/>
        <v>101422</v>
      </c>
      <c r="E64" s="78">
        <f t="shared" si="12"/>
        <v>0</v>
      </c>
      <c r="F64" s="78">
        <v>0</v>
      </c>
      <c r="G64" s="78">
        <v>0</v>
      </c>
      <c r="H64" s="78">
        <v>0</v>
      </c>
      <c r="I64" s="78">
        <v>0</v>
      </c>
      <c r="J64" s="78">
        <f t="shared" si="13"/>
        <v>99973</v>
      </c>
      <c r="K64" s="78">
        <v>16577</v>
      </c>
      <c r="L64" s="78">
        <v>4106</v>
      </c>
      <c r="M64" s="78">
        <v>4434</v>
      </c>
      <c r="N64" s="78">
        <v>1505</v>
      </c>
      <c r="O64" s="78">
        <v>54476</v>
      </c>
      <c r="P64" s="78">
        <v>18875</v>
      </c>
      <c r="Q64" s="78">
        <f t="shared" si="16"/>
        <v>1221</v>
      </c>
      <c r="R64" s="78">
        <v>894</v>
      </c>
      <c r="S64" s="78">
        <v>327</v>
      </c>
      <c r="T64" s="78">
        <f t="shared" si="14"/>
        <v>228</v>
      </c>
      <c r="U64" s="78">
        <v>228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63"/>
    </row>
    <row r="65" spans="1:27" ht="12.75" x14ac:dyDescent="0.2">
      <c r="A65" s="117">
        <v>55</v>
      </c>
      <c r="B65" s="121" t="s">
        <v>89</v>
      </c>
      <c r="C65" s="122" t="s">
        <v>389</v>
      </c>
      <c r="D65" s="78">
        <f t="shared" si="15"/>
        <v>13939</v>
      </c>
      <c r="E65" s="78">
        <f t="shared" si="12"/>
        <v>0</v>
      </c>
      <c r="F65" s="78">
        <v>0</v>
      </c>
      <c r="G65" s="78">
        <v>0</v>
      </c>
      <c r="H65" s="78">
        <v>0</v>
      </c>
      <c r="I65" s="78">
        <v>0</v>
      </c>
      <c r="J65" s="78">
        <f t="shared" si="13"/>
        <v>13939</v>
      </c>
      <c r="K65" s="78">
        <v>3968</v>
      </c>
      <c r="L65" s="78">
        <v>344</v>
      </c>
      <c r="M65" s="78">
        <v>1635</v>
      </c>
      <c r="N65" s="78">
        <v>610</v>
      </c>
      <c r="O65" s="78">
        <v>6235</v>
      </c>
      <c r="P65" s="78">
        <v>1147</v>
      </c>
      <c r="Q65" s="78">
        <f t="shared" si="16"/>
        <v>0</v>
      </c>
      <c r="R65" s="78">
        <v>0</v>
      </c>
      <c r="S65" s="78">
        <v>0</v>
      </c>
      <c r="T65" s="78">
        <f t="shared" si="14"/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63"/>
    </row>
    <row r="66" spans="1:27" x14ac:dyDescent="0.2">
      <c r="A66" s="117">
        <v>56</v>
      </c>
      <c r="B66" s="97" t="s">
        <v>176</v>
      </c>
      <c r="C66" s="86" t="s">
        <v>390</v>
      </c>
      <c r="D66" s="78">
        <f t="shared" si="15"/>
        <v>0</v>
      </c>
      <c r="E66" s="78">
        <f t="shared" si="12"/>
        <v>0</v>
      </c>
      <c r="F66" s="78">
        <v>0</v>
      </c>
      <c r="G66" s="78">
        <v>0</v>
      </c>
      <c r="H66" s="78">
        <v>0</v>
      </c>
      <c r="I66" s="78">
        <v>0</v>
      </c>
      <c r="J66" s="78">
        <f t="shared" si="13"/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f t="shared" si="16"/>
        <v>0</v>
      </c>
      <c r="R66" s="78">
        <v>0</v>
      </c>
      <c r="S66" s="78">
        <v>0</v>
      </c>
      <c r="T66" s="78">
        <f t="shared" si="14"/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63"/>
    </row>
    <row r="67" spans="1:27" x14ac:dyDescent="0.2">
      <c r="A67" s="117">
        <v>57</v>
      </c>
      <c r="B67" s="97" t="s">
        <v>322</v>
      </c>
      <c r="C67" s="86" t="s">
        <v>323</v>
      </c>
      <c r="D67" s="78">
        <f t="shared" si="15"/>
        <v>0</v>
      </c>
      <c r="E67" s="78">
        <f t="shared" si="12"/>
        <v>0</v>
      </c>
      <c r="F67" s="78">
        <v>0</v>
      </c>
      <c r="G67" s="78">
        <v>0</v>
      </c>
      <c r="H67" s="78">
        <v>0</v>
      </c>
      <c r="I67" s="78">
        <v>0</v>
      </c>
      <c r="J67" s="78">
        <f t="shared" si="13"/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f t="shared" si="16"/>
        <v>0</v>
      </c>
      <c r="R67" s="78">
        <v>0</v>
      </c>
      <c r="S67" s="78">
        <v>0</v>
      </c>
      <c r="T67" s="78">
        <f t="shared" si="14"/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63"/>
    </row>
    <row r="68" spans="1:27" ht="25.5" x14ac:dyDescent="0.2">
      <c r="A68" s="117">
        <v>58</v>
      </c>
      <c r="B68" s="121" t="s">
        <v>90</v>
      </c>
      <c r="C68" s="122" t="s">
        <v>391</v>
      </c>
      <c r="D68" s="78">
        <f t="shared" si="15"/>
        <v>49999</v>
      </c>
      <c r="E68" s="78">
        <f t="shared" si="12"/>
        <v>0</v>
      </c>
      <c r="F68" s="78">
        <v>0</v>
      </c>
      <c r="G68" s="78">
        <v>0</v>
      </c>
      <c r="H68" s="78">
        <v>0</v>
      </c>
      <c r="I68" s="78">
        <v>0</v>
      </c>
      <c r="J68" s="78">
        <f t="shared" si="13"/>
        <v>49348</v>
      </c>
      <c r="K68" s="78">
        <v>0</v>
      </c>
      <c r="L68" s="78">
        <v>2626</v>
      </c>
      <c r="M68" s="78">
        <v>0</v>
      </c>
      <c r="N68" s="78">
        <v>0</v>
      </c>
      <c r="O68" s="78">
        <v>0</v>
      </c>
      <c r="P68" s="78">
        <v>46722</v>
      </c>
      <c r="Q68" s="78">
        <f t="shared" si="16"/>
        <v>0</v>
      </c>
      <c r="R68" s="78">
        <v>0</v>
      </c>
      <c r="S68" s="78">
        <v>0</v>
      </c>
      <c r="T68" s="78">
        <f t="shared" si="14"/>
        <v>651</v>
      </c>
      <c r="U68" s="78">
        <v>0</v>
      </c>
      <c r="V68" s="78">
        <v>0</v>
      </c>
      <c r="W68" s="78">
        <v>651</v>
      </c>
      <c r="X68" s="78">
        <v>0</v>
      </c>
      <c r="Y68" s="78">
        <v>0</v>
      </c>
      <c r="Z68" s="78">
        <v>0</v>
      </c>
      <c r="AA68" s="63"/>
    </row>
    <row r="69" spans="1:27" ht="25.5" x14ac:dyDescent="0.2">
      <c r="A69" s="117">
        <v>59</v>
      </c>
      <c r="B69" s="120" t="s">
        <v>91</v>
      </c>
      <c r="C69" s="122" t="s">
        <v>392</v>
      </c>
      <c r="D69" s="78">
        <f t="shared" si="15"/>
        <v>38426</v>
      </c>
      <c r="E69" s="78">
        <f t="shared" si="12"/>
        <v>0</v>
      </c>
      <c r="F69" s="78">
        <v>0</v>
      </c>
      <c r="G69" s="78">
        <v>0</v>
      </c>
      <c r="H69" s="78">
        <v>0</v>
      </c>
      <c r="I69" s="78">
        <v>0</v>
      </c>
      <c r="J69" s="78">
        <f t="shared" si="13"/>
        <v>38426</v>
      </c>
      <c r="K69" s="78">
        <v>0</v>
      </c>
      <c r="L69" s="78">
        <v>1980</v>
      </c>
      <c r="M69" s="78">
        <v>0</v>
      </c>
      <c r="N69" s="78">
        <v>0</v>
      </c>
      <c r="O69" s="78">
        <v>0</v>
      </c>
      <c r="P69" s="78">
        <v>36446</v>
      </c>
      <c r="Q69" s="78">
        <f t="shared" si="16"/>
        <v>0</v>
      </c>
      <c r="R69" s="78">
        <v>0</v>
      </c>
      <c r="S69" s="78">
        <v>0</v>
      </c>
      <c r="T69" s="78">
        <f t="shared" si="14"/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8">
        <v>0</v>
      </c>
      <c r="AA69" s="63"/>
    </row>
    <row r="70" spans="1:27" ht="25.5" x14ac:dyDescent="0.2">
      <c r="A70" s="117">
        <v>60</v>
      </c>
      <c r="B70" s="123" t="s">
        <v>92</v>
      </c>
      <c r="C70" s="124" t="s">
        <v>393</v>
      </c>
      <c r="D70" s="78">
        <f t="shared" si="15"/>
        <v>58687</v>
      </c>
      <c r="E70" s="78">
        <f t="shared" si="12"/>
        <v>0</v>
      </c>
      <c r="F70" s="78">
        <v>0</v>
      </c>
      <c r="G70" s="78">
        <v>0</v>
      </c>
      <c r="H70" s="78">
        <v>0</v>
      </c>
      <c r="I70" s="78">
        <v>0</v>
      </c>
      <c r="J70" s="78">
        <f t="shared" si="13"/>
        <v>58687</v>
      </c>
      <c r="K70" s="78">
        <v>0</v>
      </c>
      <c r="L70" s="78">
        <v>1400</v>
      </c>
      <c r="M70" s="78">
        <v>0</v>
      </c>
      <c r="N70" s="78">
        <v>2308</v>
      </c>
      <c r="O70" s="78">
        <v>0</v>
      </c>
      <c r="P70" s="78">
        <v>54979</v>
      </c>
      <c r="Q70" s="78">
        <f t="shared" si="16"/>
        <v>0</v>
      </c>
      <c r="R70" s="78">
        <v>0</v>
      </c>
      <c r="S70" s="78">
        <v>0</v>
      </c>
      <c r="T70" s="78">
        <f t="shared" si="14"/>
        <v>0</v>
      </c>
      <c r="U70" s="78">
        <v>0</v>
      </c>
      <c r="V70" s="78">
        <v>0</v>
      </c>
      <c r="W70" s="78">
        <v>0</v>
      </c>
      <c r="X70" s="78">
        <v>0</v>
      </c>
      <c r="Y70" s="78">
        <v>0</v>
      </c>
      <c r="Z70" s="78">
        <v>0</v>
      </c>
      <c r="AA70" s="63"/>
    </row>
    <row r="71" spans="1:27" ht="25.5" x14ac:dyDescent="0.2">
      <c r="A71" s="117">
        <v>61</v>
      </c>
      <c r="B71" s="120" t="s">
        <v>93</v>
      </c>
      <c r="C71" s="122" t="s">
        <v>394</v>
      </c>
      <c r="D71" s="78">
        <f t="shared" si="15"/>
        <v>47996</v>
      </c>
      <c r="E71" s="78">
        <f t="shared" si="12"/>
        <v>0</v>
      </c>
      <c r="F71" s="78">
        <v>0</v>
      </c>
      <c r="G71" s="78">
        <v>0</v>
      </c>
      <c r="H71" s="78">
        <v>0</v>
      </c>
      <c r="I71" s="78">
        <v>0</v>
      </c>
      <c r="J71" s="78">
        <f t="shared" si="13"/>
        <v>47996</v>
      </c>
      <c r="K71" s="78">
        <v>0</v>
      </c>
      <c r="L71" s="78">
        <v>4500</v>
      </c>
      <c r="M71" s="78">
        <v>0</v>
      </c>
      <c r="N71" s="78">
        <v>0</v>
      </c>
      <c r="O71" s="78">
        <v>0</v>
      </c>
      <c r="P71" s="78">
        <v>43496</v>
      </c>
      <c r="Q71" s="78">
        <f t="shared" si="16"/>
        <v>0</v>
      </c>
      <c r="R71" s="78">
        <v>0</v>
      </c>
      <c r="S71" s="78">
        <v>0</v>
      </c>
      <c r="T71" s="78">
        <f t="shared" si="14"/>
        <v>0</v>
      </c>
      <c r="U71" s="78">
        <v>0</v>
      </c>
      <c r="V71" s="78">
        <v>0</v>
      </c>
      <c r="W71" s="78">
        <v>0</v>
      </c>
      <c r="X71" s="78">
        <v>0</v>
      </c>
      <c r="Y71" s="78">
        <v>0</v>
      </c>
      <c r="Z71" s="78">
        <v>0</v>
      </c>
      <c r="AA71" s="63"/>
    </row>
    <row r="72" spans="1:27" ht="25.5" x14ac:dyDescent="0.2">
      <c r="A72" s="117">
        <v>62</v>
      </c>
      <c r="B72" s="121" t="s">
        <v>94</v>
      </c>
      <c r="C72" s="122" t="s">
        <v>395</v>
      </c>
      <c r="D72" s="78">
        <f t="shared" si="15"/>
        <v>23050</v>
      </c>
      <c r="E72" s="78">
        <f t="shared" si="12"/>
        <v>0</v>
      </c>
      <c r="F72" s="78">
        <v>0</v>
      </c>
      <c r="G72" s="78">
        <v>0</v>
      </c>
      <c r="H72" s="78">
        <v>0</v>
      </c>
      <c r="I72" s="78">
        <v>0</v>
      </c>
      <c r="J72" s="78">
        <f t="shared" si="13"/>
        <v>23050</v>
      </c>
      <c r="K72" s="78">
        <v>0</v>
      </c>
      <c r="L72" s="78">
        <v>875</v>
      </c>
      <c r="M72" s="78">
        <v>0</v>
      </c>
      <c r="N72" s="78">
        <v>1800</v>
      </c>
      <c r="O72" s="78">
        <v>0</v>
      </c>
      <c r="P72" s="78">
        <v>20375</v>
      </c>
      <c r="Q72" s="78">
        <f t="shared" si="16"/>
        <v>0</v>
      </c>
      <c r="R72" s="78">
        <v>0</v>
      </c>
      <c r="S72" s="78">
        <v>0</v>
      </c>
      <c r="T72" s="78">
        <f t="shared" si="14"/>
        <v>0</v>
      </c>
      <c r="U72" s="78">
        <v>0</v>
      </c>
      <c r="V72" s="78">
        <v>0</v>
      </c>
      <c r="W72" s="78">
        <v>0</v>
      </c>
      <c r="X72" s="78">
        <v>0</v>
      </c>
      <c r="Y72" s="78">
        <v>0</v>
      </c>
      <c r="Z72" s="78">
        <v>0</v>
      </c>
      <c r="AA72" s="63"/>
    </row>
    <row r="73" spans="1:27" ht="29.25" customHeight="1" x14ac:dyDescent="0.2">
      <c r="A73" s="117">
        <v>63</v>
      </c>
      <c r="B73" s="118" t="s">
        <v>177</v>
      </c>
      <c r="C73" s="122" t="s">
        <v>396</v>
      </c>
      <c r="D73" s="78">
        <f t="shared" si="15"/>
        <v>27364</v>
      </c>
      <c r="E73" s="78">
        <f t="shared" si="12"/>
        <v>27364</v>
      </c>
      <c r="F73" s="78">
        <v>0</v>
      </c>
      <c r="G73" s="78">
        <v>0</v>
      </c>
      <c r="H73" s="78">
        <v>0</v>
      </c>
      <c r="I73" s="78">
        <v>27364</v>
      </c>
      <c r="J73" s="78">
        <f t="shared" si="13"/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f t="shared" si="16"/>
        <v>0</v>
      </c>
      <c r="R73" s="78">
        <v>0</v>
      </c>
      <c r="S73" s="78">
        <v>0</v>
      </c>
      <c r="T73" s="78">
        <f t="shared" si="14"/>
        <v>0</v>
      </c>
      <c r="U73" s="78">
        <v>0</v>
      </c>
      <c r="V73" s="78">
        <v>0</v>
      </c>
      <c r="W73" s="78">
        <v>0</v>
      </c>
      <c r="X73" s="78">
        <v>0</v>
      </c>
      <c r="Y73" s="78">
        <v>0</v>
      </c>
      <c r="Z73" s="78">
        <v>0</v>
      </c>
      <c r="AA73" s="63"/>
    </row>
    <row r="74" spans="1:27" ht="30" customHeight="1" x14ac:dyDescent="0.2">
      <c r="A74" s="117">
        <v>64</v>
      </c>
      <c r="B74" s="118" t="s">
        <v>178</v>
      </c>
      <c r="C74" s="122" t="s">
        <v>397</v>
      </c>
      <c r="D74" s="78">
        <f t="shared" si="15"/>
        <v>15121</v>
      </c>
      <c r="E74" s="78">
        <f t="shared" si="12"/>
        <v>15121</v>
      </c>
      <c r="F74" s="78">
        <v>0</v>
      </c>
      <c r="G74" s="78">
        <v>0</v>
      </c>
      <c r="H74" s="78">
        <v>0</v>
      </c>
      <c r="I74" s="78">
        <v>15121</v>
      </c>
      <c r="J74" s="78">
        <f t="shared" si="13"/>
        <v>0</v>
      </c>
      <c r="K74" s="78">
        <v>0</v>
      </c>
      <c r="L74" s="78">
        <v>0</v>
      </c>
      <c r="M74" s="78">
        <v>0</v>
      </c>
      <c r="N74" s="78">
        <v>0</v>
      </c>
      <c r="O74" s="78">
        <v>0</v>
      </c>
      <c r="P74" s="78">
        <v>0</v>
      </c>
      <c r="Q74" s="78">
        <f t="shared" si="16"/>
        <v>0</v>
      </c>
      <c r="R74" s="78">
        <v>0</v>
      </c>
      <c r="S74" s="78">
        <v>0</v>
      </c>
      <c r="T74" s="78">
        <f t="shared" si="14"/>
        <v>0</v>
      </c>
      <c r="U74" s="78">
        <v>0</v>
      </c>
      <c r="V74" s="78">
        <v>0</v>
      </c>
      <c r="W74" s="78">
        <v>0</v>
      </c>
      <c r="X74" s="78">
        <v>0</v>
      </c>
      <c r="Y74" s="78">
        <v>0</v>
      </c>
      <c r="Z74" s="78">
        <v>0</v>
      </c>
      <c r="AA74" s="63"/>
    </row>
    <row r="75" spans="1:27" ht="12.75" x14ac:dyDescent="0.2">
      <c r="A75" s="117">
        <v>65</v>
      </c>
      <c r="B75" s="120" t="s">
        <v>95</v>
      </c>
      <c r="C75" s="122" t="s">
        <v>398</v>
      </c>
      <c r="D75" s="78">
        <f t="shared" si="15"/>
        <v>53805</v>
      </c>
      <c r="E75" s="78">
        <f t="shared" si="12"/>
        <v>0</v>
      </c>
      <c r="F75" s="78">
        <v>0</v>
      </c>
      <c r="G75" s="78">
        <v>0</v>
      </c>
      <c r="H75" s="78">
        <v>0</v>
      </c>
      <c r="I75" s="78">
        <v>0</v>
      </c>
      <c r="J75" s="78">
        <f t="shared" si="13"/>
        <v>52341</v>
      </c>
      <c r="K75" s="78">
        <v>1670</v>
      </c>
      <c r="L75" s="78">
        <v>38</v>
      </c>
      <c r="M75" s="78">
        <v>0</v>
      </c>
      <c r="N75" s="78">
        <v>0</v>
      </c>
      <c r="O75" s="78">
        <v>48282</v>
      </c>
      <c r="P75" s="78">
        <v>2351</v>
      </c>
      <c r="Q75" s="78">
        <f t="shared" si="16"/>
        <v>1464</v>
      </c>
      <c r="R75" s="78">
        <v>1025</v>
      </c>
      <c r="S75" s="78">
        <v>439</v>
      </c>
      <c r="T75" s="78">
        <f t="shared" si="14"/>
        <v>0</v>
      </c>
      <c r="U75" s="78">
        <v>0</v>
      </c>
      <c r="V75" s="78">
        <v>0</v>
      </c>
      <c r="W75" s="78">
        <v>0</v>
      </c>
      <c r="X75" s="78">
        <v>0</v>
      </c>
      <c r="Y75" s="78">
        <v>0</v>
      </c>
      <c r="Z75" s="78">
        <v>0</v>
      </c>
      <c r="AA75" s="63"/>
    </row>
    <row r="76" spans="1:27" ht="12.75" x14ac:dyDescent="0.2">
      <c r="A76" s="117">
        <v>66</v>
      </c>
      <c r="B76" s="118" t="s">
        <v>96</v>
      </c>
      <c r="C76" s="122" t="s">
        <v>399</v>
      </c>
      <c r="D76" s="78">
        <f t="shared" si="15"/>
        <v>4990</v>
      </c>
      <c r="E76" s="78">
        <f t="shared" si="12"/>
        <v>0</v>
      </c>
      <c r="F76" s="78">
        <v>0</v>
      </c>
      <c r="G76" s="78">
        <v>0</v>
      </c>
      <c r="H76" s="78">
        <v>0</v>
      </c>
      <c r="I76" s="78">
        <v>0</v>
      </c>
      <c r="J76" s="78">
        <f t="shared" si="13"/>
        <v>4990</v>
      </c>
      <c r="K76" s="78">
        <v>2675</v>
      </c>
      <c r="L76" s="78">
        <v>0</v>
      </c>
      <c r="M76" s="78">
        <v>0</v>
      </c>
      <c r="N76" s="78">
        <v>0</v>
      </c>
      <c r="O76" s="78">
        <v>2315</v>
      </c>
      <c r="P76" s="78">
        <v>0</v>
      </c>
      <c r="Q76" s="78">
        <f t="shared" si="16"/>
        <v>0</v>
      </c>
      <c r="R76" s="78">
        <v>0</v>
      </c>
      <c r="S76" s="78">
        <v>0</v>
      </c>
      <c r="T76" s="78">
        <f t="shared" si="14"/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63"/>
    </row>
    <row r="77" spans="1:27" ht="12.75" x14ac:dyDescent="0.2">
      <c r="A77" s="117">
        <v>67</v>
      </c>
      <c r="B77" s="120" t="s">
        <v>97</v>
      </c>
      <c r="C77" s="122" t="s">
        <v>400</v>
      </c>
      <c r="D77" s="78">
        <f t="shared" si="15"/>
        <v>32770</v>
      </c>
      <c r="E77" s="78">
        <f t="shared" si="12"/>
        <v>0</v>
      </c>
      <c r="F77" s="78">
        <v>0</v>
      </c>
      <c r="G77" s="78">
        <v>0</v>
      </c>
      <c r="H77" s="78">
        <v>0</v>
      </c>
      <c r="I77" s="78">
        <v>0</v>
      </c>
      <c r="J77" s="78">
        <f t="shared" si="13"/>
        <v>32472</v>
      </c>
      <c r="K77" s="78">
        <v>7377</v>
      </c>
      <c r="L77" s="78">
        <v>0</v>
      </c>
      <c r="M77" s="78">
        <v>2156</v>
      </c>
      <c r="N77" s="78">
        <v>0</v>
      </c>
      <c r="O77" s="78">
        <v>22939</v>
      </c>
      <c r="P77" s="78">
        <v>0</v>
      </c>
      <c r="Q77" s="78">
        <f t="shared" si="16"/>
        <v>0</v>
      </c>
      <c r="R77" s="78">
        <v>0</v>
      </c>
      <c r="S77" s="78">
        <v>0</v>
      </c>
      <c r="T77" s="78">
        <f>U77+W77+X77+Y77</f>
        <v>298</v>
      </c>
      <c r="U77" s="78">
        <v>298</v>
      </c>
      <c r="V77" s="78">
        <v>298</v>
      </c>
      <c r="W77" s="78">
        <v>0</v>
      </c>
      <c r="X77" s="78">
        <v>0</v>
      </c>
      <c r="Y77" s="78">
        <v>0</v>
      </c>
      <c r="Z77" s="78">
        <v>0</v>
      </c>
      <c r="AA77" s="63"/>
    </row>
    <row r="78" spans="1:27" ht="12.75" x14ac:dyDescent="0.2">
      <c r="A78" s="117">
        <v>68</v>
      </c>
      <c r="B78" s="120" t="s">
        <v>98</v>
      </c>
      <c r="C78" s="122" t="s">
        <v>401</v>
      </c>
      <c r="D78" s="78">
        <f t="shared" si="15"/>
        <v>11107</v>
      </c>
      <c r="E78" s="78">
        <f t="shared" si="12"/>
        <v>0</v>
      </c>
      <c r="F78" s="78">
        <v>0</v>
      </c>
      <c r="G78" s="78">
        <v>0</v>
      </c>
      <c r="H78" s="78">
        <v>0</v>
      </c>
      <c r="I78" s="78">
        <v>0</v>
      </c>
      <c r="J78" s="78">
        <f t="shared" si="13"/>
        <v>11107</v>
      </c>
      <c r="K78" s="78">
        <v>93</v>
      </c>
      <c r="L78" s="78">
        <v>0</v>
      </c>
      <c r="M78" s="78">
        <v>0</v>
      </c>
      <c r="N78" s="78">
        <v>0</v>
      </c>
      <c r="O78" s="78">
        <v>11014</v>
      </c>
      <c r="P78" s="78">
        <v>0</v>
      </c>
      <c r="Q78" s="78">
        <f t="shared" si="16"/>
        <v>0</v>
      </c>
      <c r="R78" s="78">
        <v>0</v>
      </c>
      <c r="S78" s="78">
        <v>0</v>
      </c>
      <c r="T78" s="78">
        <f t="shared" si="14"/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63"/>
    </row>
    <row r="79" spans="1:27" ht="12.75" x14ac:dyDescent="0.2">
      <c r="A79" s="117">
        <v>69</v>
      </c>
      <c r="B79" s="120" t="s">
        <v>99</v>
      </c>
      <c r="C79" s="122" t="s">
        <v>402</v>
      </c>
      <c r="D79" s="78">
        <f t="shared" si="15"/>
        <v>67510</v>
      </c>
      <c r="E79" s="78">
        <f t="shared" si="12"/>
        <v>0</v>
      </c>
      <c r="F79" s="78">
        <v>0</v>
      </c>
      <c r="G79" s="78">
        <v>0</v>
      </c>
      <c r="H79" s="78">
        <v>0</v>
      </c>
      <c r="I79" s="78">
        <v>0</v>
      </c>
      <c r="J79" s="78">
        <f t="shared" si="13"/>
        <v>66046</v>
      </c>
      <c r="K79" s="78">
        <v>19156</v>
      </c>
      <c r="L79" s="78">
        <v>0</v>
      </c>
      <c r="M79" s="78">
        <v>0</v>
      </c>
      <c r="N79" s="78">
        <v>0</v>
      </c>
      <c r="O79" s="78">
        <v>46890</v>
      </c>
      <c r="P79" s="78">
        <v>0</v>
      </c>
      <c r="Q79" s="78">
        <f t="shared" si="16"/>
        <v>1464</v>
      </c>
      <c r="R79" s="78">
        <v>1025</v>
      </c>
      <c r="S79" s="78">
        <v>439</v>
      </c>
      <c r="T79" s="78">
        <f t="shared" si="14"/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63"/>
    </row>
    <row r="80" spans="1:27" ht="12.75" x14ac:dyDescent="0.2">
      <c r="A80" s="117">
        <v>70</v>
      </c>
      <c r="B80" s="121" t="s">
        <v>100</v>
      </c>
      <c r="C80" s="122" t="s">
        <v>403</v>
      </c>
      <c r="D80" s="78">
        <f t="shared" si="15"/>
        <v>22670</v>
      </c>
      <c r="E80" s="78">
        <f t="shared" si="12"/>
        <v>0</v>
      </c>
      <c r="F80" s="78">
        <v>0</v>
      </c>
      <c r="G80" s="78">
        <v>0</v>
      </c>
      <c r="H80" s="78">
        <v>0</v>
      </c>
      <c r="I80" s="78">
        <v>0</v>
      </c>
      <c r="J80" s="78">
        <f t="shared" si="13"/>
        <v>21206</v>
      </c>
      <c r="K80" s="78">
        <v>4877</v>
      </c>
      <c r="L80" s="78">
        <v>0</v>
      </c>
      <c r="M80" s="78">
        <v>0</v>
      </c>
      <c r="N80" s="78">
        <v>0</v>
      </c>
      <c r="O80" s="78">
        <v>16329</v>
      </c>
      <c r="P80" s="78">
        <v>0</v>
      </c>
      <c r="Q80" s="78">
        <f t="shared" si="16"/>
        <v>1464</v>
      </c>
      <c r="R80" s="78">
        <v>1025</v>
      </c>
      <c r="S80" s="78">
        <v>439</v>
      </c>
      <c r="T80" s="78">
        <f t="shared" si="14"/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63"/>
    </row>
    <row r="81" spans="1:27" ht="12.75" x14ac:dyDescent="0.2">
      <c r="A81" s="117">
        <v>71</v>
      </c>
      <c r="B81" s="120" t="s">
        <v>101</v>
      </c>
      <c r="C81" s="119" t="s">
        <v>404</v>
      </c>
      <c r="D81" s="78">
        <f t="shared" si="15"/>
        <v>22533</v>
      </c>
      <c r="E81" s="78">
        <f t="shared" si="12"/>
        <v>0</v>
      </c>
      <c r="F81" s="78">
        <v>0</v>
      </c>
      <c r="G81" s="78">
        <v>0</v>
      </c>
      <c r="H81" s="78">
        <v>0</v>
      </c>
      <c r="I81" s="78">
        <v>0</v>
      </c>
      <c r="J81" s="78">
        <f t="shared" si="13"/>
        <v>16815</v>
      </c>
      <c r="K81" s="78">
        <v>4966</v>
      </c>
      <c r="L81" s="78">
        <v>0</v>
      </c>
      <c r="M81" s="78">
        <v>0</v>
      </c>
      <c r="N81" s="78">
        <v>0</v>
      </c>
      <c r="O81" s="78">
        <v>11849</v>
      </c>
      <c r="P81" s="78">
        <v>0</v>
      </c>
      <c r="Q81" s="78">
        <f t="shared" si="16"/>
        <v>1464</v>
      </c>
      <c r="R81" s="78">
        <v>1025</v>
      </c>
      <c r="S81" s="78">
        <v>439</v>
      </c>
      <c r="T81" s="78">
        <f t="shared" si="14"/>
        <v>4254</v>
      </c>
      <c r="U81" s="78">
        <v>4254</v>
      </c>
      <c r="V81" s="78">
        <v>3848</v>
      </c>
      <c r="W81" s="78">
        <v>0</v>
      </c>
      <c r="X81" s="78">
        <v>0</v>
      </c>
      <c r="Y81" s="78">
        <v>0</v>
      </c>
      <c r="Z81" s="78">
        <v>0</v>
      </c>
      <c r="AA81" s="63"/>
    </row>
    <row r="82" spans="1:27" ht="12.75" x14ac:dyDescent="0.2">
      <c r="A82" s="117">
        <v>72</v>
      </c>
      <c r="B82" s="121" t="s">
        <v>102</v>
      </c>
      <c r="C82" s="122" t="s">
        <v>405</v>
      </c>
      <c r="D82" s="78">
        <f t="shared" si="15"/>
        <v>8353</v>
      </c>
      <c r="E82" s="78">
        <f t="shared" ref="E82:E158" si="17">F82+G82+H82+I82</f>
        <v>0</v>
      </c>
      <c r="F82" s="78">
        <v>0</v>
      </c>
      <c r="G82" s="78">
        <v>0</v>
      </c>
      <c r="H82" s="78">
        <v>0</v>
      </c>
      <c r="I82" s="78">
        <v>0</v>
      </c>
      <c r="J82" s="78">
        <f t="shared" ref="J82:J156" si="18">O82+P82+N82+M82+L82+K82</f>
        <v>8353</v>
      </c>
      <c r="K82" s="78">
        <v>1667</v>
      </c>
      <c r="L82" s="78">
        <v>0</v>
      </c>
      <c r="M82" s="78">
        <v>0</v>
      </c>
      <c r="N82" s="78">
        <v>0</v>
      </c>
      <c r="O82" s="78">
        <v>6686</v>
      </c>
      <c r="P82" s="78">
        <v>0</v>
      </c>
      <c r="Q82" s="78">
        <f t="shared" si="16"/>
        <v>0</v>
      </c>
      <c r="R82" s="78">
        <v>0</v>
      </c>
      <c r="S82" s="78">
        <v>0</v>
      </c>
      <c r="T82" s="78">
        <f t="shared" ref="T82:T158" si="19">U82+W82+X82+Y82</f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63"/>
    </row>
    <row r="83" spans="1:27" ht="12.75" x14ac:dyDescent="0.2">
      <c r="A83" s="117">
        <v>73</v>
      </c>
      <c r="B83" s="120" t="s">
        <v>103</v>
      </c>
      <c r="C83" s="122" t="s">
        <v>406</v>
      </c>
      <c r="D83" s="78">
        <f t="shared" ref="D83:D158" si="20">E83+J83+Q83+T83+Z83</f>
        <v>62601</v>
      </c>
      <c r="E83" s="78">
        <f t="shared" si="17"/>
        <v>0</v>
      </c>
      <c r="F83" s="78">
        <v>0</v>
      </c>
      <c r="G83" s="78">
        <v>0</v>
      </c>
      <c r="H83" s="78">
        <v>0</v>
      </c>
      <c r="I83" s="78">
        <v>0</v>
      </c>
      <c r="J83" s="78">
        <f t="shared" si="18"/>
        <v>61097</v>
      </c>
      <c r="K83" s="78">
        <v>11750</v>
      </c>
      <c r="L83" s="78">
        <v>0</v>
      </c>
      <c r="M83" s="78">
        <v>1500</v>
      </c>
      <c r="N83" s="78">
        <v>0</v>
      </c>
      <c r="O83" s="78">
        <v>47847</v>
      </c>
      <c r="P83" s="78">
        <v>0</v>
      </c>
      <c r="Q83" s="78">
        <f t="shared" si="16"/>
        <v>1504</v>
      </c>
      <c r="R83" s="78">
        <v>1025</v>
      </c>
      <c r="S83" s="78">
        <v>479</v>
      </c>
      <c r="T83" s="78">
        <f t="shared" si="19"/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63"/>
    </row>
    <row r="84" spans="1:27" ht="12.75" x14ac:dyDescent="0.2">
      <c r="A84" s="117">
        <v>74</v>
      </c>
      <c r="B84" s="121" t="s">
        <v>104</v>
      </c>
      <c r="C84" s="122" t="s">
        <v>407</v>
      </c>
      <c r="D84" s="78">
        <f t="shared" si="20"/>
        <v>12235</v>
      </c>
      <c r="E84" s="78">
        <f t="shared" si="17"/>
        <v>0</v>
      </c>
      <c r="F84" s="78">
        <v>0</v>
      </c>
      <c r="G84" s="78">
        <v>0</v>
      </c>
      <c r="H84" s="78">
        <v>0</v>
      </c>
      <c r="I84" s="78">
        <v>0</v>
      </c>
      <c r="J84" s="78">
        <f t="shared" si="18"/>
        <v>12235</v>
      </c>
      <c r="K84" s="78">
        <v>2083</v>
      </c>
      <c r="L84" s="78">
        <v>0</v>
      </c>
      <c r="M84" s="78">
        <v>0</v>
      </c>
      <c r="N84" s="78">
        <v>0</v>
      </c>
      <c r="O84" s="78">
        <v>10152</v>
      </c>
      <c r="P84" s="78">
        <v>0</v>
      </c>
      <c r="Q84" s="78">
        <f t="shared" ref="Q84:Q158" si="21">R84+S84</f>
        <v>0</v>
      </c>
      <c r="R84" s="78">
        <v>0</v>
      </c>
      <c r="S84" s="78">
        <v>0</v>
      </c>
      <c r="T84" s="78">
        <f t="shared" si="19"/>
        <v>0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63"/>
    </row>
    <row r="85" spans="1:27" ht="12.75" x14ac:dyDescent="0.2">
      <c r="A85" s="117">
        <v>75</v>
      </c>
      <c r="B85" s="121" t="s">
        <v>105</v>
      </c>
      <c r="C85" s="122" t="s">
        <v>408</v>
      </c>
      <c r="D85" s="78">
        <f t="shared" si="20"/>
        <v>16382</v>
      </c>
      <c r="E85" s="78">
        <f t="shared" si="17"/>
        <v>0</v>
      </c>
      <c r="F85" s="78">
        <v>0</v>
      </c>
      <c r="G85" s="78">
        <v>0</v>
      </c>
      <c r="H85" s="78">
        <v>0</v>
      </c>
      <c r="I85" s="78">
        <v>0</v>
      </c>
      <c r="J85" s="78">
        <f t="shared" si="18"/>
        <v>16382</v>
      </c>
      <c r="K85" s="78">
        <v>7900</v>
      </c>
      <c r="L85" s="78">
        <v>0</v>
      </c>
      <c r="M85" s="78">
        <v>0</v>
      </c>
      <c r="N85" s="78">
        <v>0</v>
      </c>
      <c r="O85" s="78">
        <v>8482</v>
      </c>
      <c r="P85" s="78">
        <v>0</v>
      </c>
      <c r="Q85" s="78">
        <f t="shared" si="21"/>
        <v>0</v>
      </c>
      <c r="R85" s="78">
        <v>0</v>
      </c>
      <c r="S85" s="78">
        <v>0</v>
      </c>
      <c r="T85" s="78">
        <f t="shared" si="19"/>
        <v>0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63"/>
    </row>
    <row r="86" spans="1:27" ht="25.5" x14ac:dyDescent="0.2">
      <c r="A86" s="117">
        <v>76</v>
      </c>
      <c r="B86" s="129" t="s">
        <v>179</v>
      </c>
      <c r="C86" s="128" t="s">
        <v>409</v>
      </c>
      <c r="D86" s="78">
        <f t="shared" si="20"/>
        <v>2456</v>
      </c>
      <c r="E86" s="78">
        <f t="shared" si="17"/>
        <v>2456</v>
      </c>
      <c r="F86" s="78">
        <v>0</v>
      </c>
      <c r="G86" s="78">
        <v>0</v>
      </c>
      <c r="H86" s="78">
        <v>2456</v>
      </c>
      <c r="I86" s="78">
        <v>0</v>
      </c>
      <c r="J86" s="78">
        <f t="shared" si="18"/>
        <v>0</v>
      </c>
      <c r="K86" s="78">
        <v>0</v>
      </c>
      <c r="L86" s="78">
        <v>0</v>
      </c>
      <c r="M86" s="78">
        <v>0</v>
      </c>
      <c r="N86" s="78">
        <v>0</v>
      </c>
      <c r="O86" s="78">
        <v>0</v>
      </c>
      <c r="P86" s="78">
        <v>0</v>
      </c>
      <c r="Q86" s="78">
        <f t="shared" si="21"/>
        <v>0</v>
      </c>
      <c r="R86" s="78">
        <v>0</v>
      </c>
      <c r="S86" s="78">
        <v>0</v>
      </c>
      <c r="T86" s="78">
        <f t="shared" si="19"/>
        <v>0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63"/>
    </row>
    <row r="87" spans="1:27" ht="25.5" x14ac:dyDescent="0.2">
      <c r="A87" s="117">
        <v>77</v>
      </c>
      <c r="B87" s="118" t="s">
        <v>180</v>
      </c>
      <c r="C87" s="122" t="s">
        <v>410</v>
      </c>
      <c r="D87" s="78">
        <f t="shared" si="20"/>
        <v>3636</v>
      </c>
      <c r="E87" s="78">
        <f t="shared" si="17"/>
        <v>3636</v>
      </c>
      <c r="F87" s="78">
        <v>0</v>
      </c>
      <c r="G87" s="78">
        <v>0</v>
      </c>
      <c r="H87" s="78">
        <v>3636</v>
      </c>
      <c r="I87" s="78">
        <v>0</v>
      </c>
      <c r="J87" s="78">
        <f t="shared" si="18"/>
        <v>0</v>
      </c>
      <c r="K87" s="78">
        <v>0</v>
      </c>
      <c r="L87" s="78">
        <v>0</v>
      </c>
      <c r="M87" s="78">
        <v>0</v>
      </c>
      <c r="N87" s="78">
        <v>0</v>
      </c>
      <c r="O87" s="78">
        <v>0</v>
      </c>
      <c r="P87" s="78">
        <v>0</v>
      </c>
      <c r="Q87" s="78">
        <f t="shared" si="21"/>
        <v>0</v>
      </c>
      <c r="R87" s="78">
        <v>0</v>
      </c>
      <c r="S87" s="78">
        <v>0</v>
      </c>
      <c r="T87" s="78">
        <f t="shared" si="19"/>
        <v>0</v>
      </c>
      <c r="U87" s="78">
        <v>0</v>
      </c>
      <c r="V87" s="78">
        <v>0</v>
      </c>
      <c r="W87" s="78">
        <v>0</v>
      </c>
      <c r="X87" s="78">
        <v>0</v>
      </c>
      <c r="Y87" s="78">
        <v>0</v>
      </c>
      <c r="Z87" s="78">
        <v>0</v>
      </c>
      <c r="AA87" s="63"/>
    </row>
    <row r="88" spans="1:27" ht="25.5" x14ac:dyDescent="0.2">
      <c r="A88" s="117">
        <v>78</v>
      </c>
      <c r="B88" s="120" t="s">
        <v>181</v>
      </c>
      <c r="C88" s="122" t="s">
        <v>411</v>
      </c>
      <c r="D88" s="78">
        <f t="shared" si="20"/>
        <v>3977</v>
      </c>
      <c r="E88" s="78">
        <f t="shared" si="17"/>
        <v>3977</v>
      </c>
      <c r="F88" s="78">
        <v>0</v>
      </c>
      <c r="G88" s="78">
        <v>0</v>
      </c>
      <c r="H88" s="78">
        <v>3977</v>
      </c>
      <c r="I88" s="78">
        <v>0</v>
      </c>
      <c r="J88" s="78">
        <f t="shared" si="18"/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0</v>
      </c>
      <c r="Q88" s="78">
        <f t="shared" si="21"/>
        <v>0</v>
      </c>
      <c r="R88" s="78">
        <v>0</v>
      </c>
      <c r="S88" s="78">
        <v>0</v>
      </c>
      <c r="T88" s="78">
        <f t="shared" si="19"/>
        <v>0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63"/>
    </row>
    <row r="89" spans="1:27" ht="25.5" x14ac:dyDescent="0.2">
      <c r="A89" s="117">
        <v>79</v>
      </c>
      <c r="B89" s="120" t="s">
        <v>182</v>
      </c>
      <c r="C89" s="122" t="s">
        <v>412</v>
      </c>
      <c r="D89" s="78">
        <f t="shared" si="20"/>
        <v>2622</v>
      </c>
      <c r="E89" s="78">
        <f t="shared" si="17"/>
        <v>2622</v>
      </c>
      <c r="F89" s="78">
        <v>0</v>
      </c>
      <c r="G89" s="78">
        <v>0</v>
      </c>
      <c r="H89" s="78">
        <f>2622</f>
        <v>2622</v>
      </c>
      <c r="I89" s="78">
        <v>0</v>
      </c>
      <c r="J89" s="78">
        <f t="shared" si="18"/>
        <v>0</v>
      </c>
      <c r="K89" s="78">
        <v>0</v>
      </c>
      <c r="L89" s="78">
        <v>0</v>
      </c>
      <c r="M89" s="78">
        <v>0</v>
      </c>
      <c r="N89" s="78">
        <v>0</v>
      </c>
      <c r="O89" s="78">
        <v>0</v>
      </c>
      <c r="P89" s="78">
        <v>0</v>
      </c>
      <c r="Q89" s="78">
        <f t="shared" si="21"/>
        <v>0</v>
      </c>
      <c r="R89" s="78">
        <v>0</v>
      </c>
      <c r="S89" s="78">
        <v>0</v>
      </c>
      <c r="T89" s="78">
        <f t="shared" si="19"/>
        <v>0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63"/>
    </row>
    <row r="90" spans="1:27" ht="25.5" x14ac:dyDescent="0.2">
      <c r="A90" s="117">
        <v>80</v>
      </c>
      <c r="B90" s="118" t="s">
        <v>183</v>
      </c>
      <c r="C90" s="122" t="s">
        <v>413</v>
      </c>
      <c r="D90" s="78">
        <f t="shared" si="20"/>
        <v>10950</v>
      </c>
      <c r="E90" s="78">
        <f t="shared" si="17"/>
        <v>10950</v>
      </c>
      <c r="F90" s="78">
        <v>0</v>
      </c>
      <c r="G90" s="78">
        <v>0</v>
      </c>
      <c r="H90" s="78">
        <v>3963</v>
      </c>
      <c r="I90" s="78">
        <v>6987</v>
      </c>
      <c r="J90" s="78">
        <f t="shared" si="18"/>
        <v>0</v>
      </c>
      <c r="K90" s="78">
        <v>0</v>
      </c>
      <c r="L90" s="78">
        <v>0</v>
      </c>
      <c r="M90" s="78">
        <v>0</v>
      </c>
      <c r="N90" s="78">
        <v>0</v>
      </c>
      <c r="O90" s="78">
        <v>0</v>
      </c>
      <c r="P90" s="78">
        <v>0</v>
      </c>
      <c r="Q90" s="78">
        <f t="shared" si="21"/>
        <v>0</v>
      </c>
      <c r="R90" s="78">
        <v>0</v>
      </c>
      <c r="S90" s="78">
        <v>0</v>
      </c>
      <c r="T90" s="78">
        <f t="shared" si="19"/>
        <v>0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63"/>
    </row>
    <row r="91" spans="1:27" ht="25.5" x14ac:dyDescent="0.2">
      <c r="A91" s="117">
        <v>81</v>
      </c>
      <c r="B91" s="118" t="s">
        <v>184</v>
      </c>
      <c r="C91" s="122" t="s">
        <v>414</v>
      </c>
      <c r="D91" s="78">
        <f t="shared" si="20"/>
        <v>2748</v>
      </c>
      <c r="E91" s="78">
        <f t="shared" si="17"/>
        <v>2748</v>
      </c>
      <c r="F91" s="78">
        <v>0</v>
      </c>
      <c r="G91" s="78">
        <v>0</v>
      </c>
      <c r="H91" s="78">
        <v>2748</v>
      </c>
      <c r="I91" s="78">
        <v>0</v>
      </c>
      <c r="J91" s="78">
        <f t="shared" si="18"/>
        <v>0</v>
      </c>
      <c r="K91" s="78">
        <v>0</v>
      </c>
      <c r="L91" s="78">
        <v>0</v>
      </c>
      <c r="M91" s="78">
        <v>0</v>
      </c>
      <c r="N91" s="78">
        <v>0</v>
      </c>
      <c r="O91" s="78">
        <v>0</v>
      </c>
      <c r="P91" s="78">
        <v>0</v>
      </c>
      <c r="Q91" s="78">
        <f t="shared" si="21"/>
        <v>0</v>
      </c>
      <c r="R91" s="78">
        <v>0</v>
      </c>
      <c r="S91" s="78">
        <v>0</v>
      </c>
      <c r="T91" s="78">
        <f t="shared" si="19"/>
        <v>0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63"/>
    </row>
    <row r="92" spans="1:27" ht="25.5" x14ac:dyDescent="0.2">
      <c r="A92" s="117">
        <v>82</v>
      </c>
      <c r="B92" s="118" t="s">
        <v>185</v>
      </c>
      <c r="C92" s="122" t="s">
        <v>415</v>
      </c>
      <c r="D92" s="78">
        <f t="shared" si="20"/>
        <v>2774</v>
      </c>
      <c r="E92" s="78">
        <f t="shared" si="17"/>
        <v>2774</v>
      </c>
      <c r="F92" s="78">
        <v>0</v>
      </c>
      <c r="G92" s="78">
        <v>0</v>
      </c>
      <c r="H92" s="78">
        <v>2774</v>
      </c>
      <c r="I92" s="78">
        <v>0</v>
      </c>
      <c r="J92" s="78">
        <f t="shared" si="18"/>
        <v>0</v>
      </c>
      <c r="K92" s="78">
        <v>0</v>
      </c>
      <c r="L92" s="78">
        <v>0</v>
      </c>
      <c r="M92" s="78">
        <v>0</v>
      </c>
      <c r="N92" s="78">
        <v>0</v>
      </c>
      <c r="O92" s="78">
        <v>0</v>
      </c>
      <c r="P92" s="78">
        <v>0</v>
      </c>
      <c r="Q92" s="78">
        <f t="shared" si="21"/>
        <v>0</v>
      </c>
      <c r="R92" s="78">
        <v>0</v>
      </c>
      <c r="S92" s="78">
        <v>0</v>
      </c>
      <c r="T92" s="78">
        <f t="shared" si="19"/>
        <v>0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63"/>
    </row>
    <row r="93" spans="1:27" ht="25.5" x14ac:dyDescent="0.2">
      <c r="A93" s="117">
        <v>83</v>
      </c>
      <c r="B93" s="121" t="s">
        <v>106</v>
      </c>
      <c r="C93" s="122" t="s">
        <v>107</v>
      </c>
      <c r="D93" s="78">
        <f t="shared" si="20"/>
        <v>60863</v>
      </c>
      <c r="E93" s="78">
        <f t="shared" si="17"/>
        <v>0</v>
      </c>
      <c r="F93" s="78">
        <v>0</v>
      </c>
      <c r="G93" s="78">
        <v>0</v>
      </c>
      <c r="H93" s="78">
        <v>0</v>
      </c>
      <c r="I93" s="78">
        <v>0</v>
      </c>
      <c r="J93" s="78">
        <f t="shared" si="18"/>
        <v>60863</v>
      </c>
      <c r="K93" s="78">
        <v>9096</v>
      </c>
      <c r="L93" s="78">
        <v>702</v>
      </c>
      <c r="M93" s="78">
        <v>0</v>
      </c>
      <c r="N93" s="78">
        <v>0</v>
      </c>
      <c r="O93" s="78">
        <v>29679</v>
      </c>
      <c r="P93" s="78">
        <v>21386</v>
      </c>
      <c r="Q93" s="78">
        <f t="shared" si="21"/>
        <v>0</v>
      </c>
      <c r="R93" s="78">
        <v>0</v>
      </c>
      <c r="S93" s="78">
        <v>0</v>
      </c>
      <c r="T93" s="78">
        <f t="shared" si="19"/>
        <v>0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63"/>
    </row>
    <row r="94" spans="1:27" ht="12.75" x14ac:dyDescent="0.2">
      <c r="A94" s="117">
        <v>84</v>
      </c>
      <c r="B94" s="118" t="s">
        <v>108</v>
      </c>
      <c r="C94" s="122" t="s">
        <v>416</v>
      </c>
      <c r="D94" s="78">
        <f t="shared" si="20"/>
        <v>45080</v>
      </c>
      <c r="E94" s="78">
        <f t="shared" si="17"/>
        <v>0</v>
      </c>
      <c r="F94" s="78">
        <v>0</v>
      </c>
      <c r="G94" s="78">
        <v>0</v>
      </c>
      <c r="H94" s="78">
        <v>0</v>
      </c>
      <c r="I94" s="78">
        <v>0</v>
      </c>
      <c r="J94" s="78">
        <f t="shared" si="18"/>
        <v>40878</v>
      </c>
      <c r="K94" s="78">
        <v>11361</v>
      </c>
      <c r="L94" s="78">
        <v>0</v>
      </c>
      <c r="M94" s="78">
        <v>0</v>
      </c>
      <c r="N94" s="78">
        <v>0</v>
      </c>
      <c r="O94" s="78">
        <v>29517</v>
      </c>
      <c r="P94" s="78">
        <v>0</v>
      </c>
      <c r="Q94" s="78">
        <f t="shared" si="21"/>
        <v>1464</v>
      </c>
      <c r="R94" s="78">
        <v>1025</v>
      </c>
      <c r="S94" s="78">
        <v>439</v>
      </c>
      <c r="T94" s="78">
        <f t="shared" si="19"/>
        <v>2738</v>
      </c>
      <c r="U94" s="78">
        <v>2738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63"/>
    </row>
    <row r="95" spans="1:27" ht="12.75" x14ac:dyDescent="0.2">
      <c r="A95" s="117">
        <v>85</v>
      </c>
      <c r="B95" s="121" t="s">
        <v>109</v>
      </c>
      <c r="C95" s="122" t="s">
        <v>417</v>
      </c>
      <c r="D95" s="78">
        <f t="shared" si="20"/>
        <v>24636</v>
      </c>
      <c r="E95" s="78">
        <f t="shared" si="17"/>
        <v>0</v>
      </c>
      <c r="F95" s="78">
        <v>0</v>
      </c>
      <c r="G95" s="78">
        <v>0</v>
      </c>
      <c r="H95" s="78">
        <v>0</v>
      </c>
      <c r="I95" s="78">
        <v>0</v>
      </c>
      <c r="J95" s="78">
        <f t="shared" si="18"/>
        <v>24568</v>
      </c>
      <c r="K95" s="78">
        <v>2970</v>
      </c>
      <c r="L95" s="78">
        <v>0</v>
      </c>
      <c r="M95" s="78">
        <v>2450</v>
      </c>
      <c r="N95" s="78">
        <v>0</v>
      </c>
      <c r="O95" s="78">
        <v>19148</v>
      </c>
      <c r="P95" s="78">
        <v>0</v>
      </c>
      <c r="Q95" s="78">
        <f t="shared" si="21"/>
        <v>0</v>
      </c>
      <c r="R95" s="78">
        <v>0</v>
      </c>
      <c r="S95" s="78">
        <v>0</v>
      </c>
      <c r="T95" s="78">
        <f t="shared" si="19"/>
        <v>68</v>
      </c>
      <c r="U95" s="78">
        <v>68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63"/>
    </row>
    <row r="96" spans="1:27" ht="12.75" x14ac:dyDescent="0.2">
      <c r="A96" s="117">
        <v>86</v>
      </c>
      <c r="B96" s="123" t="s">
        <v>110</v>
      </c>
      <c r="C96" s="124" t="s">
        <v>418</v>
      </c>
      <c r="D96" s="78">
        <f t="shared" si="20"/>
        <v>11900</v>
      </c>
      <c r="E96" s="78">
        <f t="shared" si="17"/>
        <v>0</v>
      </c>
      <c r="F96" s="78">
        <v>0</v>
      </c>
      <c r="G96" s="78">
        <v>0</v>
      </c>
      <c r="H96" s="78">
        <v>0</v>
      </c>
      <c r="I96" s="78">
        <v>0</v>
      </c>
      <c r="J96" s="78">
        <f t="shared" si="18"/>
        <v>11900</v>
      </c>
      <c r="K96" s="78">
        <v>1500</v>
      </c>
      <c r="L96" s="78">
        <v>0</v>
      </c>
      <c r="M96" s="78">
        <v>2167</v>
      </c>
      <c r="N96" s="78">
        <v>0</v>
      </c>
      <c r="O96" s="78">
        <v>8233</v>
      </c>
      <c r="P96" s="78">
        <v>0</v>
      </c>
      <c r="Q96" s="78">
        <f t="shared" si="21"/>
        <v>0</v>
      </c>
      <c r="R96" s="78">
        <v>0</v>
      </c>
      <c r="S96" s="78">
        <v>0</v>
      </c>
      <c r="T96" s="78">
        <f t="shared" si="19"/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63"/>
    </row>
    <row r="97" spans="1:27" ht="12.75" x14ac:dyDescent="0.2">
      <c r="A97" s="117">
        <v>87</v>
      </c>
      <c r="B97" s="118" t="s">
        <v>111</v>
      </c>
      <c r="C97" s="122" t="s">
        <v>419</v>
      </c>
      <c r="D97" s="78">
        <f t="shared" si="20"/>
        <v>3506</v>
      </c>
      <c r="E97" s="78">
        <f t="shared" si="17"/>
        <v>0</v>
      </c>
      <c r="F97" s="78">
        <v>0</v>
      </c>
      <c r="G97" s="78">
        <v>0</v>
      </c>
      <c r="H97" s="78">
        <v>0</v>
      </c>
      <c r="I97" s="78">
        <v>0</v>
      </c>
      <c r="J97" s="78">
        <f t="shared" si="18"/>
        <v>2042</v>
      </c>
      <c r="K97" s="78">
        <v>106</v>
      </c>
      <c r="L97" s="78">
        <v>0</v>
      </c>
      <c r="M97" s="78">
        <v>0</v>
      </c>
      <c r="N97" s="78">
        <v>0</v>
      </c>
      <c r="O97" s="78">
        <v>1936</v>
      </c>
      <c r="P97" s="78">
        <v>0</v>
      </c>
      <c r="Q97" s="78">
        <f t="shared" si="21"/>
        <v>1464</v>
      </c>
      <c r="R97" s="78">
        <v>1025</v>
      </c>
      <c r="S97" s="78">
        <v>439</v>
      </c>
      <c r="T97" s="78">
        <f t="shared" si="19"/>
        <v>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63"/>
    </row>
    <row r="98" spans="1:27" ht="12.75" x14ac:dyDescent="0.2">
      <c r="A98" s="117">
        <v>88</v>
      </c>
      <c r="B98" s="118" t="s">
        <v>112</v>
      </c>
      <c r="C98" s="122" t="s">
        <v>420</v>
      </c>
      <c r="D98" s="78">
        <f t="shared" si="20"/>
        <v>113915</v>
      </c>
      <c r="E98" s="78">
        <f t="shared" si="17"/>
        <v>0</v>
      </c>
      <c r="F98" s="78">
        <v>0</v>
      </c>
      <c r="G98" s="78">
        <v>0</v>
      </c>
      <c r="H98" s="78">
        <v>0</v>
      </c>
      <c r="I98" s="78">
        <v>0</v>
      </c>
      <c r="J98" s="78">
        <f t="shared" si="18"/>
        <v>90390</v>
      </c>
      <c r="K98" s="78">
        <v>28167</v>
      </c>
      <c r="L98" s="78">
        <v>0</v>
      </c>
      <c r="M98" s="78">
        <v>3461</v>
      </c>
      <c r="N98" s="78">
        <v>0</v>
      </c>
      <c r="O98" s="78">
        <v>58762</v>
      </c>
      <c r="P98" s="78">
        <v>0</v>
      </c>
      <c r="Q98" s="78">
        <f t="shared" si="21"/>
        <v>4392</v>
      </c>
      <c r="R98" s="78">
        <v>3075</v>
      </c>
      <c r="S98" s="78">
        <v>1317</v>
      </c>
      <c r="T98" s="78">
        <f t="shared" si="19"/>
        <v>17589</v>
      </c>
      <c r="U98" s="78">
        <v>17589</v>
      </c>
      <c r="V98" s="78">
        <v>10003</v>
      </c>
      <c r="W98" s="78">
        <v>0</v>
      </c>
      <c r="X98" s="78">
        <v>0</v>
      </c>
      <c r="Y98" s="78">
        <v>0</v>
      </c>
      <c r="Z98" s="78">
        <v>1544</v>
      </c>
      <c r="AA98" s="63"/>
    </row>
    <row r="99" spans="1:27" ht="12.75" x14ac:dyDescent="0.2">
      <c r="A99" s="117">
        <v>89</v>
      </c>
      <c r="B99" s="123" t="s">
        <v>113</v>
      </c>
      <c r="C99" s="124" t="s">
        <v>421</v>
      </c>
      <c r="D99" s="78">
        <f t="shared" si="20"/>
        <v>21367</v>
      </c>
      <c r="E99" s="78">
        <f t="shared" si="17"/>
        <v>0</v>
      </c>
      <c r="F99" s="78">
        <v>0</v>
      </c>
      <c r="G99" s="78">
        <v>0</v>
      </c>
      <c r="H99" s="78">
        <v>0</v>
      </c>
      <c r="I99" s="78">
        <v>0</v>
      </c>
      <c r="J99" s="78">
        <f t="shared" si="18"/>
        <v>21367</v>
      </c>
      <c r="K99" s="78">
        <v>0</v>
      </c>
      <c r="L99" s="78">
        <v>1620</v>
      </c>
      <c r="M99" s="78">
        <v>0</v>
      </c>
      <c r="N99" s="78">
        <v>0</v>
      </c>
      <c r="O99" s="78">
        <v>0</v>
      </c>
      <c r="P99" s="78">
        <v>19747</v>
      </c>
      <c r="Q99" s="78">
        <f t="shared" si="21"/>
        <v>0</v>
      </c>
      <c r="R99" s="78">
        <v>0</v>
      </c>
      <c r="S99" s="78">
        <v>0</v>
      </c>
      <c r="T99" s="78">
        <f t="shared" si="19"/>
        <v>0</v>
      </c>
      <c r="U99" s="78">
        <v>0</v>
      </c>
      <c r="V99" s="78">
        <v>0</v>
      </c>
      <c r="W99" s="78">
        <v>0</v>
      </c>
      <c r="X99" s="78">
        <v>0</v>
      </c>
      <c r="Y99" s="78">
        <v>0</v>
      </c>
      <c r="Z99" s="78">
        <v>0</v>
      </c>
      <c r="AA99" s="63"/>
    </row>
    <row r="100" spans="1:27" ht="12.75" x14ac:dyDescent="0.2">
      <c r="A100" s="117">
        <v>90</v>
      </c>
      <c r="B100" s="118" t="s">
        <v>9</v>
      </c>
      <c r="C100" s="122" t="s">
        <v>422</v>
      </c>
      <c r="D100" s="78">
        <f t="shared" si="20"/>
        <v>22503</v>
      </c>
      <c r="E100" s="78">
        <f t="shared" si="17"/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f t="shared" si="18"/>
        <v>20503</v>
      </c>
      <c r="K100" s="78">
        <v>7329</v>
      </c>
      <c r="L100" s="78">
        <v>0</v>
      </c>
      <c r="M100" s="78">
        <v>793</v>
      </c>
      <c r="N100" s="78">
        <v>0</v>
      </c>
      <c r="O100" s="78">
        <v>12381</v>
      </c>
      <c r="P100" s="78">
        <v>0</v>
      </c>
      <c r="Q100" s="78">
        <f t="shared" si="21"/>
        <v>0</v>
      </c>
      <c r="R100" s="78">
        <v>0</v>
      </c>
      <c r="S100" s="78">
        <v>0</v>
      </c>
      <c r="T100" s="78">
        <f t="shared" si="19"/>
        <v>2000</v>
      </c>
      <c r="U100" s="78">
        <v>1740</v>
      </c>
      <c r="V100" s="78">
        <v>0</v>
      </c>
      <c r="W100" s="78">
        <v>260</v>
      </c>
      <c r="X100" s="78">
        <v>0</v>
      </c>
      <c r="Y100" s="78">
        <v>0</v>
      </c>
      <c r="Z100" s="78">
        <v>0</v>
      </c>
      <c r="AA100" s="63"/>
    </row>
    <row r="101" spans="1:27" ht="12.75" x14ac:dyDescent="0.2">
      <c r="A101" s="117">
        <v>91</v>
      </c>
      <c r="B101" s="123" t="s">
        <v>114</v>
      </c>
      <c r="C101" s="124" t="s">
        <v>423</v>
      </c>
      <c r="D101" s="78">
        <f t="shared" si="20"/>
        <v>10116</v>
      </c>
      <c r="E101" s="78">
        <f t="shared" si="17"/>
        <v>10116</v>
      </c>
      <c r="F101" s="78">
        <v>10116</v>
      </c>
      <c r="G101" s="78">
        <v>0</v>
      </c>
      <c r="H101" s="78">
        <v>0</v>
      </c>
      <c r="I101" s="78">
        <v>0</v>
      </c>
      <c r="J101" s="78">
        <f t="shared" si="18"/>
        <v>0</v>
      </c>
      <c r="K101" s="78">
        <v>0</v>
      </c>
      <c r="L101" s="78">
        <v>0</v>
      </c>
      <c r="M101" s="78">
        <v>0</v>
      </c>
      <c r="N101" s="78">
        <v>0</v>
      </c>
      <c r="O101" s="78">
        <v>0</v>
      </c>
      <c r="P101" s="78">
        <v>0</v>
      </c>
      <c r="Q101" s="78">
        <f t="shared" si="21"/>
        <v>0</v>
      </c>
      <c r="R101" s="78">
        <v>0</v>
      </c>
      <c r="S101" s="78">
        <v>0</v>
      </c>
      <c r="T101" s="78">
        <f t="shared" si="19"/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63"/>
    </row>
    <row r="102" spans="1:27" x14ac:dyDescent="0.2">
      <c r="A102" s="117">
        <v>92</v>
      </c>
      <c r="B102" s="148" t="s">
        <v>324</v>
      </c>
      <c r="C102" s="86" t="s">
        <v>424</v>
      </c>
      <c r="D102" s="78">
        <f t="shared" si="20"/>
        <v>0</v>
      </c>
      <c r="E102" s="78">
        <f t="shared" si="17"/>
        <v>0</v>
      </c>
      <c r="F102" s="78">
        <v>0</v>
      </c>
      <c r="G102" s="78">
        <v>0</v>
      </c>
      <c r="H102" s="78">
        <v>0</v>
      </c>
      <c r="I102" s="78">
        <v>0</v>
      </c>
      <c r="J102" s="78">
        <f t="shared" si="18"/>
        <v>0</v>
      </c>
      <c r="K102" s="78">
        <v>0</v>
      </c>
      <c r="L102" s="78">
        <v>0</v>
      </c>
      <c r="M102" s="78">
        <v>0</v>
      </c>
      <c r="N102" s="78">
        <v>0</v>
      </c>
      <c r="O102" s="78">
        <v>0</v>
      </c>
      <c r="P102" s="78">
        <v>0</v>
      </c>
      <c r="Q102" s="78">
        <f t="shared" si="21"/>
        <v>0</v>
      </c>
      <c r="R102" s="78">
        <v>0</v>
      </c>
      <c r="S102" s="78">
        <v>0</v>
      </c>
      <c r="T102" s="78">
        <f t="shared" si="19"/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63"/>
    </row>
    <row r="103" spans="1:27" ht="25.5" x14ac:dyDescent="0.2">
      <c r="A103" s="117">
        <v>93</v>
      </c>
      <c r="B103" s="121" t="s">
        <v>115</v>
      </c>
      <c r="C103" s="122" t="s">
        <v>116</v>
      </c>
      <c r="D103" s="78">
        <f t="shared" si="20"/>
        <v>30982</v>
      </c>
      <c r="E103" s="78">
        <f t="shared" si="17"/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f t="shared" si="18"/>
        <v>14753</v>
      </c>
      <c r="K103" s="78">
        <v>800</v>
      </c>
      <c r="L103" s="78">
        <v>0</v>
      </c>
      <c r="M103" s="78">
        <v>3600</v>
      </c>
      <c r="N103" s="78">
        <v>0</v>
      </c>
      <c r="O103" s="78">
        <v>10353</v>
      </c>
      <c r="P103" s="78">
        <v>0</v>
      </c>
      <c r="Q103" s="78">
        <f t="shared" si="21"/>
        <v>0</v>
      </c>
      <c r="R103" s="78">
        <v>0</v>
      </c>
      <c r="S103" s="78">
        <v>0</v>
      </c>
      <c r="T103" s="78">
        <f t="shared" si="19"/>
        <v>16229</v>
      </c>
      <c r="U103" s="78">
        <v>16229</v>
      </c>
      <c r="V103" s="78">
        <v>9196</v>
      </c>
      <c r="W103" s="78">
        <v>0</v>
      </c>
      <c r="X103" s="78">
        <v>0</v>
      </c>
      <c r="Y103" s="78">
        <v>0</v>
      </c>
      <c r="Z103" s="78">
        <v>0</v>
      </c>
      <c r="AA103" s="63"/>
    </row>
    <row r="104" spans="1:27" ht="25.5" x14ac:dyDescent="0.2">
      <c r="A104" s="117">
        <v>94</v>
      </c>
      <c r="B104" s="120" t="s">
        <v>186</v>
      </c>
      <c r="C104" s="119" t="s">
        <v>425</v>
      </c>
      <c r="D104" s="78">
        <f t="shared" si="20"/>
        <v>8400</v>
      </c>
      <c r="E104" s="78">
        <f t="shared" si="17"/>
        <v>8400</v>
      </c>
      <c r="F104" s="78">
        <v>8100</v>
      </c>
      <c r="G104" s="78">
        <v>0</v>
      </c>
      <c r="H104" s="78">
        <v>300</v>
      </c>
      <c r="I104" s="78">
        <v>0</v>
      </c>
      <c r="J104" s="78">
        <f t="shared" si="18"/>
        <v>0</v>
      </c>
      <c r="K104" s="78">
        <v>0</v>
      </c>
      <c r="L104" s="78">
        <v>0</v>
      </c>
      <c r="M104" s="78">
        <v>0</v>
      </c>
      <c r="N104" s="78">
        <v>0</v>
      </c>
      <c r="O104" s="78">
        <v>0</v>
      </c>
      <c r="P104" s="78">
        <v>0</v>
      </c>
      <c r="Q104" s="78">
        <f t="shared" si="21"/>
        <v>0</v>
      </c>
      <c r="R104" s="78">
        <v>0</v>
      </c>
      <c r="S104" s="78">
        <v>0</v>
      </c>
      <c r="T104" s="78">
        <f t="shared" si="19"/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63"/>
    </row>
    <row r="105" spans="1:27" ht="12.75" x14ac:dyDescent="0.2">
      <c r="A105" s="117">
        <v>95</v>
      </c>
      <c r="B105" s="120" t="s">
        <v>117</v>
      </c>
      <c r="C105" s="124" t="s">
        <v>426</v>
      </c>
      <c r="D105" s="78">
        <f t="shared" si="20"/>
        <v>8985</v>
      </c>
      <c r="E105" s="78">
        <f t="shared" si="17"/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f t="shared" si="18"/>
        <v>8985</v>
      </c>
      <c r="K105" s="78">
        <v>422</v>
      </c>
      <c r="L105" s="78">
        <v>0</v>
      </c>
      <c r="M105" s="78">
        <v>670</v>
      </c>
      <c r="N105" s="78">
        <v>0</v>
      </c>
      <c r="O105" s="78">
        <v>7893</v>
      </c>
      <c r="P105" s="78">
        <v>0</v>
      </c>
      <c r="Q105" s="78">
        <f t="shared" si="21"/>
        <v>0</v>
      </c>
      <c r="R105" s="78">
        <v>0</v>
      </c>
      <c r="S105" s="78">
        <v>0</v>
      </c>
      <c r="T105" s="78">
        <f t="shared" si="19"/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63"/>
    </row>
    <row r="106" spans="1:27" ht="12.75" x14ac:dyDescent="0.2">
      <c r="A106" s="117">
        <v>96</v>
      </c>
      <c r="B106" s="121" t="s">
        <v>118</v>
      </c>
      <c r="C106" s="122" t="s">
        <v>427</v>
      </c>
      <c r="D106" s="78">
        <f t="shared" si="20"/>
        <v>20838</v>
      </c>
      <c r="E106" s="78">
        <f t="shared" si="17"/>
        <v>0</v>
      </c>
      <c r="F106" s="78">
        <v>0</v>
      </c>
      <c r="G106" s="78">
        <v>0</v>
      </c>
      <c r="H106" s="78">
        <v>0</v>
      </c>
      <c r="I106" s="78">
        <v>0</v>
      </c>
      <c r="J106" s="78">
        <f t="shared" si="18"/>
        <v>17910</v>
      </c>
      <c r="K106" s="78">
        <v>2456</v>
      </c>
      <c r="L106" s="78">
        <v>0</v>
      </c>
      <c r="M106" s="78">
        <v>1600</v>
      </c>
      <c r="N106" s="78">
        <v>0</v>
      </c>
      <c r="O106" s="78">
        <v>13854</v>
      </c>
      <c r="P106" s="78">
        <v>0</v>
      </c>
      <c r="Q106" s="78">
        <f t="shared" si="21"/>
        <v>2928</v>
      </c>
      <c r="R106" s="78">
        <v>2051</v>
      </c>
      <c r="S106" s="78">
        <v>877</v>
      </c>
      <c r="T106" s="78">
        <f t="shared" si="19"/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63"/>
    </row>
    <row r="107" spans="1:27" ht="12.75" x14ac:dyDescent="0.2">
      <c r="A107" s="117">
        <v>97</v>
      </c>
      <c r="B107" s="120" t="s">
        <v>119</v>
      </c>
      <c r="C107" s="130" t="s">
        <v>120</v>
      </c>
      <c r="D107" s="78">
        <f t="shared" si="20"/>
        <v>24173</v>
      </c>
      <c r="E107" s="78">
        <f t="shared" si="17"/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f t="shared" si="18"/>
        <v>24173</v>
      </c>
      <c r="K107" s="78">
        <v>1650</v>
      </c>
      <c r="L107" s="78">
        <v>150</v>
      </c>
      <c r="M107" s="78">
        <v>458</v>
      </c>
      <c r="N107" s="78">
        <v>92</v>
      </c>
      <c r="O107" s="78">
        <v>17656</v>
      </c>
      <c r="P107" s="78">
        <v>4167</v>
      </c>
      <c r="Q107" s="78">
        <f t="shared" si="21"/>
        <v>0</v>
      </c>
      <c r="R107" s="78">
        <v>0</v>
      </c>
      <c r="S107" s="78">
        <v>0</v>
      </c>
      <c r="T107" s="78">
        <f t="shared" si="19"/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63"/>
    </row>
    <row r="108" spans="1:27" ht="12.75" x14ac:dyDescent="0.2">
      <c r="A108" s="117">
        <v>98</v>
      </c>
      <c r="B108" s="121" t="s">
        <v>121</v>
      </c>
      <c r="C108" s="122" t="s">
        <v>122</v>
      </c>
      <c r="D108" s="78">
        <f t="shared" si="20"/>
        <v>15574</v>
      </c>
      <c r="E108" s="78">
        <f t="shared" si="17"/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f t="shared" si="18"/>
        <v>15574</v>
      </c>
      <c r="K108" s="78">
        <v>946</v>
      </c>
      <c r="L108" s="78">
        <v>176</v>
      </c>
      <c r="M108" s="78">
        <v>0</v>
      </c>
      <c r="N108" s="78">
        <v>0</v>
      </c>
      <c r="O108" s="78">
        <v>10105</v>
      </c>
      <c r="P108" s="78">
        <v>4347</v>
      </c>
      <c r="Q108" s="78">
        <f t="shared" si="21"/>
        <v>0</v>
      </c>
      <c r="R108" s="78">
        <v>0</v>
      </c>
      <c r="S108" s="78">
        <v>0</v>
      </c>
      <c r="T108" s="78">
        <f t="shared" si="19"/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63"/>
    </row>
    <row r="109" spans="1:27" ht="12.75" x14ac:dyDescent="0.2">
      <c r="A109" s="117">
        <v>99</v>
      </c>
      <c r="B109" s="121" t="s">
        <v>123</v>
      </c>
      <c r="C109" s="122" t="s">
        <v>124</v>
      </c>
      <c r="D109" s="78">
        <f t="shared" si="20"/>
        <v>54132</v>
      </c>
      <c r="E109" s="78">
        <f t="shared" si="17"/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f t="shared" si="18"/>
        <v>54132</v>
      </c>
      <c r="K109" s="78">
        <v>2955</v>
      </c>
      <c r="L109" s="78">
        <v>350</v>
      </c>
      <c r="M109" s="78">
        <v>1466</v>
      </c>
      <c r="N109" s="78">
        <v>0</v>
      </c>
      <c r="O109" s="78">
        <v>38633</v>
      </c>
      <c r="P109" s="78">
        <v>10728</v>
      </c>
      <c r="Q109" s="78">
        <f t="shared" si="21"/>
        <v>0</v>
      </c>
      <c r="R109" s="78">
        <v>0</v>
      </c>
      <c r="S109" s="78">
        <v>0</v>
      </c>
      <c r="T109" s="78">
        <f t="shared" si="19"/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63"/>
    </row>
    <row r="110" spans="1:27" ht="12.75" x14ac:dyDescent="0.2">
      <c r="A110" s="117">
        <v>100</v>
      </c>
      <c r="B110" s="120" t="s">
        <v>125</v>
      </c>
      <c r="C110" s="124" t="s">
        <v>126</v>
      </c>
      <c r="D110" s="78">
        <f t="shared" si="20"/>
        <v>21731</v>
      </c>
      <c r="E110" s="78">
        <f t="shared" si="17"/>
        <v>0</v>
      </c>
      <c r="F110" s="78">
        <v>0</v>
      </c>
      <c r="G110" s="78">
        <v>0</v>
      </c>
      <c r="H110" s="78">
        <v>0</v>
      </c>
      <c r="I110" s="78">
        <v>0</v>
      </c>
      <c r="J110" s="78">
        <f t="shared" si="18"/>
        <v>21731</v>
      </c>
      <c r="K110" s="78">
        <v>2535</v>
      </c>
      <c r="L110" s="78">
        <v>410</v>
      </c>
      <c r="M110" s="78">
        <v>747</v>
      </c>
      <c r="N110" s="78">
        <v>467</v>
      </c>
      <c r="O110" s="78">
        <v>14285</v>
      </c>
      <c r="P110" s="78">
        <v>3287</v>
      </c>
      <c r="Q110" s="78">
        <f t="shared" si="21"/>
        <v>0</v>
      </c>
      <c r="R110" s="78">
        <v>0</v>
      </c>
      <c r="S110" s="78">
        <v>0</v>
      </c>
      <c r="T110" s="78">
        <f t="shared" si="19"/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63"/>
    </row>
    <row r="111" spans="1:27" ht="12.75" x14ac:dyDescent="0.2">
      <c r="A111" s="117">
        <v>101</v>
      </c>
      <c r="B111" s="120" t="s">
        <v>127</v>
      </c>
      <c r="C111" s="119" t="s">
        <v>128</v>
      </c>
      <c r="D111" s="78">
        <f t="shared" si="20"/>
        <v>22022</v>
      </c>
      <c r="E111" s="78">
        <f t="shared" si="17"/>
        <v>0</v>
      </c>
      <c r="F111" s="78">
        <v>0</v>
      </c>
      <c r="G111" s="78">
        <v>0</v>
      </c>
      <c r="H111" s="78">
        <v>0</v>
      </c>
      <c r="I111" s="78">
        <v>0</v>
      </c>
      <c r="J111" s="78">
        <f t="shared" si="18"/>
        <v>20558</v>
      </c>
      <c r="K111" s="78">
        <v>5130</v>
      </c>
      <c r="L111" s="78">
        <v>213</v>
      </c>
      <c r="M111" s="78">
        <v>277</v>
      </c>
      <c r="N111" s="78">
        <v>0</v>
      </c>
      <c r="O111" s="78">
        <v>12517</v>
      </c>
      <c r="P111" s="78">
        <v>2421</v>
      </c>
      <c r="Q111" s="78">
        <f t="shared" si="21"/>
        <v>1464</v>
      </c>
      <c r="R111" s="78">
        <v>1025</v>
      </c>
      <c r="S111" s="78">
        <v>439</v>
      </c>
      <c r="T111" s="78">
        <f t="shared" si="19"/>
        <v>0</v>
      </c>
      <c r="U111" s="78">
        <v>0</v>
      </c>
      <c r="V111" s="78">
        <v>0</v>
      </c>
      <c r="W111" s="78">
        <v>0</v>
      </c>
      <c r="X111" s="78">
        <v>0</v>
      </c>
      <c r="Y111" s="78">
        <v>0</v>
      </c>
      <c r="Z111" s="78">
        <v>0</v>
      </c>
      <c r="AA111" s="63"/>
    </row>
    <row r="112" spans="1:27" ht="12.75" x14ac:dyDescent="0.2">
      <c r="A112" s="117">
        <v>102</v>
      </c>
      <c r="B112" s="118" t="s">
        <v>129</v>
      </c>
      <c r="C112" s="119" t="s">
        <v>130</v>
      </c>
      <c r="D112" s="78">
        <f t="shared" si="20"/>
        <v>35317</v>
      </c>
      <c r="E112" s="78">
        <f t="shared" si="17"/>
        <v>0</v>
      </c>
      <c r="F112" s="78">
        <v>0</v>
      </c>
      <c r="G112" s="78">
        <v>0</v>
      </c>
      <c r="H112" s="78">
        <v>0</v>
      </c>
      <c r="I112" s="78">
        <v>0</v>
      </c>
      <c r="J112" s="78">
        <f t="shared" si="18"/>
        <v>35317</v>
      </c>
      <c r="K112" s="78">
        <v>590</v>
      </c>
      <c r="L112" s="78">
        <v>230</v>
      </c>
      <c r="M112" s="78">
        <v>176</v>
      </c>
      <c r="N112" s="78">
        <v>176</v>
      </c>
      <c r="O112" s="78">
        <v>20117</v>
      </c>
      <c r="P112" s="78">
        <v>14028</v>
      </c>
      <c r="Q112" s="78">
        <f t="shared" si="21"/>
        <v>0</v>
      </c>
      <c r="R112" s="78">
        <v>0</v>
      </c>
      <c r="S112" s="78">
        <v>0</v>
      </c>
      <c r="T112" s="78">
        <f t="shared" si="19"/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63"/>
    </row>
    <row r="113" spans="1:27" ht="12.75" x14ac:dyDescent="0.2">
      <c r="A113" s="117">
        <v>103</v>
      </c>
      <c r="B113" s="118" t="s">
        <v>131</v>
      </c>
      <c r="C113" s="119" t="s">
        <v>132</v>
      </c>
      <c r="D113" s="78">
        <f t="shared" si="20"/>
        <v>29551</v>
      </c>
      <c r="E113" s="78">
        <f t="shared" si="17"/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f t="shared" si="18"/>
        <v>29551</v>
      </c>
      <c r="K113" s="78">
        <v>10891</v>
      </c>
      <c r="L113" s="78">
        <v>1100</v>
      </c>
      <c r="M113" s="78">
        <v>1193</v>
      </c>
      <c r="N113" s="78">
        <v>145</v>
      </c>
      <c r="O113" s="78">
        <v>10290</v>
      </c>
      <c r="P113" s="78">
        <v>5932</v>
      </c>
      <c r="Q113" s="78">
        <f t="shared" si="21"/>
        <v>0</v>
      </c>
      <c r="R113" s="78">
        <v>0</v>
      </c>
      <c r="S113" s="78">
        <v>0</v>
      </c>
      <c r="T113" s="78">
        <f t="shared" si="19"/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63"/>
    </row>
    <row r="114" spans="1:27" ht="12.75" x14ac:dyDescent="0.2">
      <c r="A114" s="117">
        <v>104</v>
      </c>
      <c r="B114" s="121" t="s">
        <v>133</v>
      </c>
      <c r="C114" s="122" t="s">
        <v>134</v>
      </c>
      <c r="D114" s="78">
        <f t="shared" si="20"/>
        <v>14343</v>
      </c>
      <c r="E114" s="78">
        <f t="shared" si="17"/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f t="shared" si="18"/>
        <v>14343</v>
      </c>
      <c r="K114" s="78">
        <v>2643</v>
      </c>
      <c r="L114" s="78">
        <v>2100</v>
      </c>
      <c r="M114" s="78">
        <v>1483</v>
      </c>
      <c r="N114" s="78">
        <v>0</v>
      </c>
      <c r="O114" s="78">
        <v>4629</v>
      </c>
      <c r="P114" s="78">
        <v>3488</v>
      </c>
      <c r="Q114" s="78">
        <f t="shared" si="21"/>
        <v>0</v>
      </c>
      <c r="R114" s="78">
        <v>0</v>
      </c>
      <c r="S114" s="78">
        <v>0</v>
      </c>
      <c r="T114" s="78">
        <f t="shared" si="19"/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63"/>
    </row>
    <row r="115" spans="1:27" ht="12.75" x14ac:dyDescent="0.2">
      <c r="A115" s="117">
        <v>105</v>
      </c>
      <c r="B115" s="123" t="s">
        <v>135</v>
      </c>
      <c r="C115" s="124" t="s">
        <v>136</v>
      </c>
      <c r="D115" s="78">
        <f t="shared" si="20"/>
        <v>14610</v>
      </c>
      <c r="E115" s="78">
        <f t="shared" si="17"/>
        <v>0</v>
      </c>
      <c r="F115" s="78">
        <v>0</v>
      </c>
      <c r="G115" s="78">
        <v>0</v>
      </c>
      <c r="H115" s="78">
        <v>0</v>
      </c>
      <c r="I115" s="78">
        <v>0</v>
      </c>
      <c r="J115" s="78">
        <f t="shared" si="18"/>
        <v>14610</v>
      </c>
      <c r="K115" s="78">
        <v>1164</v>
      </c>
      <c r="L115" s="78">
        <v>276</v>
      </c>
      <c r="M115" s="78">
        <v>308</v>
      </c>
      <c r="N115" s="78">
        <v>131</v>
      </c>
      <c r="O115" s="78">
        <v>9618</v>
      </c>
      <c r="P115" s="78">
        <v>3113</v>
      </c>
      <c r="Q115" s="78">
        <f t="shared" si="21"/>
        <v>0</v>
      </c>
      <c r="R115" s="78">
        <v>0</v>
      </c>
      <c r="S115" s="78">
        <v>0</v>
      </c>
      <c r="T115" s="78">
        <f t="shared" si="19"/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63"/>
    </row>
    <row r="116" spans="1:27" ht="12.75" x14ac:dyDescent="0.2">
      <c r="A116" s="117">
        <v>106</v>
      </c>
      <c r="B116" s="118" t="s">
        <v>137</v>
      </c>
      <c r="C116" s="119" t="s">
        <v>138</v>
      </c>
      <c r="D116" s="78">
        <f t="shared" si="20"/>
        <v>19191</v>
      </c>
      <c r="E116" s="78">
        <f t="shared" si="17"/>
        <v>0</v>
      </c>
      <c r="F116" s="78">
        <v>0</v>
      </c>
      <c r="G116" s="78">
        <v>0</v>
      </c>
      <c r="H116" s="78">
        <v>0</v>
      </c>
      <c r="I116" s="78">
        <v>0</v>
      </c>
      <c r="J116" s="78">
        <f t="shared" si="18"/>
        <v>19031</v>
      </c>
      <c r="K116" s="78">
        <v>4102</v>
      </c>
      <c r="L116" s="78">
        <v>1110</v>
      </c>
      <c r="M116" s="78">
        <v>2083</v>
      </c>
      <c r="N116" s="78">
        <v>708</v>
      </c>
      <c r="O116" s="78">
        <v>7603</v>
      </c>
      <c r="P116" s="78">
        <v>3425</v>
      </c>
      <c r="Q116" s="78">
        <f t="shared" si="21"/>
        <v>0</v>
      </c>
      <c r="R116" s="78">
        <v>0</v>
      </c>
      <c r="S116" s="78">
        <v>0</v>
      </c>
      <c r="T116" s="78">
        <f t="shared" si="19"/>
        <v>160</v>
      </c>
      <c r="U116" s="78">
        <v>160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63"/>
    </row>
    <row r="117" spans="1:27" ht="12.75" x14ac:dyDescent="0.2">
      <c r="A117" s="117">
        <v>107</v>
      </c>
      <c r="B117" s="120" t="s">
        <v>139</v>
      </c>
      <c r="C117" s="119" t="s">
        <v>140</v>
      </c>
      <c r="D117" s="78">
        <f t="shared" si="20"/>
        <v>20558</v>
      </c>
      <c r="E117" s="78">
        <f t="shared" si="17"/>
        <v>0</v>
      </c>
      <c r="F117" s="78">
        <v>0</v>
      </c>
      <c r="G117" s="78">
        <v>0</v>
      </c>
      <c r="H117" s="78">
        <v>0</v>
      </c>
      <c r="I117" s="78">
        <v>0</v>
      </c>
      <c r="J117" s="78">
        <f t="shared" si="18"/>
        <v>19059</v>
      </c>
      <c r="K117" s="78">
        <v>3800</v>
      </c>
      <c r="L117" s="78">
        <v>450</v>
      </c>
      <c r="M117" s="78">
        <v>1643</v>
      </c>
      <c r="N117" s="78">
        <v>0</v>
      </c>
      <c r="O117" s="78">
        <v>9420</v>
      </c>
      <c r="P117" s="78">
        <v>3746</v>
      </c>
      <c r="Q117" s="78">
        <f t="shared" si="21"/>
        <v>1399</v>
      </c>
      <c r="R117" s="78">
        <v>1025</v>
      </c>
      <c r="S117" s="78">
        <v>374</v>
      </c>
      <c r="T117" s="78">
        <f t="shared" si="19"/>
        <v>100</v>
      </c>
      <c r="U117" s="78">
        <v>100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63"/>
    </row>
    <row r="118" spans="1:27" ht="12.75" x14ac:dyDescent="0.2">
      <c r="A118" s="117">
        <v>108</v>
      </c>
      <c r="B118" s="121" t="s">
        <v>141</v>
      </c>
      <c r="C118" s="122" t="s">
        <v>142</v>
      </c>
      <c r="D118" s="78">
        <f t="shared" si="20"/>
        <v>14075</v>
      </c>
      <c r="E118" s="78">
        <f t="shared" si="17"/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f t="shared" si="18"/>
        <v>14075</v>
      </c>
      <c r="K118" s="78">
        <v>1656</v>
      </c>
      <c r="L118" s="78">
        <v>398</v>
      </c>
      <c r="M118" s="78">
        <v>3500</v>
      </c>
      <c r="N118" s="78">
        <v>875</v>
      </c>
      <c r="O118" s="78">
        <v>5200</v>
      </c>
      <c r="P118" s="78">
        <v>2446</v>
      </c>
      <c r="Q118" s="78">
        <f t="shared" si="21"/>
        <v>0</v>
      </c>
      <c r="R118" s="78">
        <v>0</v>
      </c>
      <c r="S118" s="78">
        <v>0</v>
      </c>
      <c r="T118" s="78">
        <f t="shared" si="19"/>
        <v>0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63"/>
    </row>
    <row r="119" spans="1:27" ht="12.75" x14ac:dyDescent="0.2">
      <c r="A119" s="117">
        <v>109</v>
      </c>
      <c r="B119" s="121" t="s">
        <v>143</v>
      </c>
      <c r="C119" s="122" t="s">
        <v>144</v>
      </c>
      <c r="D119" s="78">
        <f t="shared" si="20"/>
        <v>15615</v>
      </c>
      <c r="E119" s="78">
        <f t="shared" si="17"/>
        <v>0</v>
      </c>
      <c r="F119" s="78">
        <v>0</v>
      </c>
      <c r="G119" s="78">
        <v>0</v>
      </c>
      <c r="H119" s="78">
        <v>0</v>
      </c>
      <c r="I119" s="78">
        <v>0</v>
      </c>
      <c r="J119" s="78">
        <f t="shared" si="18"/>
        <v>15615</v>
      </c>
      <c r="K119" s="78">
        <v>2620</v>
      </c>
      <c r="L119" s="78">
        <v>0</v>
      </c>
      <c r="M119" s="78">
        <v>1392</v>
      </c>
      <c r="N119" s="78">
        <v>208</v>
      </c>
      <c r="O119" s="78">
        <v>6450</v>
      </c>
      <c r="P119" s="78">
        <v>4945</v>
      </c>
      <c r="Q119" s="78">
        <f t="shared" si="21"/>
        <v>0</v>
      </c>
      <c r="R119" s="78">
        <v>0</v>
      </c>
      <c r="S119" s="78">
        <v>0</v>
      </c>
      <c r="T119" s="78">
        <f t="shared" si="19"/>
        <v>0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63"/>
    </row>
    <row r="120" spans="1:27" ht="12.75" x14ac:dyDescent="0.2">
      <c r="A120" s="117">
        <v>110</v>
      </c>
      <c r="B120" s="118" t="s">
        <v>145</v>
      </c>
      <c r="C120" s="119" t="s">
        <v>146</v>
      </c>
      <c r="D120" s="78">
        <f t="shared" si="20"/>
        <v>15310</v>
      </c>
      <c r="E120" s="78">
        <f t="shared" si="17"/>
        <v>0</v>
      </c>
      <c r="F120" s="78">
        <v>0</v>
      </c>
      <c r="G120" s="78">
        <v>0</v>
      </c>
      <c r="H120" s="78">
        <v>0</v>
      </c>
      <c r="I120" s="78">
        <v>0</v>
      </c>
      <c r="J120" s="78">
        <f t="shared" si="18"/>
        <v>15310</v>
      </c>
      <c r="K120" s="78">
        <v>5200</v>
      </c>
      <c r="L120" s="78">
        <v>0</v>
      </c>
      <c r="M120" s="78">
        <v>993</v>
      </c>
      <c r="N120" s="78">
        <v>0</v>
      </c>
      <c r="O120" s="78">
        <v>6455</v>
      </c>
      <c r="P120" s="78">
        <v>2662</v>
      </c>
      <c r="Q120" s="78">
        <f t="shared" si="21"/>
        <v>0</v>
      </c>
      <c r="R120" s="78">
        <v>0</v>
      </c>
      <c r="S120" s="78">
        <v>0</v>
      </c>
      <c r="T120" s="78">
        <f t="shared" si="19"/>
        <v>0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63"/>
    </row>
    <row r="121" spans="1:27" ht="12.75" x14ac:dyDescent="0.2">
      <c r="A121" s="117">
        <v>111</v>
      </c>
      <c r="B121" s="120" t="s">
        <v>147</v>
      </c>
      <c r="C121" s="119" t="s">
        <v>428</v>
      </c>
      <c r="D121" s="78">
        <f t="shared" si="20"/>
        <v>15510</v>
      </c>
      <c r="E121" s="78">
        <f t="shared" si="17"/>
        <v>0</v>
      </c>
      <c r="F121" s="78">
        <v>0</v>
      </c>
      <c r="G121" s="78">
        <v>0</v>
      </c>
      <c r="H121" s="78">
        <v>0</v>
      </c>
      <c r="I121" s="78">
        <v>0</v>
      </c>
      <c r="J121" s="78">
        <f t="shared" si="18"/>
        <v>15510</v>
      </c>
      <c r="K121" s="78">
        <v>732</v>
      </c>
      <c r="L121" s="78">
        <v>90</v>
      </c>
      <c r="M121" s="78">
        <v>785</v>
      </c>
      <c r="N121" s="78">
        <v>245</v>
      </c>
      <c r="O121" s="78">
        <v>8535</v>
      </c>
      <c r="P121" s="78">
        <v>5123</v>
      </c>
      <c r="Q121" s="78">
        <f t="shared" si="21"/>
        <v>0</v>
      </c>
      <c r="R121" s="78">
        <v>0</v>
      </c>
      <c r="S121" s="78">
        <v>0</v>
      </c>
      <c r="T121" s="78">
        <f t="shared" si="19"/>
        <v>0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63"/>
    </row>
    <row r="122" spans="1:27" ht="12.75" x14ac:dyDescent="0.2">
      <c r="A122" s="117">
        <v>112</v>
      </c>
      <c r="B122" s="118" t="s">
        <v>187</v>
      </c>
      <c r="C122" s="122" t="s">
        <v>429</v>
      </c>
      <c r="D122" s="78">
        <f t="shared" si="20"/>
        <v>5184</v>
      </c>
      <c r="E122" s="78">
        <f t="shared" si="17"/>
        <v>5184</v>
      </c>
      <c r="F122" s="78">
        <v>5184</v>
      </c>
      <c r="G122" s="78">
        <v>0</v>
      </c>
      <c r="H122" s="78">
        <v>0</v>
      </c>
      <c r="I122" s="78">
        <v>0</v>
      </c>
      <c r="J122" s="78">
        <f t="shared" si="18"/>
        <v>0</v>
      </c>
      <c r="K122" s="78">
        <v>0</v>
      </c>
      <c r="L122" s="78">
        <v>0</v>
      </c>
      <c r="M122" s="78">
        <v>0</v>
      </c>
      <c r="N122" s="78">
        <v>0</v>
      </c>
      <c r="O122" s="78">
        <v>0</v>
      </c>
      <c r="P122" s="78">
        <v>0</v>
      </c>
      <c r="Q122" s="78">
        <f t="shared" si="21"/>
        <v>0</v>
      </c>
      <c r="R122" s="78">
        <v>0</v>
      </c>
      <c r="S122" s="78">
        <v>0</v>
      </c>
      <c r="T122" s="78">
        <f t="shared" si="19"/>
        <v>0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63"/>
    </row>
    <row r="123" spans="1:27" x14ac:dyDescent="0.2">
      <c r="A123" s="117">
        <v>113</v>
      </c>
      <c r="B123" s="142" t="s">
        <v>326</v>
      </c>
      <c r="C123" s="82" t="s">
        <v>327</v>
      </c>
      <c r="D123" s="78">
        <f t="shared" si="20"/>
        <v>0</v>
      </c>
      <c r="E123" s="78">
        <f t="shared" si="17"/>
        <v>0</v>
      </c>
      <c r="F123" s="78">
        <v>0</v>
      </c>
      <c r="G123" s="78">
        <v>0</v>
      </c>
      <c r="H123" s="78">
        <v>0</v>
      </c>
      <c r="I123" s="78">
        <v>0</v>
      </c>
      <c r="J123" s="78">
        <f t="shared" si="18"/>
        <v>0</v>
      </c>
      <c r="K123" s="78">
        <v>0</v>
      </c>
      <c r="L123" s="78">
        <v>0</v>
      </c>
      <c r="M123" s="78">
        <v>0</v>
      </c>
      <c r="N123" s="78">
        <v>0</v>
      </c>
      <c r="O123" s="78">
        <v>0</v>
      </c>
      <c r="P123" s="78">
        <v>0</v>
      </c>
      <c r="Q123" s="78">
        <f t="shared" si="21"/>
        <v>0</v>
      </c>
      <c r="R123" s="78">
        <v>0</v>
      </c>
      <c r="S123" s="78">
        <v>0</v>
      </c>
      <c r="T123" s="78">
        <f t="shared" si="19"/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63"/>
    </row>
    <row r="124" spans="1:27" ht="12.75" x14ac:dyDescent="0.2">
      <c r="A124" s="117">
        <v>114</v>
      </c>
      <c r="B124" s="121" t="s">
        <v>188</v>
      </c>
      <c r="C124" s="122" t="s">
        <v>430</v>
      </c>
      <c r="D124" s="78">
        <f t="shared" si="20"/>
        <v>1260</v>
      </c>
      <c r="E124" s="78">
        <f t="shared" si="17"/>
        <v>1260</v>
      </c>
      <c r="F124" s="78">
        <v>1260</v>
      </c>
      <c r="G124" s="78">
        <v>0</v>
      </c>
      <c r="H124" s="78">
        <v>0</v>
      </c>
      <c r="I124" s="78">
        <v>0</v>
      </c>
      <c r="J124" s="78">
        <f t="shared" si="18"/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78">
        <f t="shared" si="21"/>
        <v>0</v>
      </c>
      <c r="R124" s="78">
        <v>0</v>
      </c>
      <c r="S124" s="78">
        <v>0</v>
      </c>
      <c r="T124" s="78">
        <f t="shared" si="19"/>
        <v>0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63"/>
    </row>
    <row r="125" spans="1:27" ht="12.75" x14ac:dyDescent="0.2">
      <c r="A125" s="117">
        <v>115</v>
      </c>
      <c r="B125" s="121" t="s">
        <v>189</v>
      </c>
      <c r="C125" s="122" t="s">
        <v>431</v>
      </c>
      <c r="D125" s="78">
        <f t="shared" si="20"/>
        <v>19</v>
      </c>
      <c r="E125" s="78">
        <f t="shared" si="17"/>
        <v>19</v>
      </c>
      <c r="F125" s="78">
        <v>19</v>
      </c>
      <c r="G125" s="78">
        <v>0</v>
      </c>
      <c r="H125" s="78">
        <v>0</v>
      </c>
      <c r="I125" s="78">
        <v>0</v>
      </c>
      <c r="J125" s="78">
        <f t="shared" si="18"/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78">
        <f t="shared" si="21"/>
        <v>0</v>
      </c>
      <c r="R125" s="78">
        <v>0</v>
      </c>
      <c r="S125" s="78">
        <v>0</v>
      </c>
      <c r="T125" s="78">
        <f t="shared" si="19"/>
        <v>0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63"/>
    </row>
    <row r="126" spans="1:27" x14ac:dyDescent="0.2">
      <c r="A126" s="117">
        <v>116</v>
      </c>
      <c r="B126" s="97" t="s">
        <v>328</v>
      </c>
      <c r="C126" s="86" t="s">
        <v>329</v>
      </c>
      <c r="D126" s="78">
        <f t="shared" si="20"/>
        <v>0</v>
      </c>
      <c r="E126" s="78">
        <f t="shared" si="17"/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f t="shared" si="18"/>
        <v>0</v>
      </c>
      <c r="K126" s="78">
        <v>0</v>
      </c>
      <c r="L126" s="78">
        <v>0</v>
      </c>
      <c r="M126" s="78">
        <v>0</v>
      </c>
      <c r="N126" s="78">
        <v>0</v>
      </c>
      <c r="O126" s="78">
        <v>0</v>
      </c>
      <c r="P126" s="78">
        <v>0</v>
      </c>
      <c r="Q126" s="78">
        <f t="shared" si="21"/>
        <v>0</v>
      </c>
      <c r="R126" s="78">
        <v>0</v>
      </c>
      <c r="S126" s="78">
        <v>0</v>
      </c>
      <c r="T126" s="78">
        <f t="shared" si="19"/>
        <v>0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63"/>
    </row>
    <row r="127" spans="1:27" ht="24" x14ac:dyDescent="0.2">
      <c r="A127" s="117">
        <v>117</v>
      </c>
      <c r="B127" s="97" t="s">
        <v>190</v>
      </c>
      <c r="C127" s="86" t="s">
        <v>432</v>
      </c>
      <c r="D127" s="78">
        <f t="shared" si="20"/>
        <v>0</v>
      </c>
      <c r="E127" s="78">
        <f t="shared" si="17"/>
        <v>0</v>
      </c>
      <c r="F127" s="78">
        <v>0</v>
      </c>
      <c r="G127" s="78">
        <v>0</v>
      </c>
      <c r="H127" s="78">
        <v>0</v>
      </c>
      <c r="I127" s="78">
        <v>0</v>
      </c>
      <c r="J127" s="78">
        <f t="shared" si="18"/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f t="shared" si="21"/>
        <v>0</v>
      </c>
      <c r="R127" s="78">
        <v>0</v>
      </c>
      <c r="S127" s="78">
        <v>0</v>
      </c>
      <c r="T127" s="78">
        <f t="shared" si="19"/>
        <v>0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63"/>
    </row>
    <row r="128" spans="1:27" x14ac:dyDescent="0.2">
      <c r="A128" s="117">
        <v>118</v>
      </c>
      <c r="B128" s="97" t="s">
        <v>330</v>
      </c>
      <c r="C128" s="86" t="s">
        <v>331</v>
      </c>
      <c r="D128" s="78">
        <f t="shared" si="20"/>
        <v>0</v>
      </c>
      <c r="E128" s="78">
        <f t="shared" si="17"/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f t="shared" si="18"/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f t="shared" si="21"/>
        <v>0</v>
      </c>
      <c r="R128" s="78">
        <v>0</v>
      </c>
      <c r="S128" s="78">
        <v>0</v>
      </c>
      <c r="T128" s="78">
        <f t="shared" si="19"/>
        <v>0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63"/>
    </row>
    <row r="129" spans="1:27" ht="12.75" x14ac:dyDescent="0.2">
      <c r="A129" s="117">
        <v>119</v>
      </c>
      <c r="B129" s="121" t="s">
        <v>191</v>
      </c>
      <c r="C129" s="122" t="s">
        <v>433</v>
      </c>
      <c r="D129" s="78">
        <f t="shared" si="20"/>
        <v>24948</v>
      </c>
      <c r="E129" s="78">
        <f t="shared" si="17"/>
        <v>24948</v>
      </c>
      <c r="F129" s="78">
        <v>24948</v>
      </c>
      <c r="G129" s="78">
        <v>0</v>
      </c>
      <c r="H129" s="78">
        <v>0</v>
      </c>
      <c r="I129" s="78">
        <v>0</v>
      </c>
      <c r="J129" s="78">
        <f t="shared" si="18"/>
        <v>0</v>
      </c>
      <c r="K129" s="78">
        <v>0</v>
      </c>
      <c r="L129" s="78">
        <v>0</v>
      </c>
      <c r="M129" s="78">
        <v>0</v>
      </c>
      <c r="N129" s="78">
        <v>0</v>
      </c>
      <c r="O129" s="75">
        <v>0</v>
      </c>
      <c r="P129" s="75">
        <v>0</v>
      </c>
      <c r="Q129" s="78">
        <f t="shared" si="21"/>
        <v>0</v>
      </c>
      <c r="R129" s="75">
        <v>0</v>
      </c>
      <c r="S129" s="75">
        <v>0</v>
      </c>
      <c r="T129" s="78">
        <f t="shared" si="19"/>
        <v>0</v>
      </c>
      <c r="U129" s="78">
        <v>0</v>
      </c>
      <c r="V129" s="75">
        <v>0</v>
      </c>
      <c r="W129" s="78">
        <v>0</v>
      </c>
      <c r="X129" s="78">
        <v>0</v>
      </c>
      <c r="Y129" s="78">
        <v>0</v>
      </c>
      <c r="Z129" s="78">
        <v>0</v>
      </c>
      <c r="AA129" s="63"/>
    </row>
    <row r="130" spans="1:27" x14ac:dyDescent="0.2">
      <c r="A130" s="117">
        <v>120</v>
      </c>
      <c r="B130" s="99" t="s">
        <v>434</v>
      </c>
      <c r="C130" s="100" t="s">
        <v>435</v>
      </c>
      <c r="D130" s="78"/>
      <c r="E130" s="78"/>
      <c r="F130" s="78">
        <v>0</v>
      </c>
      <c r="G130" s="78">
        <v>0</v>
      </c>
      <c r="H130" s="78">
        <v>0</v>
      </c>
      <c r="I130" s="78">
        <v>0</v>
      </c>
      <c r="J130" s="78"/>
      <c r="K130" s="78">
        <v>0</v>
      </c>
      <c r="L130" s="78">
        <v>0</v>
      </c>
      <c r="M130" s="78">
        <v>0</v>
      </c>
      <c r="N130" s="78">
        <v>0</v>
      </c>
      <c r="O130" s="75">
        <v>0</v>
      </c>
      <c r="P130" s="75">
        <v>0</v>
      </c>
      <c r="Q130" s="78"/>
      <c r="R130" s="75">
        <v>0</v>
      </c>
      <c r="S130" s="75">
        <v>0</v>
      </c>
      <c r="T130" s="78"/>
      <c r="U130" s="78">
        <v>0</v>
      </c>
      <c r="V130" s="75">
        <v>0</v>
      </c>
      <c r="W130" s="78">
        <v>0</v>
      </c>
      <c r="X130" s="78">
        <v>0</v>
      </c>
      <c r="Y130" s="78">
        <v>0</v>
      </c>
      <c r="Z130" s="78">
        <v>0</v>
      </c>
      <c r="AA130" s="63"/>
    </row>
    <row r="131" spans="1:27" ht="12.75" x14ac:dyDescent="0.2">
      <c r="A131" s="117">
        <v>121</v>
      </c>
      <c r="B131" s="131" t="s">
        <v>436</v>
      </c>
      <c r="C131" s="132" t="s">
        <v>460</v>
      </c>
      <c r="D131" s="78">
        <f t="shared" si="20"/>
        <v>0</v>
      </c>
      <c r="E131" s="78">
        <f t="shared" si="17"/>
        <v>0</v>
      </c>
      <c r="F131" s="78">
        <v>0</v>
      </c>
      <c r="G131" s="78">
        <v>0</v>
      </c>
      <c r="H131" s="78">
        <v>0</v>
      </c>
      <c r="I131" s="78">
        <v>0</v>
      </c>
      <c r="J131" s="78">
        <f t="shared" si="18"/>
        <v>0</v>
      </c>
      <c r="K131" s="78">
        <v>0</v>
      </c>
      <c r="L131" s="78">
        <v>0</v>
      </c>
      <c r="M131" s="78">
        <v>0</v>
      </c>
      <c r="N131" s="78">
        <v>0</v>
      </c>
      <c r="O131" s="75">
        <v>0</v>
      </c>
      <c r="P131" s="75">
        <v>0</v>
      </c>
      <c r="Q131" s="78">
        <f t="shared" si="21"/>
        <v>0</v>
      </c>
      <c r="R131" s="75">
        <v>0</v>
      </c>
      <c r="S131" s="75">
        <v>0</v>
      </c>
      <c r="T131" s="78">
        <f t="shared" si="19"/>
        <v>0</v>
      </c>
      <c r="U131" s="78">
        <v>0</v>
      </c>
      <c r="V131" s="75">
        <v>0</v>
      </c>
      <c r="W131" s="78">
        <v>0</v>
      </c>
      <c r="X131" s="78">
        <v>0</v>
      </c>
      <c r="Y131" s="78">
        <v>0</v>
      </c>
      <c r="Z131" s="78">
        <v>0</v>
      </c>
      <c r="AA131" s="63"/>
    </row>
    <row r="132" spans="1:27" x14ac:dyDescent="0.2">
      <c r="A132" s="117">
        <v>122</v>
      </c>
      <c r="B132" s="97" t="s">
        <v>192</v>
      </c>
      <c r="C132" s="86" t="s">
        <v>438</v>
      </c>
      <c r="D132" s="78">
        <f t="shared" si="20"/>
        <v>0</v>
      </c>
      <c r="E132" s="78">
        <f t="shared" si="17"/>
        <v>0</v>
      </c>
      <c r="F132" s="78">
        <v>0</v>
      </c>
      <c r="G132" s="78">
        <v>0</v>
      </c>
      <c r="H132" s="78">
        <v>0</v>
      </c>
      <c r="I132" s="78">
        <v>0</v>
      </c>
      <c r="J132" s="78">
        <f t="shared" si="18"/>
        <v>0</v>
      </c>
      <c r="K132" s="78">
        <v>0</v>
      </c>
      <c r="L132" s="78">
        <v>0</v>
      </c>
      <c r="M132" s="78">
        <v>0</v>
      </c>
      <c r="N132" s="78">
        <v>0</v>
      </c>
      <c r="O132" s="75">
        <v>0</v>
      </c>
      <c r="P132" s="75">
        <v>0</v>
      </c>
      <c r="Q132" s="78">
        <f t="shared" si="21"/>
        <v>0</v>
      </c>
      <c r="R132" s="75">
        <v>0</v>
      </c>
      <c r="S132" s="75">
        <v>0</v>
      </c>
      <c r="T132" s="78">
        <f t="shared" si="19"/>
        <v>0</v>
      </c>
      <c r="U132" s="78">
        <v>0</v>
      </c>
      <c r="V132" s="75">
        <v>0</v>
      </c>
      <c r="W132" s="78">
        <v>0</v>
      </c>
      <c r="X132" s="78">
        <v>0</v>
      </c>
      <c r="Y132" s="78">
        <v>0</v>
      </c>
      <c r="Z132" s="78">
        <v>0</v>
      </c>
      <c r="AA132" s="63"/>
    </row>
    <row r="133" spans="1:27" x14ac:dyDescent="0.2">
      <c r="A133" s="117">
        <v>123</v>
      </c>
      <c r="B133" s="85" t="s">
        <v>332</v>
      </c>
      <c r="C133" s="102" t="s">
        <v>439</v>
      </c>
      <c r="D133" s="78">
        <f t="shared" si="20"/>
        <v>0</v>
      </c>
      <c r="E133" s="78">
        <f t="shared" si="17"/>
        <v>0</v>
      </c>
      <c r="F133" s="78">
        <v>0</v>
      </c>
      <c r="G133" s="78">
        <v>0</v>
      </c>
      <c r="H133" s="78">
        <v>0</v>
      </c>
      <c r="I133" s="78">
        <v>0</v>
      </c>
      <c r="J133" s="78">
        <f t="shared" si="18"/>
        <v>0</v>
      </c>
      <c r="K133" s="78">
        <v>0</v>
      </c>
      <c r="L133" s="78">
        <v>0</v>
      </c>
      <c r="M133" s="78">
        <v>0</v>
      </c>
      <c r="N133" s="78">
        <v>0</v>
      </c>
      <c r="O133" s="75">
        <v>0</v>
      </c>
      <c r="P133" s="75">
        <v>0</v>
      </c>
      <c r="Q133" s="78">
        <f t="shared" si="21"/>
        <v>0</v>
      </c>
      <c r="R133" s="75">
        <v>0</v>
      </c>
      <c r="S133" s="75">
        <v>0</v>
      </c>
      <c r="T133" s="78">
        <f t="shared" si="19"/>
        <v>0</v>
      </c>
      <c r="U133" s="78">
        <v>0</v>
      </c>
      <c r="V133" s="75">
        <v>0</v>
      </c>
      <c r="W133" s="78">
        <v>0</v>
      </c>
      <c r="X133" s="78">
        <v>0</v>
      </c>
      <c r="Y133" s="78">
        <v>0</v>
      </c>
      <c r="Z133" s="78">
        <v>0</v>
      </c>
      <c r="AA133" s="63"/>
    </row>
    <row r="134" spans="1:27" ht="24" x14ac:dyDescent="0.2">
      <c r="A134" s="117">
        <v>124</v>
      </c>
      <c r="B134" s="97" t="s">
        <v>334</v>
      </c>
      <c r="C134" s="86" t="s">
        <v>440</v>
      </c>
      <c r="D134" s="78">
        <f t="shared" si="20"/>
        <v>0</v>
      </c>
      <c r="E134" s="78">
        <f t="shared" si="17"/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f t="shared" si="18"/>
        <v>0</v>
      </c>
      <c r="K134" s="78">
        <v>0</v>
      </c>
      <c r="L134" s="78">
        <v>0</v>
      </c>
      <c r="M134" s="78">
        <v>0</v>
      </c>
      <c r="N134" s="78">
        <v>0</v>
      </c>
      <c r="O134" s="75">
        <v>0</v>
      </c>
      <c r="P134" s="75">
        <v>0</v>
      </c>
      <c r="Q134" s="78">
        <f t="shared" si="21"/>
        <v>0</v>
      </c>
      <c r="R134" s="75">
        <v>0</v>
      </c>
      <c r="S134" s="75">
        <v>0</v>
      </c>
      <c r="T134" s="78">
        <f t="shared" si="19"/>
        <v>0</v>
      </c>
      <c r="U134" s="78">
        <v>0</v>
      </c>
      <c r="V134" s="75">
        <v>0</v>
      </c>
      <c r="W134" s="78">
        <v>0</v>
      </c>
      <c r="X134" s="78">
        <v>0</v>
      </c>
      <c r="Y134" s="78">
        <v>0</v>
      </c>
      <c r="Z134" s="78">
        <v>0</v>
      </c>
      <c r="AA134" s="63"/>
    </row>
    <row r="135" spans="1:27" ht="24" x14ac:dyDescent="0.2">
      <c r="A135" s="117">
        <v>125</v>
      </c>
      <c r="B135" s="97" t="s">
        <v>336</v>
      </c>
      <c r="C135" s="86" t="s">
        <v>441</v>
      </c>
      <c r="D135" s="78">
        <f t="shared" si="20"/>
        <v>0</v>
      </c>
      <c r="E135" s="78">
        <f t="shared" si="17"/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f t="shared" si="18"/>
        <v>0</v>
      </c>
      <c r="K135" s="78">
        <v>0</v>
      </c>
      <c r="L135" s="78">
        <v>0</v>
      </c>
      <c r="M135" s="78">
        <v>0</v>
      </c>
      <c r="N135" s="78">
        <v>0</v>
      </c>
      <c r="O135" s="75">
        <v>0</v>
      </c>
      <c r="P135" s="75">
        <v>0</v>
      </c>
      <c r="Q135" s="78">
        <f t="shared" si="21"/>
        <v>0</v>
      </c>
      <c r="R135" s="75">
        <v>0</v>
      </c>
      <c r="S135" s="75">
        <v>0</v>
      </c>
      <c r="T135" s="78">
        <f t="shared" si="19"/>
        <v>0</v>
      </c>
      <c r="U135" s="78">
        <v>0</v>
      </c>
      <c r="V135" s="75">
        <v>0</v>
      </c>
      <c r="W135" s="78">
        <v>0</v>
      </c>
      <c r="X135" s="78">
        <v>0</v>
      </c>
      <c r="Y135" s="78">
        <v>0</v>
      </c>
      <c r="Z135" s="78">
        <v>0</v>
      </c>
      <c r="AA135" s="63"/>
    </row>
    <row r="136" spans="1:27" ht="12.75" x14ac:dyDescent="0.2">
      <c r="A136" s="117">
        <v>126</v>
      </c>
      <c r="B136" s="120" t="s">
        <v>148</v>
      </c>
      <c r="C136" s="122" t="s">
        <v>442</v>
      </c>
      <c r="D136" s="78">
        <f t="shared" si="20"/>
        <v>86</v>
      </c>
      <c r="E136" s="78">
        <f t="shared" si="17"/>
        <v>86</v>
      </c>
      <c r="F136" s="78">
        <v>74</v>
      </c>
      <c r="G136" s="78">
        <v>0</v>
      </c>
      <c r="H136" s="78">
        <v>12</v>
      </c>
      <c r="I136" s="78">
        <v>0</v>
      </c>
      <c r="J136" s="78">
        <f t="shared" si="18"/>
        <v>0</v>
      </c>
      <c r="K136" s="78">
        <v>0</v>
      </c>
      <c r="L136" s="78">
        <v>0</v>
      </c>
      <c r="M136" s="78">
        <v>0</v>
      </c>
      <c r="N136" s="78">
        <v>0</v>
      </c>
      <c r="O136" s="75">
        <v>0</v>
      </c>
      <c r="P136" s="75">
        <v>0</v>
      </c>
      <c r="Q136" s="78">
        <f t="shared" si="21"/>
        <v>0</v>
      </c>
      <c r="R136" s="75">
        <v>0</v>
      </c>
      <c r="S136" s="75">
        <v>0</v>
      </c>
      <c r="T136" s="78">
        <f t="shared" si="19"/>
        <v>0</v>
      </c>
      <c r="U136" s="78">
        <v>0</v>
      </c>
      <c r="V136" s="75">
        <v>0</v>
      </c>
      <c r="W136" s="78">
        <v>0</v>
      </c>
      <c r="X136" s="78">
        <v>0</v>
      </c>
      <c r="Y136" s="78">
        <v>0</v>
      </c>
      <c r="Z136" s="78">
        <v>0</v>
      </c>
      <c r="AA136" s="63"/>
    </row>
    <row r="137" spans="1:27" x14ac:dyDescent="0.2">
      <c r="A137" s="117">
        <v>127</v>
      </c>
      <c r="B137" s="103" t="s">
        <v>338</v>
      </c>
      <c r="C137" s="104" t="s">
        <v>339</v>
      </c>
      <c r="D137" s="78">
        <f t="shared" si="20"/>
        <v>0</v>
      </c>
      <c r="E137" s="78">
        <f t="shared" si="17"/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f t="shared" si="18"/>
        <v>0</v>
      </c>
      <c r="K137" s="78">
        <v>0</v>
      </c>
      <c r="L137" s="78">
        <v>0</v>
      </c>
      <c r="M137" s="78">
        <v>0</v>
      </c>
      <c r="N137" s="78">
        <v>0</v>
      </c>
      <c r="O137" s="75">
        <v>0</v>
      </c>
      <c r="P137" s="75">
        <v>0</v>
      </c>
      <c r="Q137" s="78">
        <f t="shared" si="21"/>
        <v>0</v>
      </c>
      <c r="R137" s="75">
        <v>0</v>
      </c>
      <c r="S137" s="75">
        <v>0</v>
      </c>
      <c r="T137" s="78">
        <f t="shared" si="19"/>
        <v>0</v>
      </c>
      <c r="U137" s="78">
        <v>0</v>
      </c>
      <c r="V137" s="75">
        <v>0</v>
      </c>
      <c r="W137" s="78">
        <v>0</v>
      </c>
      <c r="X137" s="78">
        <v>0</v>
      </c>
      <c r="Y137" s="78">
        <v>0</v>
      </c>
      <c r="Z137" s="78">
        <v>0</v>
      </c>
      <c r="AA137" s="63"/>
    </row>
    <row r="138" spans="1:27" x14ac:dyDescent="0.2">
      <c r="A138" s="117">
        <v>128</v>
      </c>
      <c r="B138" s="97" t="s">
        <v>340</v>
      </c>
      <c r="C138" s="86" t="s">
        <v>341</v>
      </c>
      <c r="D138" s="78">
        <f t="shared" si="20"/>
        <v>0</v>
      </c>
      <c r="E138" s="78">
        <f t="shared" si="17"/>
        <v>0</v>
      </c>
      <c r="F138" s="78">
        <v>0</v>
      </c>
      <c r="G138" s="78">
        <v>0</v>
      </c>
      <c r="H138" s="78">
        <v>0</v>
      </c>
      <c r="I138" s="78">
        <v>0</v>
      </c>
      <c r="J138" s="78">
        <f t="shared" si="18"/>
        <v>0</v>
      </c>
      <c r="K138" s="78">
        <v>0</v>
      </c>
      <c r="L138" s="78">
        <v>0</v>
      </c>
      <c r="M138" s="78">
        <v>0</v>
      </c>
      <c r="N138" s="78">
        <v>0</v>
      </c>
      <c r="O138" s="75">
        <v>0</v>
      </c>
      <c r="P138" s="75">
        <v>0</v>
      </c>
      <c r="Q138" s="78">
        <f t="shared" si="21"/>
        <v>0</v>
      </c>
      <c r="R138" s="75">
        <v>0</v>
      </c>
      <c r="S138" s="75">
        <v>0</v>
      </c>
      <c r="T138" s="78">
        <f t="shared" si="19"/>
        <v>0</v>
      </c>
      <c r="U138" s="78">
        <v>0</v>
      </c>
      <c r="V138" s="75">
        <v>0</v>
      </c>
      <c r="W138" s="78">
        <v>0</v>
      </c>
      <c r="X138" s="78">
        <v>0</v>
      </c>
      <c r="Y138" s="78">
        <v>0</v>
      </c>
      <c r="Z138" s="78">
        <v>0</v>
      </c>
      <c r="AA138" s="63"/>
    </row>
    <row r="139" spans="1:27" ht="12.75" x14ac:dyDescent="0.2">
      <c r="A139" s="117">
        <v>129</v>
      </c>
      <c r="B139" s="118" t="s">
        <v>193</v>
      </c>
      <c r="C139" s="119" t="s">
        <v>443</v>
      </c>
      <c r="D139" s="78">
        <f t="shared" si="20"/>
        <v>2304</v>
      </c>
      <c r="E139" s="78">
        <f t="shared" si="17"/>
        <v>2304</v>
      </c>
      <c r="F139" s="78">
        <v>2304</v>
      </c>
      <c r="G139" s="78">
        <v>0</v>
      </c>
      <c r="H139" s="78">
        <v>0</v>
      </c>
      <c r="I139" s="78">
        <v>0</v>
      </c>
      <c r="J139" s="78">
        <f t="shared" si="18"/>
        <v>0</v>
      </c>
      <c r="K139" s="78">
        <v>0</v>
      </c>
      <c r="L139" s="78">
        <v>0</v>
      </c>
      <c r="M139" s="78">
        <v>0</v>
      </c>
      <c r="N139" s="78">
        <v>0</v>
      </c>
      <c r="O139" s="75">
        <v>0</v>
      </c>
      <c r="P139" s="75">
        <v>0</v>
      </c>
      <c r="Q139" s="78">
        <f t="shared" si="21"/>
        <v>0</v>
      </c>
      <c r="R139" s="75">
        <v>0</v>
      </c>
      <c r="S139" s="75">
        <v>0</v>
      </c>
      <c r="T139" s="78">
        <f t="shared" si="19"/>
        <v>0</v>
      </c>
      <c r="U139" s="78">
        <v>0</v>
      </c>
      <c r="V139" s="75">
        <v>0</v>
      </c>
      <c r="W139" s="78">
        <v>0</v>
      </c>
      <c r="X139" s="78">
        <v>0</v>
      </c>
      <c r="Y139" s="78">
        <v>0</v>
      </c>
      <c r="Z139" s="78">
        <v>0</v>
      </c>
      <c r="AA139" s="63"/>
    </row>
    <row r="140" spans="1:27" x14ac:dyDescent="0.2">
      <c r="A140" s="117">
        <v>130</v>
      </c>
      <c r="B140" s="94" t="s">
        <v>194</v>
      </c>
      <c r="C140" s="82" t="s">
        <v>444</v>
      </c>
      <c r="D140" s="78">
        <f t="shared" si="20"/>
        <v>0</v>
      </c>
      <c r="E140" s="78">
        <f t="shared" si="17"/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f t="shared" si="18"/>
        <v>0</v>
      </c>
      <c r="K140" s="78">
        <v>0</v>
      </c>
      <c r="L140" s="78">
        <v>0</v>
      </c>
      <c r="M140" s="78">
        <v>0</v>
      </c>
      <c r="N140" s="78">
        <v>0</v>
      </c>
      <c r="O140" s="75">
        <v>0</v>
      </c>
      <c r="P140" s="75">
        <v>0</v>
      </c>
      <c r="Q140" s="78">
        <f t="shared" si="21"/>
        <v>0</v>
      </c>
      <c r="R140" s="75">
        <v>0</v>
      </c>
      <c r="S140" s="75">
        <v>0</v>
      </c>
      <c r="T140" s="78">
        <f t="shared" si="19"/>
        <v>0</v>
      </c>
      <c r="U140" s="78">
        <v>0</v>
      </c>
      <c r="V140" s="75">
        <v>0</v>
      </c>
      <c r="W140" s="78">
        <v>0</v>
      </c>
      <c r="X140" s="78">
        <v>0</v>
      </c>
      <c r="Y140" s="78">
        <v>0</v>
      </c>
      <c r="Z140" s="78">
        <v>0</v>
      </c>
      <c r="AA140" s="63"/>
    </row>
    <row r="141" spans="1:27" ht="12.75" x14ac:dyDescent="0.2">
      <c r="A141" s="117">
        <v>131</v>
      </c>
      <c r="B141" s="121" t="s">
        <v>195</v>
      </c>
      <c r="C141" s="122" t="s">
        <v>445</v>
      </c>
      <c r="D141" s="78">
        <f t="shared" si="20"/>
        <v>8928</v>
      </c>
      <c r="E141" s="78">
        <f t="shared" si="17"/>
        <v>8928</v>
      </c>
      <c r="F141" s="78">
        <v>8928</v>
      </c>
      <c r="G141" s="78">
        <v>0</v>
      </c>
      <c r="H141" s="78">
        <v>0</v>
      </c>
      <c r="I141" s="78">
        <v>0</v>
      </c>
      <c r="J141" s="78">
        <f t="shared" si="18"/>
        <v>0</v>
      </c>
      <c r="K141" s="78">
        <v>0</v>
      </c>
      <c r="L141" s="78">
        <v>0</v>
      </c>
      <c r="M141" s="78">
        <v>0</v>
      </c>
      <c r="N141" s="78">
        <v>0</v>
      </c>
      <c r="O141" s="75">
        <v>0</v>
      </c>
      <c r="P141" s="75">
        <v>0</v>
      </c>
      <c r="Q141" s="78">
        <f t="shared" si="21"/>
        <v>0</v>
      </c>
      <c r="R141" s="75">
        <v>0</v>
      </c>
      <c r="S141" s="75">
        <v>0</v>
      </c>
      <c r="T141" s="78">
        <f t="shared" si="19"/>
        <v>0</v>
      </c>
      <c r="U141" s="78">
        <v>0</v>
      </c>
      <c r="V141" s="75">
        <v>0</v>
      </c>
      <c r="W141" s="78">
        <v>0</v>
      </c>
      <c r="X141" s="78">
        <v>0</v>
      </c>
      <c r="Y141" s="78">
        <v>0</v>
      </c>
      <c r="Z141" s="78">
        <v>0</v>
      </c>
      <c r="AA141" s="63"/>
    </row>
    <row r="142" spans="1:27" x14ac:dyDescent="0.2">
      <c r="A142" s="117">
        <v>132</v>
      </c>
      <c r="B142" s="97" t="s">
        <v>446</v>
      </c>
      <c r="C142" s="86" t="s">
        <v>447</v>
      </c>
      <c r="D142" s="78">
        <f t="shared" si="20"/>
        <v>0</v>
      </c>
      <c r="E142" s="78">
        <f t="shared" si="17"/>
        <v>0</v>
      </c>
      <c r="F142" s="78">
        <v>0</v>
      </c>
      <c r="G142" s="78">
        <v>0</v>
      </c>
      <c r="H142" s="78">
        <v>0</v>
      </c>
      <c r="I142" s="78">
        <v>0</v>
      </c>
      <c r="J142" s="78">
        <f t="shared" si="18"/>
        <v>0</v>
      </c>
      <c r="K142" s="78">
        <v>0</v>
      </c>
      <c r="L142" s="78">
        <v>0</v>
      </c>
      <c r="M142" s="78">
        <v>0</v>
      </c>
      <c r="N142" s="78">
        <v>0</v>
      </c>
      <c r="O142" s="75">
        <v>0</v>
      </c>
      <c r="P142" s="75">
        <v>0</v>
      </c>
      <c r="Q142" s="78">
        <f t="shared" si="21"/>
        <v>0</v>
      </c>
      <c r="R142" s="75">
        <v>0</v>
      </c>
      <c r="S142" s="75">
        <v>0</v>
      </c>
      <c r="T142" s="78">
        <f t="shared" si="19"/>
        <v>0</v>
      </c>
      <c r="U142" s="78">
        <v>0</v>
      </c>
      <c r="V142" s="75">
        <v>0</v>
      </c>
      <c r="W142" s="78">
        <v>0</v>
      </c>
      <c r="X142" s="78">
        <v>0</v>
      </c>
      <c r="Y142" s="78">
        <v>0</v>
      </c>
      <c r="Z142" s="78">
        <v>0</v>
      </c>
      <c r="AA142" s="63"/>
    </row>
    <row r="143" spans="1:27" ht="12.75" x14ac:dyDescent="0.2">
      <c r="A143" s="117">
        <v>133</v>
      </c>
      <c r="B143" s="121" t="s">
        <v>15</v>
      </c>
      <c r="C143" s="122" t="s">
        <v>448</v>
      </c>
      <c r="D143" s="78">
        <f t="shared" si="20"/>
        <v>180068</v>
      </c>
      <c r="E143" s="78">
        <f t="shared" si="17"/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f t="shared" si="18"/>
        <v>0</v>
      </c>
      <c r="K143" s="78">
        <v>0</v>
      </c>
      <c r="L143" s="78">
        <v>0</v>
      </c>
      <c r="M143" s="78">
        <v>0</v>
      </c>
      <c r="N143" s="78">
        <v>0</v>
      </c>
      <c r="O143" s="75">
        <v>0</v>
      </c>
      <c r="P143" s="75">
        <v>0</v>
      </c>
      <c r="Q143" s="78">
        <f t="shared" si="21"/>
        <v>0</v>
      </c>
      <c r="R143" s="75">
        <v>0</v>
      </c>
      <c r="S143" s="75">
        <v>0</v>
      </c>
      <c r="T143" s="78">
        <f t="shared" si="19"/>
        <v>180068</v>
      </c>
      <c r="U143" s="78">
        <v>179448</v>
      </c>
      <c r="V143" s="75">
        <v>1047</v>
      </c>
      <c r="W143" s="78">
        <v>0</v>
      </c>
      <c r="X143" s="78">
        <v>620</v>
      </c>
      <c r="Y143" s="78">
        <v>0</v>
      </c>
      <c r="Z143" s="78">
        <v>0</v>
      </c>
      <c r="AA143" s="63"/>
    </row>
    <row r="144" spans="1:27" ht="12.75" x14ac:dyDescent="0.2">
      <c r="A144" s="117">
        <v>134</v>
      </c>
      <c r="B144" s="121" t="s">
        <v>342</v>
      </c>
      <c r="C144" s="122" t="s">
        <v>343</v>
      </c>
      <c r="D144" s="78">
        <f t="shared" si="20"/>
        <v>152720</v>
      </c>
      <c r="E144" s="78">
        <f t="shared" si="17"/>
        <v>0</v>
      </c>
      <c r="F144" s="78">
        <v>0</v>
      </c>
      <c r="G144" s="78">
        <v>0</v>
      </c>
      <c r="H144" s="78">
        <v>0</v>
      </c>
      <c r="I144" s="78">
        <v>0</v>
      </c>
      <c r="J144" s="78">
        <f t="shared" si="18"/>
        <v>0</v>
      </c>
      <c r="K144" s="78">
        <v>0</v>
      </c>
      <c r="L144" s="78">
        <v>0</v>
      </c>
      <c r="M144" s="78">
        <v>0</v>
      </c>
      <c r="N144" s="78">
        <v>0</v>
      </c>
      <c r="O144" s="75">
        <v>0</v>
      </c>
      <c r="P144" s="75">
        <v>0</v>
      </c>
      <c r="Q144" s="78">
        <f t="shared" si="21"/>
        <v>0</v>
      </c>
      <c r="R144" s="75">
        <v>0</v>
      </c>
      <c r="S144" s="75">
        <v>0</v>
      </c>
      <c r="T144" s="78">
        <f t="shared" si="19"/>
        <v>152720</v>
      </c>
      <c r="U144" s="78">
        <f>151595+1125</f>
        <v>152720</v>
      </c>
      <c r="V144" s="75">
        <v>0</v>
      </c>
      <c r="W144" s="78">
        <v>0</v>
      </c>
      <c r="X144" s="78">
        <v>0</v>
      </c>
      <c r="Y144" s="78">
        <v>0</v>
      </c>
      <c r="Z144" s="78">
        <v>0</v>
      </c>
      <c r="AA144" s="63"/>
    </row>
    <row r="145" spans="1:27" ht="12.75" x14ac:dyDescent="0.2">
      <c r="A145" s="117">
        <v>135</v>
      </c>
      <c r="B145" s="121" t="s">
        <v>14</v>
      </c>
      <c r="C145" s="122" t="s">
        <v>13</v>
      </c>
      <c r="D145" s="78">
        <f t="shared" si="20"/>
        <v>95000</v>
      </c>
      <c r="E145" s="78">
        <f t="shared" si="17"/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f t="shared" si="18"/>
        <v>0</v>
      </c>
      <c r="K145" s="78">
        <v>0</v>
      </c>
      <c r="L145" s="78">
        <v>0</v>
      </c>
      <c r="M145" s="78">
        <v>0</v>
      </c>
      <c r="N145" s="78">
        <v>0</v>
      </c>
      <c r="O145" s="75">
        <v>0</v>
      </c>
      <c r="P145" s="75">
        <v>0</v>
      </c>
      <c r="Q145" s="78">
        <f t="shared" si="21"/>
        <v>0</v>
      </c>
      <c r="R145" s="75">
        <v>0</v>
      </c>
      <c r="S145" s="75">
        <v>0</v>
      </c>
      <c r="T145" s="78">
        <f t="shared" si="19"/>
        <v>95000</v>
      </c>
      <c r="U145" s="78">
        <v>76160</v>
      </c>
      <c r="V145" s="75">
        <v>0</v>
      </c>
      <c r="W145" s="78">
        <v>18840</v>
      </c>
      <c r="X145" s="78">
        <v>0</v>
      </c>
      <c r="Y145" s="78">
        <v>0</v>
      </c>
      <c r="Z145" s="78">
        <v>0</v>
      </c>
      <c r="AA145" s="63"/>
    </row>
    <row r="146" spans="1:27" ht="12.75" x14ac:dyDescent="0.2">
      <c r="A146" s="117">
        <v>136</v>
      </c>
      <c r="B146" s="118" t="s">
        <v>10</v>
      </c>
      <c r="C146" s="119" t="s">
        <v>7</v>
      </c>
      <c r="D146" s="78">
        <f t="shared" si="20"/>
        <v>95000</v>
      </c>
      <c r="E146" s="78">
        <f t="shared" si="17"/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f t="shared" si="18"/>
        <v>0</v>
      </c>
      <c r="K146" s="78">
        <v>0</v>
      </c>
      <c r="L146" s="78">
        <v>0</v>
      </c>
      <c r="M146" s="78">
        <v>0</v>
      </c>
      <c r="N146" s="78">
        <v>0</v>
      </c>
      <c r="O146" s="75">
        <v>0</v>
      </c>
      <c r="P146" s="75">
        <v>0</v>
      </c>
      <c r="Q146" s="78">
        <f t="shared" si="21"/>
        <v>0</v>
      </c>
      <c r="R146" s="75">
        <v>0</v>
      </c>
      <c r="S146" s="75">
        <v>0</v>
      </c>
      <c r="T146" s="78">
        <f t="shared" si="19"/>
        <v>95000</v>
      </c>
      <c r="U146" s="78">
        <v>0</v>
      </c>
      <c r="V146" s="75">
        <v>0</v>
      </c>
      <c r="W146" s="78">
        <f>111346-19000+531</f>
        <v>92877</v>
      </c>
      <c r="X146" s="78">
        <v>0</v>
      </c>
      <c r="Y146" s="78">
        <f>2654-531</f>
        <v>2123</v>
      </c>
      <c r="Z146" s="78">
        <v>0</v>
      </c>
      <c r="AA146" s="63"/>
    </row>
    <row r="147" spans="1:27" ht="12.75" x14ac:dyDescent="0.2">
      <c r="A147" s="117">
        <v>137</v>
      </c>
      <c r="B147" s="121" t="s">
        <v>196</v>
      </c>
      <c r="C147" s="122" t="s">
        <v>449</v>
      </c>
      <c r="D147" s="78">
        <f t="shared" si="20"/>
        <v>8000</v>
      </c>
      <c r="E147" s="78">
        <f t="shared" si="17"/>
        <v>0</v>
      </c>
      <c r="F147" s="78">
        <v>0</v>
      </c>
      <c r="G147" s="78">
        <v>0</v>
      </c>
      <c r="H147" s="78">
        <v>0</v>
      </c>
      <c r="I147" s="78">
        <v>0</v>
      </c>
      <c r="J147" s="78">
        <f t="shared" si="18"/>
        <v>0</v>
      </c>
      <c r="K147" s="78">
        <v>0</v>
      </c>
      <c r="L147" s="78">
        <v>0</v>
      </c>
      <c r="M147" s="78">
        <v>0</v>
      </c>
      <c r="N147" s="78">
        <v>0</v>
      </c>
      <c r="O147" s="75">
        <v>0</v>
      </c>
      <c r="P147" s="75">
        <v>0</v>
      </c>
      <c r="Q147" s="78">
        <f t="shared" si="21"/>
        <v>0</v>
      </c>
      <c r="R147" s="75">
        <v>0</v>
      </c>
      <c r="S147" s="75">
        <v>0</v>
      </c>
      <c r="T147" s="78">
        <f t="shared" si="19"/>
        <v>8000</v>
      </c>
      <c r="U147" s="78">
        <v>6980</v>
      </c>
      <c r="V147" s="75">
        <v>0</v>
      </c>
      <c r="W147" s="78">
        <v>1020</v>
      </c>
      <c r="X147" s="78">
        <v>0</v>
      </c>
      <c r="Y147" s="78">
        <v>0</v>
      </c>
      <c r="Z147" s="78">
        <v>0</v>
      </c>
      <c r="AA147" s="63"/>
    </row>
    <row r="148" spans="1:27" ht="12.75" x14ac:dyDescent="0.2">
      <c r="A148" s="117">
        <v>138</v>
      </c>
      <c r="B148" s="118" t="s">
        <v>149</v>
      </c>
      <c r="C148" s="122" t="s">
        <v>150</v>
      </c>
      <c r="D148" s="78">
        <f t="shared" si="20"/>
        <v>65356</v>
      </c>
      <c r="E148" s="78">
        <f t="shared" si="17"/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f t="shared" si="18"/>
        <v>0</v>
      </c>
      <c r="K148" s="78">
        <v>0</v>
      </c>
      <c r="L148" s="78">
        <v>0</v>
      </c>
      <c r="M148" s="78">
        <v>0</v>
      </c>
      <c r="N148" s="78">
        <v>0</v>
      </c>
      <c r="O148" s="75">
        <v>0</v>
      </c>
      <c r="P148" s="75">
        <v>0</v>
      </c>
      <c r="Q148" s="78">
        <f t="shared" si="21"/>
        <v>0</v>
      </c>
      <c r="R148" s="75">
        <v>0</v>
      </c>
      <c r="S148" s="75">
        <v>0</v>
      </c>
      <c r="T148" s="78">
        <f t="shared" si="19"/>
        <v>65356</v>
      </c>
      <c r="U148" s="78">
        <v>32678</v>
      </c>
      <c r="V148" s="75">
        <v>0</v>
      </c>
      <c r="W148" s="78">
        <v>32678</v>
      </c>
      <c r="X148" s="78">
        <v>0</v>
      </c>
      <c r="Y148" s="78">
        <v>0</v>
      </c>
      <c r="Z148" s="78">
        <v>0</v>
      </c>
      <c r="AA148" s="63"/>
    </row>
    <row r="149" spans="1:27" ht="12.75" x14ac:dyDescent="0.2">
      <c r="A149" s="117">
        <v>139</v>
      </c>
      <c r="B149" s="123" t="s">
        <v>151</v>
      </c>
      <c r="C149" s="124" t="s">
        <v>152</v>
      </c>
      <c r="D149" s="78">
        <f t="shared" si="20"/>
        <v>34948</v>
      </c>
      <c r="E149" s="78">
        <f t="shared" si="17"/>
        <v>30948</v>
      </c>
      <c r="F149" s="78">
        <v>30793</v>
      </c>
      <c r="G149" s="78">
        <v>155</v>
      </c>
      <c r="H149" s="78">
        <v>0</v>
      </c>
      <c r="I149" s="78">
        <v>0</v>
      </c>
      <c r="J149" s="78">
        <f t="shared" si="18"/>
        <v>0</v>
      </c>
      <c r="K149" s="78">
        <v>0</v>
      </c>
      <c r="L149" s="78">
        <v>0</v>
      </c>
      <c r="M149" s="78">
        <v>0</v>
      </c>
      <c r="N149" s="78">
        <v>0</v>
      </c>
      <c r="O149" s="75">
        <v>0</v>
      </c>
      <c r="P149" s="75">
        <v>0</v>
      </c>
      <c r="Q149" s="78">
        <f t="shared" si="21"/>
        <v>0</v>
      </c>
      <c r="R149" s="75">
        <v>0</v>
      </c>
      <c r="S149" s="75">
        <v>0</v>
      </c>
      <c r="T149" s="78">
        <f t="shared" si="19"/>
        <v>4000</v>
      </c>
      <c r="U149" s="78">
        <v>1986</v>
      </c>
      <c r="V149" s="75">
        <v>0</v>
      </c>
      <c r="W149" s="78">
        <v>2014</v>
      </c>
      <c r="X149" s="78">
        <v>0</v>
      </c>
      <c r="Y149" s="78">
        <v>0</v>
      </c>
      <c r="Z149" s="78">
        <v>0</v>
      </c>
      <c r="AA149" s="63"/>
    </row>
    <row r="150" spans="1:27" ht="12.75" x14ac:dyDescent="0.2">
      <c r="A150" s="117">
        <v>140</v>
      </c>
      <c r="B150" s="121" t="s">
        <v>344</v>
      </c>
      <c r="C150" s="122" t="s">
        <v>345</v>
      </c>
      <c r="D150" s="78">
        <f t="shared" si="20"/>
        <v>77000</v>
      </c>
      <c r="E150" s="78">
        <f t="shared" si="17"/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f t="shared" si="18"/>
        <v>0</v>
      </c>
      <c r="K150" s="78">
        <v>0</v>
      </c>
      <c r="L150" s="78">
        <v>0</v>
      </c>
      <c r="M150" s="78">
        <v>0</v>
      </c>
      <c r="N150" s="78">
        <v>0</v>
      </c>
      <c r="O150" s="75">
        <v>0</v>
      </c>
      <c r="P150" s="75">
        <v>0</v>
      </c>
      <c r="Q150" s="78">
        <f t="shared" si="21"/>
        <v>0</v>
      </c>
      <c r="R150" s="75">
        <v>0</v>
      </c>
      <c r="S150" s="75">
        <v>0</v>
      </c>
      <c r="T150" s="78">
        <f t="shared" si="19"/>
        <v>77000</v>
      </c>
      <c r="U150" s="78">
        <v>73119</v>
      </c>
      <c r="V150" s="75">
        <v>0</v>
      </c>
      <c r="W150" s="78">
        <v>3881</v>
      </c>
      <c r="X150" s="78">
        <v>0</v>
      </c>
      <c r="Y150" s="78">
        <v>0</v>
      </c>
      <c r="Z150" s="78">
        <v>0</v>
      </c>
      <c r="AA150" s="63"/>
    </row>
    <row r="151" spans="1:27" ht="12.75" x14ac:dyDescent="0.2">
      <c r="A151" s="117">
        <v>141</v>
      </c>
      <c r="B151" s="121" t="s">
        <v>197</v>
      </c>
      <c r="C151" s="122" t="s">
        <v>198</v>
      </c>
      <c r="D151" s="78">
        <f t="shared" si="20"/>
        <v>182</v>
      </c>
      <c r="E151" s="78">
        <f t="shared" si="17"/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f t="shared" si="18"/>
        <v>0</v>
      </c>
      <c r="K151" s="78">
        <v>0</v>
      </c>
      <c r="L151" s="78">
        <v>0</v>
      </c>
      <c r="M151" s="78">
        <v>0</v>
      </c>
      <c r="N151" s="78">
        <v>0</v>
      </c>
      <c r="O151" s="75">
        <v>0</v>
      </c>
      <c r="P151" s="75">
        <v>0</v>
      </c>
      <c r="Q151" s="78">
        <f t="shared" si="21"/>
        <v>0</v>
      </c>
      <c r="R151" s="75">
        <v>0</v>
      </c>
      <c r="S151" s="75">
        <v>0</v>
      </c>
      <c r="T151" s="78">
        <f t="shared" si="19"/>
        <v>182</v>
      </c>
      <c r="U151" s="78">
        <v>182</v>
      </c>
      <c r="V151" s="75">
        <v>0</v>
      </c>
      <c r="W151" s="78">
        <v>0</v>
      </c>
      <c r="X151" s="78">
        <v>0</v>
      </c>
      <c r="Y151" s="78">
        <v>0</v>
      </c>
      <c r="Z151" s="78">
        <v>0</v>
      </c>
      <c r="AA151" s="63"/>
    </row>
    <row r="152" spans="1:27" ht="12.75" x14ac:dyDescent="0.2">
      <c r="A152" s="117">
        <v>142</v>
      </c>
      <c r="B152" s="121" t="s">
        <v>346</v>
      </c>
      <c r="C152" s="122" t="s">
        <v>347</v>
      </c>
      <c r="D152" s="78">
        <f t="shared" si="20"/>
        <v>59392</v>
      </c>
      <c r="E152" s="78">
        <f t="shared" si="17"/>
        <v>0</v>
      </c>
      <c r="F152" s="78">
        <v>0</v>
      </c>
      <c r="G152" s="78">
        <v>0</v>
      </c>
      <c r="H152" s="78">
        <v>0</v>
      </c>
      <c r="I152" s="78">
        <v>0</v>
      </c>
      <c r="J152" s="78">
        <f t="shared" si="18"/>
        <v>0</v>
      </c>
      <c r="K152" s="78">
        <v>0</v>
      </c>
      <c r="L152" s="78">
        <v>0</v>
      </c>
      <c r="M152" s="78">
        <v>0</v>
      </c>
      <c r="N152" s="78">
        <v>0</v>
      </c>
      <c r="O152" s="75">
        <v>0</v>
      </c>
      <c r="P152" s="75">
        <v>0</v>
      </c>
      <c r="Q152" s="78">
        <f t="shared" si="21"/>
        <v>6392</v>
      </c>
      <c r="R152" s="75">
        <v>4575</v>
      </c>
      <c r="S152" s="75">
        <v>1817</v>
      </c>
      <c r="T152" s="78">
        <f t="shared" si="19"/>
        <v>53000</v>
      </c>
      <c r="U152" s="78">
        <v>50733</v>
      </c>
      <c r="V152" s="75">
        <v>0</v>
      </c>
      <c r="W152" s="78">
        <v>0</v>
      </c>
      <c r="X152" s="78">
        <v>2267</v>
      </c>
      <c r="Y152" s="78">
        <v>0</v>
      </c>
      <c r="Z152" s="78">
        <v>0</v>
      </c>
      <c r="AA152" s="63"/>
    </row>
    <row r="153" spans="1:27" ht="12.75" x14ac:dyDescent="0.2">
      <c r="A153" s="117">
        <v>143</v>
      </c>
      <c r="B153" s="123" t="s">
        <v>12</v>
      </c>
      <c r="C153" s="124" t="s">
        <v>2</v>
      </c>
      <c r="D153" s="78">
        <f t="shared" si="20"/>
        <v>1054</v>
      </c>
      <c r="E153" s="78">
        <f t="shared" si="17"/>
        <v>0</v>
      </c>
      <c r="F153" s="78">
        <v>0</v>
      </c>
      <c r="G153" s="78">
        <v>0</v>
      </c>
      <c r="H153" s="78">
        <v>0</v>
      </c>
      <c r="I153" s="78">
        <v>0</v>
      </c>
      <c r="J153" s="78">
        <f t="shared" si="18"/>
        <v>0</v>
      </c>
      <c r="K153" s="78">
        <v>0</v>
      </c>
      <c r="L153" s="78">
        <v>0</v>
      </c>
      <c r="M153" s="78">
        <v>0</v>
      </c>
      <c r="N153" s="78">
        <v>0</v>
      </c>
      <c r="O153" s="75">
        <v>0</v>
      </c>
      <c r="P153" s="75">
        <v>0</v>
      </c>
      <c r="Q153" s="78">
        <f t="shared" si="21"/>
        <v>0</v>
      </c>
      <c r="R153" s="75">
        <v>0</v>
      </c>
      <c r="S153" s="75">
        <v>0</v>
      </c>
      <c r="T153" s="78">
        <f t="shared" si="19"/>
        <v>1054</v>
      </c>
      <c r="U153" s="78">
        <v>354</v>
      </c>
      <c r="V153" s="75">
        <v>0</v>
      </c>
      <c r="W153" s="78">
        <v>700</v>
      </c>
      <c r="X153" s="78">
        <v>0</v>
      </c>
      <c r="Y153" s="78">
        <v>0</v>
      </c>
      <c r="Z153" s="78">
        <v>0</v>
      </c>
      <c r="AA153" s="63"/>
    </row>
    <row r="154" spans="1:27" ht="12.75" x14ac:dyDescent="0.2">
      <c r="A154" s="117">
        <v>144</v>
      </c>
      <c r="B154" s="120" t="s">
        <v>3</v>
      </c>
      <c r="C154" s="124" t="s">
        <v>450</v>
      </c>
      <c r="D154" s="78">
        <f t="shared" si="20"/>
        <v>92066</v>
      </c>
      <c r="E154" s="78">
        <f t="shared" si="17"/>
        <v>0</v>
      </c>
      <c r="F154" s="78">
        <v>0</v>
      </c>
      <c r="G154" s="78">
        <v>0</v>
      </c>
      <c r="H154" s="78">
        <v>0</v>
      </c>
      <c r="I154" s="78">
        <v>0</v>
      </c>
      <c r="J154" s="78">
        <f t="shared" si="18"/>
        <v>88373</v>
      </c>
      <c r="K154" s="78">
        <v>20657</v>
      </c>
      <c r="L154" s="78">
        <v>1450</v>
      </c>
      <c r="M154" s="78">
        <v>430</v>
      </c>
      <c r="N154" s="78">
        <v>454</v>
      </c>
      <c r="O154" s="75">
        <v>50502</v>
      </c>
      <c r="P154" s="75">
        <v>14880</v>
      </c>
      <c r="Q154" s="78">
        <f t="shared" si="21"/>
        <v>0</v>
      </c>
      <c r="R154" s="75">
        <v>0</v>
      </c>
      <c r="S154" s="75">
        <v>0</v>
      </c>
      <c r="T154" s="78">
        <f t="shared" si="19"/>
        <v>3693</v>
      </c>
      <c r="U154" s="78">
        <v>3693</v>
      </c>
      <c r="V154" s="75">
        <v>0</v>
      </c>
      <c r="W154" s="78">
        <v>0</v>
      </c>
      <c r="X154" s="78">
        <v>0</v>
      </c>
      <c r="Y154" s="78">
        <v>0</v>
      </c>
      <c r="Z154" s="78">
        <v>0</v>
      </c>
      <c r="AA154" s="63"/>
    </row>
    <row r="155" spans="1:27" ht="12.75" x14ac:dyDescent="0.2">
      <c r="A155" s="117">
        <v>145</v>
      </c>
      <c r="B155" s="121" t="s">
        <v>11</v>
      </c>
      <c r="C155" s="122" t="s">
        <v>8</v>
      </c>
      <c r="D155" s="78">
        <f t="shared" si="20"/>
        <v>3026</v>
      </c>
      <c r="E155" s="78">
        <f t="shared" si="17"/>
        <v>0</v>
      </c>
      <c r="F155" s="78">
        <v>0</v>
      </c>
      <c r="G155" s="78">
        <v>0</v>
      </c>
      <c r="H155" s="78">
        <v>0</v>
      </c>
      <c r="I155" s="78">
        <v>0</v>
      </c>
      <c r="J155" s="78">
        <f t="shared" si="18"/>
        <v>0</v>
      </c>
      <c r="K155" s="78">
        <v>0</v>
      </c>
      <c r="L155" s="78">
        <v>0</v>
      </c>
      <c r="M155" s="78">
        <v>0</v>
      </c>
      <c r="N155" s="78">
        <v>0</v>
      </c>
      <c r="O155" s="75">
        <v>0</v>
      </c>
      <c r="P155" s="75">
        <v>0</v>
      </c>
      <c r="Q155" s="78">
        <f t="shared" si="21"/>
        <v>0</v>
      </c>
      <c r="R155" s="75">
        <v>0</v>
      </c>
      <c r="S155" s="75">
        <v>0</v>
      </c>
      <c r="T155" s="78">
        <f t="shared" si="19"/>
        <v>3026</v>
      </c>
      <c r="U155" s="78">
        <v>2860</v>
      </c>
      <c r="V155" s="75">
        <v>0</v>
      </c>
      <c r="W155" s="78">
        <v>166</v>
      </c>
      <c r="X155" s="78">
        <v>0</v>
      </c>
      <c r="Y155" s="78">
        <v>0</v>
      </c>
      <c r="Z155" s="78">
        <v>0</v>
      </c>
      <c r="AA155" s="63"/>
    </row>
    <row r="156" spans="1:27" ht="12.75" x14ac:dyDescent="0.2">
      <c r="A156" s="117">
        <v>146</v>
      </c>
      <c r="B156" s="118" t="s">
        <v>200</v>
      </c>
      <c r="C156" s="119" t="s">
        <v>201</v>
      </c>
      <c r="D156" s="78">
        <f t="shared" si="20"/>
        <v>12716</v>
      </c>
      <c r="E156" s="78">
        <f t="shared" si="17"/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f t="shared" si="18"/>
        <v>0</v>
      </c>
      <c r="K156" s="78">
        <v>0</v>
      </c>
      <c r="L156" s="78">
        <v>0</v>
      </c>
      <c r="M156" s="78">
        <v>0</v>
      </c>
      <c r="N156" s="78">
        <v>0</v>
      </c>
      <c r="O156" s="75">
        <v>0</v>
      </c>
      <c r="P156" s="75">
        <v>0</v>
      </c>
      <c r="Q156" s="78">
        <f t="shared" si="21"/>
        <v>0</v>
      </c>
      <c r="R156" s="75">
        <v>0</v>
      </c>
      <c r="S156" s="75">
        <v>0</v>
      </c>
      <c r="T156" s="78">
        <f t="shared" si="19"/>
        <v>12716</v>
      </c>
      <c r="U156" s="78">
        <v>0</v>
      </c>
      <c r="V156" s="75">
        <v>0</v>
      </c>
      <c r="W156" s="78">
        <v>0</v>
      </c>
      <c r="X156" s="78">
        <v>8442</v>
      </c>
      <c r="Y156" s="78">
        <v>4274</v>
      </c>
      <c r="Z156" s="78">
        <v>0</v>
      </c>
      <c r="AA156" s="63"/>
    </row>
    <row r="157" spans="1:27" x14ac:dyDescent="0.2">
      <c r="A157" s="117">
        <v>147</v>
      </c>
      <c r="B157" s="85" t="s">
        <v>202</v>
      </c>
      <c r="C157" s="82" t="s">
        <v>451</v>
      </c>
      <c r="D157" s="78">
        <f t="shared" si="20"/>
        <v>0</v>
      </c>
      <c r="E157" s="78">
        <f t="shared" si="17"/>
        <v>0</v>
      </c>
      <c r="F157" s="78">
        <v>0</v>
      </c>
      <c r="G157" s="78">
        <v>0</v>
      </c>
      <c r="H157" s="78">
        <v>0</v>
      </c>
      <c r="I157" s="78">
        <v>0</v>
      </c>
      <c r="J157" s="78">
        <f t="shared" ref="J157:J158" si="22">O157+P157+N157+M157+L157+K157</f>
        <v>0</v>
      </c>
      <c r="K157" s="78">
        <v>0</v>
      </c>
      <c r="L157" s="78">
        <v>0</v>
      </c>
      <c r="M157" s="78">
        <v>0</v>
      </c>
      <c r="N157" s="78">
        <v>0</v>
      </c>
      <c r="O157" s="75">
        <v>0</v>
      </c>
      <c r="P157" s="75">
        <v>0</v>
      </c>
      <c r="Q157" s="78">
        <f t="shared" si="21"/>
        <v>0</v>
      </c>
      <c r="R157" s="75">
        <v>0</v>
      </c>
      <c r="S157" s="75">
        <v>0</v>
      </c>
      <c r="T157" s="78">
        <f t="shared" si="19"/>
        <v>0</v>
      </c>
      <c r="U157" s="78">
        <v>0</v>
      </c>
      <c r="V157" s="75">
        <v>0</v>
      </c>
      <c r="W157" s="78">
        <v>0</v>
      </c>
      <c r="X157" s="78">
        <v>0</v>
      </c>
      <c r="Y157" s="78">
        <v>0</v>
      </c>
      <c r="Z157" s="78">
        <v>0</v>
      </c>
      <c r="AA157" s="63"/>
    </row>
    <row r="158" spans="1:27" ht="12.75" x14ac:dyDescent="0.2">
      <c r="A158" s="117">
        <v>148</v>
      </c>
      <c r="B158" s="107" t="s">
        <v>348</v>
      </c>
      <c r="C158" s="108" t="s">
        <v>349</v>
      </c>
      <c r="D158" s="78">
        <f t="shared" si="20"/>
        <v>0</v>
      </c>
      <c r="E158" s="78">
        <f t="shared" si="17"/>
        <v>0</v>
      </c>
      <c r="F158" s="78">
        <v>0</v>
      </c>
      <c r="G158" s="78">
        <v>0</v>
      </c>
      <c r="H158" s="78">
        <v>0</v>
      </c>
      <c r="I158" s="78">
        <v>0</v>
      </c>
      <c r="J158" s="78">
        <f t="shared" si="22"/>
        <v>0</v>
      </c>
      <c r="K158" s="78">
        <v>0</v>
      </c>
      <c r="L158" s="78">
        <v>0</v>
      </c>
      <c r="M158" s="78">
        <v>0</v>
      </c>
      <c r="N158" s="78">
        <v>0</v>
      </c>
      <c r="O158" s="75">
        <v>0</v>
      </c>
      <c r="P158" s="75">
        <v>0</v>
      </c>
      <c r="Q158" s="78">
        <f t="shared" si="21"/>
        <v>0</v>
      </c>
      <c r="R158" s="75">
        <v>0</v>
      </c>
      <c r="S158" s="75">
        <v>0</v>
      </c>
      <c r="T158" s="78">
        <f t="shared" si="19"/>
        <v>0</v>
      </c>
      <c r="U158" s="78">
        <v>0</v>
      </c>
      <c r="V158" s="75">
        <v>0</v>
      </c>
      <c r="W158" s="78">
        <v>0</v>
      </c>
      <c r="X158" s="78">
        <v>0</v>
      </c>
      <c r="Y158" s="78">
        <v>0</v>
      </c>
      <c r="Z158" s="78">
        <v>0</v>
      </c>
      <c r="AA158" s="63"/>
    </row>
    <row r="159" spans="1:27" x14ac:dyDescent="0.2">
      <c r="E159" s="133"/>
      <c r="F159" s="133"/>
      <c r="G159" s="133"/>
      <c r="H159" s="133"/>
      <c r="I159" s="133"/>
    </row>
    <row r="164" spans="5:14" x14ac:dyDescent="0.2">
      <c r="E164" s="63"/>
      <c r="F164" s="63"/>
      <c r="G164" s="63"/>
      <c r="H164" s="63"/>
      <c r="I164" s="63"/>
      <c r="K164" s="63"/>
      <c r="L164" s="63"/>
      <c r="M164" s="63"/>
      <c r="N164" s="63"/>
    </row>
  </sheetData>
  <mergeCells count="26">
    <mergeCell ref="A10:C10"/>
    <mergeCell ref="T4:Y4"/>
    <mergeCell ref="E5:E6"/>
    <mergeCell ref="F5:G5"/>
    <mergeCell ref="H5:I5"/>
    <mergeCell ref="J5:J6"/>
    <mergeCell ref="K5:L5"/>
    <mergeCell ref="M5:N5"/>
    <mergeCell ref="O5:P5"/>
    <mergeCell ref="Q5:Q6"/>
    <mergeCell ref="R5:S5"/>
    <mergeCell ref="T5:T6"/>
    <mergeCell ref="U5:W5"/>
    <mergeCell ref="X5:Y5"/>
    <mergeCell ref="A8:C8"/>
    <mergeCell ref="A9:C9"/>
    <mergeCell ref="A1:W1"/>
    <mergeCell ref="A2:A6"/>
    <mergeCell ref="B2:B6"/>
    <mergeCell ref="C2:C6"/>
    <mergeCell ref="D2:Z2"/>
    <mergeCell ref="D3:D6"/>
    <mergeCell ref="E3:Z3"/>
    <mergeCell ref="E4:I4"/>
    <mergeCell ref="J4:P4"/>
    <mergeCell ref="Q4:S4"/>
  </mergeCells>
  <pageMargins left="0" right="0" top="0" bottom="0" header="0.31496062992125984" footer="0.31496062992125984"/>
  <pageSetup paperSize="9" scale="52" fitToHeight="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8"/>
  <sheetViews>
    <sheetView workbookViewId="0">
      <pane xSplit="3" ySplit="10" topLeftCell="D143" activePane="bottomRight" state="frozen"/>
      <selection activeCell="F11" sqref="F11"/>
      <selection pane="topRight" activeCell="F11" sqref="F11"/>
      <selection pane="bottomLeft" activeCell="F11" sqref="F11"/>
      <selection pane="bottomRight" activeCell="K103" sqref="K103"/>
    </sheetView>
  </sheetViews>
  <sheetFormatPr defaultRowHeight="12" x14ac:dyDescent="0.2"/>
  <cols>
    <col min="1" max="1" width="5" style="63" customWidth="1"/>
    <col min="2" max="2" width="7.7109375" style="63" customWidth="1"/>
    <col min="3" max="3" width="30.85546875" style="63" customWidth="1"/>
    <col min="4" max="14" width="10.7109375" style="63" customWidth="1"/>
    <col min="15" max="17" width="9.140625" style="63"/>
    <col min="18" max="18" width="10.42578125" style="63" customWidth="1"/>
    <col min="19" max="19" width="13.42578125" style="63" customWidth="1"/>
    <col min="20" max="16384" width="9.140625" style="63"/>
  </cols>
  <sheetData>
    <row r="1" spans="1:21" ht="39.75" customHeight="1" x14ac:dyDescent="0.2">
      <c r="A1" s="686" t="s">
        <v>458</v>
      </c>
      <c r="B1" s="686"/>
      <c r="C1" s="686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</row>
    <row r="2" spans="1:21" ht="24.75" customHeight="1" x14ac:dyDescent="0.2">
      <c r="A2" s="683" t="s">
        <v>0</v>
      </c>
      <c r="B2" s="687" t="s">
        <v>351</v>
      </c>
      <c r="C2" s="683" t="s">
        <v>352</v>
      </c>
      <c r="D2" s="698" t="s">
        <v>459</v>
      </c>
      <c r="E2" s="718"/>
      <c r="F2" s="718"/>
      <c r="G2" s="718"/>
      <c r="H2" s="718"/>
      <c r="I2" s="718"/>
      <c r="J2" s="718"/>
      <c r="K2" s="718"/>
      <c r="L2" s="718"/>
      <c r="M2" s="718"/>
      <c r="N2" s="699"/>
    </row>
    <row r="3" spans="1:21" x14ac:dyDescent="0.2">
      <c r="A3" s="683"/>
      <c r="B3" s="688"/>
      <c r="C3" s="683"/>
      <c r="D3" s="719" t="s">
        <v>453</v>
      </c>
      <c r="E3" s="683" t="s">
        <v>16</v>
      </c>
      <c r="F3" s="683"/>
      <c r="G3" s="683"/>
      <c r="H3" s="683"/>
      <c r="I3" s="683"/>
      <c r="J3" s="683"/>
      <c r="K3" s="683"/>
      <c r="L3" s="683"/>
      <c r="M3" s="683"/>
      <c r="N3" s="683"/>
    </row>
    <row r="4" spans="1:21" ht="30.75" customHeight="1" x14ac:dyDescent="0.2">
      <c r="A4" s="683"/>
      <c r="B4" s="688"/>
      <c r="C4" s="683"/>
      <c r="D4" s="719"/>
      <c r="E4" s="720" t="s">
        <v>454</v>
      </c>
      <c r="F4" s="721"/>
      <c r="G4" s="722"/>
      <c r="H4" s="716" t="s">
        <v>455</v>
      </c>
      <c r="I4" s="716"/>
      <c r="J4" s="716"/>
      <c r="K4" s="716"/>
      <c r="L4" s="716"/>
      <c r="M4" s="716"/>
      <c r="N4" s="716"/>
    </row>
    <row r="5" spans="1:21" ht="23.25" customHeight="1" x14ac:dyDescent="0.2">
      <c r="A5" s="683"/>
      <c r="B5" s="688"/>
      <c r="C5" s="683"/>
      <c r="D5" s="719"/>
      <c r="E5" s="723" t="s">
        <v>266</v>
      </c>
      <c r="F5" s="716" t="s">
        <v>217</v>
      </c>
      <c r="G5" s="716"/>
      <c r="H5" s="723" t="s">
        <v>266</v>
      </c>
      <c r="I5" s="716" t="s">
        <v>278</v>
      </c>
      <c r="J5" s="716"/>
      <c r="K5" s="716" t="s">
        <v>217</v>
      </c>
      <c r="L5" s="716"/>
      <c r="M5" s="716" t="s">
        <v>280</v>
      </c>
      <c r="N5" s="716"/>
    </row>
    <row r="6" spans="1:21" ht="34.5" customHeight="1" x14ac:dyDescent="0.2">
      <c r="A6" s="683"/>
      <c r="B6" s="689"/>
      <c r="C6" s="683"/>
      <c r="D6" s="682"/>
      <c r="E6" s="682"/>
      <c r="F6" s="134" t="s">
        <v>218</v>
      </c>
      <c r="G6" s="95" t="s">
        <v>219</v>
      </c>
      <c r="H6" s="682"/>
      <c r="I6" s="135" t="s">
        <v>218</v>
      </c>
      <c r="J6" s="136" t="s">
        <v>219</v>
      </c>
      <c r="K6" s="135" t="s">
        <v>218</v>
      </c>
      <c r="L6" s="136" t="s">
        <v>219</v>
      </c>
      <c r="M6" s="135" t="s">
        <v>218</v>
      </c>
      <c r="N6" s="136" t="s">
        <v>219</v>
      </c>
    </row>
    <row r="7" spans="1:21" s="70" customFormat="1" ht="11.25" x14ac:dyDescent="0.2">
      <c r="A7" s="67">
        <v>1</v>
      </c>
      <c r="B7" s="67">
        <v>2</v>
      </c>
      <c r="C7" s="67">
        <v>3</v>
      </c>
      <c r="D7" s="68">
        <v>4</v>
      </c>
      <c r="E7" s="68">
        <v>5</v>
      </c>
      <c r="F7" s="68">
        <v>8</v>
      </c>
      <c r="G7" s="68">
        <v>9</v>
      </c>
      <c r="H7" s="68">
        <v>10</v>
      </c>
      <c r="I7" s="68">
        <v>11</v>
      </c>
      <c r="J7" s="68">
        <v>12</v>
      </c>
      <c r="K7" s="68">
        <v>13</v>
      </c>
      <c r="L7" s="68">
        <v>14</v>
      </c>
      <c r="M7" s="68">
        <v>15</v>
      </c>
      <c r="N7" s="68">
        <v>16</v>
      </c>
    </row>
    <row r="8" spans="1:21" s="70" customFormat="1" x14ac:dyDescent="0.2">
      <c r="A8" s="685" t="s">
        <v>1</v>
      </c>
      <c r="B8" s="685"/>
      <c r="C8" s="685"/>
      <c r="D8" s="71">
        <f>D9+D10</f>
        <v>513094</v>
      </c>
      <c r="E8" s="71">
        <f>SUM(F8:G8)</f>
        <v>40268</v>
      </c>
      <c r="F8" s="71">
        <f t="shared" ref="F8:G8" si="0">F9+F10</f>
        <v>3863</v>
      </c>
      <c r="G8" s="71">
        <f t="shared" si="0"/>
        <v>36405</v>
      </c>
      <c r="H8" s="71">
        <f t="shared" ref="H8:H9" si="1">SUM(I8:N8)</f>
        <v>472826</v>
      </c>
      <c r="I8" s="71">
        <f>I9+I10</f>
        <v>16390</v>
      </c>
      <c r="J8" s="71">
        <f t="shared" ref="J8:N8" si="2">J9+J10</f>
        <v>15</v>
      </c>
      <c r="K8" s="71">
        <f t="shared" si="2"/>
        <v>64974</v>
      </c>
      <c r="L8" s="71">
        <f t="shared" si="2"/>
        <v>33425</v>
      </c>
      <c r="M8" s="71">
        <f t="shared" si="2"/>
        <v>262335</v>
      </c>
      <c r="N8" s="71">
        <f t="shared" si="2"/>
        <v>95687</v>
      </c>
    </row>
    <row r="9" spans="1:21" s="70" customFormat="1" x14ac:dyDescent="0.2">
      <c r="A9" s="695" t="s">
        <v>17</v>
      </c>
      <c r="B9" s="696"/>
      <c r="C9" s="697"/>
      <c r="D9" s="71">
        <f t="shared" ref="D9:D72" si="3">E9+H9</f>
        <v>0</v>
      </c>
      <c r="E9" s="71">
        <f>SUM(F9:G9)</f>
        <v>0</v>
      </c>
      <c r="F9" s="71">
        <v>0</v>
      </c>
      <c r="G9" s="71">
        <v>0</v>
      </c>
      <c r="H9" s="71">
        <f t="shared" si="1"/>
        <v>0</v>
      </c>
      <c r="I9" s="71">
        <v>0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</row>
    <row r="10" spans="1:21" s="70" customFormat="1" x14ac:dyDescent="0.2">
      <c r="A10" s="695" t="s">
        <v>18</v>
      </c>
      <c r="B10" s="696"/>
      <c r="C10" s="697"/>
      <c r="D10" s="137">
        <f t="shared" si="3"/>
        <v>513094</v>
      </c>
      <c r="E10" s="71">
        <f>SUM(F10:G10)</f>
        <v>40268</v>
      </c>
      <c r="F10" s="71">
        <f t="shared" ref="F10:G10" si="4">SUM(F11:F158)</f>
        <v>3863</v>
      </c>
      <c r="G10" s="71">
        <f t="shared" si="4"/>
        <v>36405</v>
      </c>
      <c r="H10" s="71">
        <f>SUM(I10:N10)</f>
        <v>472826</v>
      </c>
      <c r="I10" s="71">
        <f t="shared" ref="I10:N10" si="5">SUM(I11:I158)</f>
        <v>16390</v>
      </c>
      <c r="J10" s="71">
        <f t="shared" si="5"/>
        <v>15</v>
      </c>
      <c r="K10" s="71">
        <f t="shared" si="5"/>
        <v>64974</v>
      </c>
      <c r="L10" s="71">
        <f t="shared" si="5"/>
        <v>33425</v>
      </c>
      <c r="M10" s="71">
        <f t="shared" si="5"/>
        <v>262335</v>
      </c>
      <c r="N10" s="71">
        <f t="shared" si="5"/>
        <v>95687</v>
      </c>
    </row>
    <row r="11" spans="1:21" ht="12.75" x14ac:dyDescent="0.2">
      <c r="A11" s="75">
        <v>1</v>
      </c>
      <c r="B11" s="76" t="s">
        <v>19</v>
      </c>
      <c r="C11" s="105" t="s">
        <v>20</v>
      </c>
      <c r="D11" s="78">
        <f t="shared" si="3"/>
        <v>963</v>
      </c>
      <c r="E11" s="78">
        <f>F11+G11</f>
        <v>0</v>
      </c>
      <c r="F11" s="78">
        <v>0</v>
      </c>
      <c r="G11" s="78">
        <v>0</v>
      </c>
      <c r="H11" s="78">
        <f t="shared" ref="H11:H81" si="6">M11+N11+L11+K11+J11+I11</f>
        <v>963</v>
      </c>
      <c r="I11" s="78">
        <v>0</v>
      </c>
      <c r="J11" s="78">
        <v>0</v>
      </c>
      <c r="K11" s="78">
        <v>0</v>
      </c>
      <c r="L11" s="78">
        <v>0</v>
      </c>
      <c r="M11" s="78">
        <v>963</v>
      </c>
      <c r="N11" s="78">
        <v>0</v>
      </c>
      <c r="P11" s="80"/>
      <c r="Q11" s="63">
        <v>963</v>
      </c>
      <c r="R11" s="80">
        <f t="shared" ref="R11:R42" si="7">Q11-D11</f>
        <v>0</v>
      </c>
      <c r="T11" s="81"/>
      <c r="U11" s="81"/>
    </row>
    <row r="12" spans="1:21" ht="12.75" x14ac:dyDescent="0.2">
      <c r="A12" s="75">
        <v>2</v>
      </c>
      <c r="B12" s="76" t="s">
        <v>21</v>
      </c>
      <c r="C12" s="105" t="s">
        <v>456</v>
      </c>
      <c r="D12" s="78">
        <f t="shared" si="3"/>
        <v>2675</v>
      </c>
      <c r="E12" s="78">
        <f t="shared" ref="E12:E75" si="8">F12+G12</f>
        <v>0</v>
      </c>
      <c r="F12" s="78">
        <v>0</v>
      </c>
      <c r="G12" s="78">
        <v>0</v>
      </c>
      <c r="H12" s="78">
        <f t="shared" si="6"/>
        <v>2675</v>
      </c>
      <c r="I12" s="78">
        <v>0</v>
      </c>
      <c r="J12" s="78">
        <v>0</v>
      </c>
      <c r="K12" s="78">
        <v>0</v>
      </c>
      <c r="L12" s="78">
        <v>0</v>
      </c>
      <c r="M12" s="78">
        <v>2675</v>
      </c>
      <c r="N12" s="78">
        <v>0</v>
      </c>
      <c r="P12" s="80"/>
      <c r="Q12" s="63">
        <v>2675</v>
      </c>
      <c r="R12" s="80">
        <f t="shared" si="7"/>
        <v>0</v>
      </c>
    </row>
    <row r="13" spans="1:21" ht="12.75" x14ac:dyDescent="0.2">
      <c r="A13" s="75">
        <v>3</v>
      </c>
      <c r="B13" s="83" t="s">
        <v>22</v>
      </c>
      <c r="C13" s="98" t="s">
        <v>23</v>
      </c>
      <c r="D13" s="78">
        <f t="shared" si="3"/>
        <v>7632</v>
      </c>
      <c r="E13" s="78">
        <f t="shared" si="8"/>
        <v>0</v>
      </c>
      <c r="F13" s="78">
        <v>0</v>
      </c>
      <c r="G13" s="78">
        <v>0</v>
      </c>
      <c r="H13" s="78">
        <f t="shared" si="6"/>
        <v>7632</v>
      </c>
      <c r="I13" s="78">
        <v>95</v>
      </c>
      <c r="J13" s="78">
        <v>0</v>
      </c>
      <c r="K13" s="78">
        <v>0</v>
      </c>
      <c r="L13" s="78">
        <v>0</v>
      </c>
      <c r="M13" s="78">
        <v>4037</v>
      </c>
      <c r="N13" s="78">
        <v>3500</v>
      </c>
      <c r="P13" s="80"/>
      <c r="Q13" s="63">
        <v>7632</v>
      </c>
      <c r="R13" s="80">
        <f t="shared" si="7"/>
        <v>0</v>
      </c>
    </row>
    <row r="14" spans="1:21" ht="12.75" x14ac:dyDescent="0.2">
      <c r="A14" s="75">
        <v>4</v>
      </c>
      <c r="B14" s="76" t="s">
        <v>24</v>
      </c>
      <c r="C14" s="105" t="s">
        <v>368</v>
      </c>
      <c r="D14" s="78">
        <f t="shared" si="3"/>
        <v>4184</v>
      </c>
      <c r="E14" s="78">
        <f t="shared" si="8"/>
        <v>0</v>
      </c>
      <c r="F14" s="78">
        <v>0</v>
      </c>
      <c r="G14" s="78">
        <v>0</v>
      </c>
      <c r="H14" s="78">
        <f t="shared" si="6"/>
        <v>4184</v>
      </c>
      <c r="I14" s="78">
        <v>0</v>
      </c>
      <c r="J14" s="78">
        <v>0</v>
      </c>
      <c r="K14" s="78">
        <v>186</v>
      </c>
      <c r="L14" s="78">
        <v>67</v>
      </c>
      <c r="M14" s="78">
        <v>3896</v>
      </c>
      <c r="N14" s="78">
        <v>35</v>
      </c>
      <c r="P14" s="80"/>
      <c r="Q14" s="63">
        <v>4184</v>
      </c>
      <c r="R14" s="80">
        <f t="shared" si="7"/>
        <v>0</v>
      </c>
    </row>
    <row r="15" spans="1:21" ht="12.75" x14ac:dyDescent="0.2">
      <c r="A15" s="75">
        <v>5</v>
      </c>
      <c r="B15" s="76" t="s">
        <v>25</v>
      </c>
      <c r="C15" s="105" t="s">
        <v>26</v>
      </c>
      <c r="D15" s="78">
        <f t="shared" si="3"/>
        <v>5968</v>
      </c>
      <c r="E15" s="78">
        <f t="shared" si="8"/>
        <v>0</v>
      </c>
      <c r="F15" s="78">
        <v>0</v>
      </c>
      <c r="G15" s="78">
        <v>0</v>
      </c>
      <c r="H15" s="78">
        <f t="shared" si="6"/>
        <v>5968</v>
      </c>
      <c r="I15" s="78">
        <v>0</v>
      </c>
      <c r="J15" s="78">
        <v>0</v>
      </c>
      <c r="K15" s="78">
        <v>1695</v>
      </c>
      <c r="L15" s="78">
        <f>125-125</f>
        <v>0</v>
      </c>
      <c r="M15" s="78">
        <v>4273</v>
      </c>
      <c r="N15" s="78">
        <v>0</v>
      </c>
      <c r="P15" s="80"/>
      <c r="Q15" s="63">
        <v>5968</v>
      </c>
      <c r="R15" s="80">
        <f t="shared" si="7"/>
        <v>0</v>
      </c>
    </row>
    <row r="16" spans="1:21" ht="12.75" x14ac:dyDescent="0.2">
      <c r="A16" s="75">
        <v>6</v>
      </c>
      <c r="B16" s="83" t="s">
        <v>4</v>
      </c>
      <c r="C16" s="98" t="s">
        <v>27</v>
      </c>
      <c r="D16" s="78">
        <f t="shared" si="3"/>
        <v>12008</v>
      </c>
      <c r="E16" s="78">
        <f t="shared" si="8"/>
        <v>0</v>
      </c>
      <c r="F16" s="78">
        <v>0</v>
      </c>
      <c r="G16" s="78">
        <v>0</v>
      </c>
      <c r="H16" s="78">
        <f t="shared" si="6"/>
        <v>12008</v>
      </c>
      <c r="I16" s="78">
        <v>0</v>
      </c>
      <c r="J16" s="78">
        <v>0</v>
      </c>
      <c r="K16" s="78">
        <v>7333</v>
      </c>
      <c r="L16" s="78">
        <v>3335</v>
      </c>
      <c r="M16" s="78">
        <v>1340</v>
      </c>
      <c r="N16" s="78">
        <v>0</v>
      </c>
      <c r="P16" s="80"/>
      <c r="Q16" s="63">
        <v>12008</v>
      </c>
      <c r="R16" s="80">
        <f t="shared" si="7"/>
        <v>0</v>
      </c>
    </row>
    <row r="17" spans="1:18" ht="12.75" x14ac:dyDescent="0.2">
      <c r="A17" s="75">
        <v>7</v>
      </c>
      <c r="B17" s="84" t="s">
        <v>28</v>
      </c>
      <c r="C17" s="106" t="s">
        <v>369</v>
      </c>
      <c r="D17" s="78">
        <f t="shared" si="3"/>
        <v>4900</v>
      </c>
      <c r="E17" s="78">
        <f t="shared" si="8"/>
        <v>0</v>
      </c>
      <c r="F17" s="78">
        <v>0</v>
      </c>
      <c r="G17" s="78">
        <v>0</v>
      </c>
      <c r="H17" s="78">
        <f t="shared" si="6"/>
        <v>4900</v>
      </c>
      <c r="I17" s="78">
        <v>0</v>
      </c>
      <c r="J17" s="78">
        <v>0</v>
      </c>
      <c r="K17" s="78">
        <v>561</v>
      </c>
      <c r="L17" s="78">
        <v>2245</v>
      </c>
      <c r="M17" s="78">
        <v>1832</v>
      </c>
      <c r="N17" s="78">
        <v>262</v>
      </c>
      <c r="P17" s="80"/>
      <c r="Q17" s="63">
        <v>4900</v>
      </c>
      <c r="R17" s="80">
        <f t="shared" si="7"/>
        <v>0</v>
      </c>
    </row>
    <row r="18" spans="1:18" ht="12.75" x14ac:dyDescent="0.2">
      <c r="A18" s="75">
        <v>8</v>
      </c>
      <c r="B18" s="83" t="s">
        <v>29</v>
      </c>
      <c r="C18" s="98" t="s">
        <v>30</v>
      </c>
      <c r="D18" s="78">
        <f t="shared" si="3"/>
        <v>1778</v>
      </c>
      <c r="E18" s="78">
        <f t="shared" si="8"/>
        <v>0</v>
      </c>
      <c r="F18" s="78">
        <v>0</v>
      </c>
      <c r="G18" s="78">
        <v>0</v>
      </c>
      <c r="H18" s="78">
        <f t="shared" si="6"/>
        <v>1778</v>
      </c>
      <c r="I18" s="78">
        <v>360</v>
      </c>
      <c r="J18" s="78">
        <v>0</v>
      </c>
      <c r="K18" s="78">
        <v>0</v>
      </c>
      <c r="L18" s="78">
        <v>0</v>
      </c>
      <c r="M18" s="78">
        <v>1418</v>
      </c>
      <c r="N18" s="78">
        <v>0</v>
      </c>
      <c r="P18" s="80"/>
      <c r="Q18" s="63">
        <v>1778</v>
      </c>
      <c r="R18" s="80">
        <f t="shared" si="7"/>
        <v>0</v>
      </c>
    </row>
    <row r="19" spans="1:18" ht="12.75" x14ac:dyDescent="0.2">
      <c r="A19" s="75">
        <v>9</v>
      </c>
      <c r="B19" s="83" t="s">
        <v>31</v>
      </c>
      <c r="C19" s="98" t="s">
        <v>32</v>
      </c>
      <c r="D19" s="78">
        <f t="shared" si="3"/>
        <v>215</v>
      </c>
      <c r="E19" s="78">
        <f t="shared" si="8"/>
        <v>0</v>
      </c>
      <c r="F19" s="78">
        <v>0</v>
      </c>
      <c r="G19" s="78">
        <v>0</v>
      </c>
      <c r="H19" s="78">
        <f t="shared" si="6"/>
        <v>215</v>
      </c>
      <c r="I19" s="78">
        <v>0</v>
      </c>
      <c r="J19" s="78">
        <v>0</v>
      </c>
      <c r="K19" s="78">
        <v>172</v>
      </c>
      <c r="L19" s="78">
        <v>43</v>
      </c>
      <c r="M19" s="78">
        <v>0</v>
      </c>
      <c r="N19" s="78">
        <v>0</v>
      </c>
      <c r="P19" s="80"/>
      <c r="Q19" s="63">
        <v>215</v>
      </c>
      <c r="R19" s="80">
        <f t="shared" si="7"/>
        <v>0</v>
      </c>
    </row>
    <row r="20" spans="1:18" ht="12.75" x14ac:dyDescent="0.2">
      <c r="A20" s="75">
        <v>10</v>
      </c>
      <c r="B20" s="83" t="s">
        <v>33</v>
      </c>
      <c r="C20" s="98" t="s">
        <v>34</v>
      </c>
      <c r="D20" s="78">
        <f t="shared" si="3"/>
        <v>5528</v>
      </c>
      <c r="E20" s="78">
        <f t="shared" si="8"/>
        <v>0</v>
      </c>
      <c r="F20" s="78">
        <v>0</v>
      </c>
      <c r="G20" s="78">
        <v>0</v>
      </c>
      <c r="H20" s="78">
        <f t="shared" si="6"/>
        <v>5528</v>
      </c>
      <c r="I20" s="78">
        <v>1000</v>
      </c>
      <c r="J20" s="78">
        <v>0</v>
      </c>
      <c r="K20" s="78">
        <v>97</v>
      </c>
      <c r="L20" s="78">
        <v>45</v>
      </c>
      <c r="M20" s="78">
        <v>4386</v>
      </c>
      <c r="N20" s="78">
        <v>0</v>
      </c>
      <c r="P20" s="80"/>
      <c r="Q20" s="63">
        <v>5528</v>
      </c>
      <c r="R20" s="80">
        <f t="shared" si="7"/>
        <v>0</v>
      </c>
    </row>
    <row r="21" spans="1:18" ht="12.75" x14ac:dyDescent="0.2">
      <c r="A21" s="75">
        <v>11</v>
      </c>
      <c r="B21" s="83" t="s">
        <v>35</v>
      </c>
      <c r="C21" s="98" t="s">
        <v>36</v>
      </c>
      <c r="D21" s="78">
        <f t="shared" si="3"/>
        <v>5232</v>
      </c>
      <c r="E21" s="78">
        <f t="shared" si="8"/>
        <v>0</v>
      </c>
      <c r="F21" s="78">
        <v>0</v>
      </c>
      <c r="G21" s="78">
        <v>0</v>
      </c>
      <c r="H21" s="78">
        <f t="shared" si="6"/>
        <v>5232</v>
      </c>
      <c r="I21" s="78">
        <v>0</v>
      </c>
      <c r="J21" s="78">
        <v>0</v>
      </c>
      <c r="K21" s="78">
        <v>188</v>
      </c>
      <c r="L21" s="78">
        <v>4</v>
      </c>
      <c r="M21" s="78">
        <v>5040</v>
      </c>
      <c r="N21" s="78">
        <v>0</v>
      </c>
      <c r="P21" s="80"/>
      <c r="Q21" s="63">
        <v>5232</v>
      </c>
      <c r="R21" s="80">
        <f t="shared" si="7"/>
        <v>0</v>
      </c>
    </row>
    <row r="22" spans="1:18" ht="12.75" x14ac:dyDescent="0.2">
      <c r="A22" s="75">
        <v>12</v>
      </c>
      <c r="B22" s="83" t="s">
        <v>37</v>
      </c>
      <c r="C22" s="98" t="s">
        <v>38</v>
      </c>
      <c r="D22" s="78">
        <f t="shared" si="3"/>
        <v>3572</v>
      </c>
      <c r="E22" s="78">
        <f t="shared" si="8"/>
        <v>0</v>
      </c>
      <c r="F22" s="78">
        <v>0</v>
      </c>
      <c r="G22" s="78">
        <v>0</v>
      </c>
      <c r="H22" s="78">
        <f t="shared" si="6"/>
        <v>3572</v>
      </c>
      <c r="I22" s="78">
        <v>0</v>
      </c>
      <c r="J22" s="78">
        <v>0</v>
      </c>
      <c r="K22" s="78">
        <v>225</v>
      </c>
      <c r="L22" s="78">
        <v>100</v>
      </c>
      <c r="M22" s="78">
        <v>2247</v>
      </c>
      <c r="N22" s="78">
        <v>1000</v>
      </c>
      <c r="P22" s="80"/>
      <c r="Q22" s="63">
        <v>3572</v>
      </c>
      <c r="R22" s="80">
        <f t="shared" si="7"/>
        <v>0</v>
      </c>
    </row>
    <row r="23" spans="1:18" x14ac:dyDescent="0.2">
      <c r="A23" s="75">
        <v>13</v>
      </c>
      <c r="B23" s="85" t="s">
        <v>166</v>
      </c>
      <c r="C23" s="86" t="s">
        <v>370</v>
      </c>
      <c r="D23" s="78">
        <f t="shared" si="3"/>
        <v>0</v>
      </c>
      <c r="E23" s="78">
        <f t="shared" si="8"/>
        <v>0</v>
      </c>
      <c r="F23" s="78">
        <v>0</v>
      </c>
      <c r="G23" s="78">
        <v>0</v>
      </c>
      <c r="H23" s="78">
        <f t="shared" si="6"/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P23" s="80"/>
      <c r="R23" s="80">
        <f t="shared" si="7"/>
        <v>0</v>
      </c>
    </row>
    <row r="24" spans="1:18" x14ac:dyDescent="0.2">
      <c r="A24" s="75">
        <v>14</v>
      </c>
      <c r="B24" s="85" t="s">
        <v>167</v>
      </c>
      <c r="C24" s="82" t="s">
        <v>371</v>
      </c>
      <c r="D24" s="78">
        <f t="shared" si="3"/>
        <v>0</v>
      </c>
      <c r="E24" s="78">
        <f t="shared" si="8"/>
        <v>0</v>
      </c>
      <c r="F24" s="78">
        <v>0</v>
      </c>
      <c r="G24" s="78">
        <v>0</v>
      </c>
      <c r="H24" s="78">
        <f t="shared" si="6"/>
        <v>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P24" s="80"/>
      <c r="R24" s="80">
        <f t="shared" si="7"/>
        <v>0</v>
      </c>
    </row>
    <row r="25" spans="1:18" ht="12.75" x14ac:dyDescent="0.2">
      <c r="A25" s="75">
        <v>15</v>
      </c>
      <c r="B25" s="83" t="s">
        <v>39</v>
      </c>
      <c r="C25" s="98" t="s">
        <v>40</v>
      </c>
      <c r="D25" s="78">
        <f t="shared" si="3"/>
        <v>9287</v>
      </c>
      <c r="E25" s="78">
        <f t="shared" si="8"/>
        <v>0</v>
      </c>
      <c r="F25" s="78">
        <v>0</v>
      </c>
      <c r="G25" s="78">
        <v>0</v>
      </c>
      <c r="H25" s="78">
        <f t="shared" si="6"/>
        <v>9287</v>
      </c>
      <c r="I25" s="78">
        <v>462</v>
      </c>
      <c r="J25" s="78">
        <v>10</v>
      </c>
      <c r="K25" s="78">
        <v>0</v>
      </c>
      <c r="L25" s="78">
        <v>0</v>
      </c>
      <c r="M25" s="78">
        <v>8574</v>
      </c>
      <c r="N25" s="78">
        <v>241</v>
      </c>
      <c r="P25" s="80"/>
      <c r="Q25" s="63">
        <v>9287</v>
      </c>
      <c r="R25" s="80">
        <f t="shared" si="7"/>
        <v>0</v>
      </c>
    </row>
    <row r="26" spans="1:18" ht="12.75" x14ac:dyDescent="0.2">
      <c r="A26" s="75">
        <v>16</v>
      </c>
      <c r="B26" s="83" t="s">
        <v>41</v>
      </c>
      <c r="C26" s="98" t="s">
        <v>42</v>
      </c>
      <c r="D26" s="78">
        <f t="shared" si="3"/>
        <v>3555</v>
      </c>
      <c r="E26" s="78">
        <f t="shared" si="8"/>
        <v>0</v>
      </c>
      <c r="F26" s="78">
        <v>0</v>
      </c>
      <c r="G26" s="78">
        <v>0</v>
      </c>
      <c r="H26" s="78">
        <f t="shared" si="6"/>
        <v>3555</v>
      </c>
      <c r="I26" s="78">
        <v>0</v>
      </c>
      <c r="J26" s="78">
        <v>0</v>
      </c>
      <c r="K26" s="78">
        <v>186</v>
      </c>
      <c r="L26" s="78">
        <v>14</v>
      </c>
      <c r="M26" s="78">
        <v>3355</v>
      </c>
      <c r="N26" s="78">
        <v>0</v>
      </c>
      <c r="P26" s="80"/>
      <c r="Q26" s="63">
        <v>3555</v>
      </c>
      <c r="R26" s="80">
        <f t="shared" si="7"/>
        <v>0</v>
      </c>
    </row>
    <row r="27" spans="1:18" ht="12.75" x14ac:dyDescent="0.2">
      <c r="A27" s="75">
        <v>17</v>
      </c>
      <c r="B27" s="83" t="s">
        <v>43</v>
      </c>
      <c r="C27" s="98" t="s">
        <v>372</v>
      </c>
      <c r="D27" s="78">
        <f t="shared" si="3"/>
        <v>15561</v>
      </c>
      <c r="E27" s="78">
        <f t="shared" si="8"/>
        <v>0</v>
      </c>
      <c r="F27" s="78">
        <v>0</v>
      </c>
      <c r="G27" s="78">
        <v>0</v>
      </c>
      <c r="H27" s="78">
        <f t="shared" si="6"/>
        <v>15561</v>
      </c>
      <c r="I27" s="78">
        <v>700</v>
      </c>
      <c r="J27" s="78">
        <v>0</v>
      </c>
      <c r="K27" s="78">
        <v>2507</v>
      </c>
      <c r="L27" s="78">
        <v>37</v>
      </c>
      <c r="M27" s="78">
        <v>12317</v>
      </c>
      <c r="N27" s="78">
        <v>0</v>
      </c>
      <c r="P27" s="80"/>
      <c r="Q27" s="63">
        <v>15561</v>
      </c>
      <c r="R27" s="80">
        <f t="shared" si="7"/>
        <v>0</v>
      </c>
    </row>
    <row r="28" spans="1:18" ht="12.75" x14ac:dyDescent="0.2">
      <c r="A28" s="75">
        <v>18</v>
      </c>
      <c r="B28" s="83" t="s">
        <v>44</v>
      </c>
      <c r="C28" s="98" t="s">
        <v>45</v>
      </c>
      <c r="D28" s="78">
        <f t="shared" si="3"/>
        <v>48636</v>
      </c>
      <c r="E28" s="78">
        <f t="shared" si="8"/>
        <v>0</v>
      </c>
      <c r="F28" s="78">
        <v>0</v>
      </c>
      <c r="G28" s="78">
        <v>0</v>
      </c>
      <c r="H28" s="78">
        <f t="shared" si="6"/>
        <v>48636</v>
      </c>
      <c r="I28" s="78">
        <v>0</v>
      </c>
      <c r="J28" s="78">
        <v>0</v>
      </c>
      <c r="K28" s="78">
        <v>1933</v>
      </c>
      <c r="L28" s="78">
        <v>491</v>
      </c>
      <c r="M28" s="78">
        <v>20000</v>
      </c>
      <c r="N28" s="78">
        <v>26212</v>
      </c>
      <c r="P28" s="80"/>
      <c r="Q28" s="63">
        <v>48636</v>
      </c>
      <c r="R28" s="80">
        <f t="shared" si="7"/>
        <v>0</v>
      </c>
    </row>
    <row r="29" spans="1:18" ht="12.75" x14ac:dyDescent="0.2">
      <c r="A29" s="75">
        <v>19</v>
      </c>
      <c r="B29" s="76" t="s">
        <v>46</v>
      </c>
      <c r="C29" s="105" t="s">
        <v>47</v>
      </c>
      <c r="D29" s="78">
        <f t="shared" si="3"/>
        <v>2151</v>
      </c>
      <c r="E29" s="78">
        <f t="shared" si="8"/>
        <v>0</v>
      </c>
      <c r="F29" s="78">
        <v>0</v>
      </c>
      <c r="G29" s="78">
        <v>0</v>
      </c>
      <c r="H29" s="78">
        <f t="shared" si="6"/>
        <v>2151</v>
      </c>
      <c r="I29" s="78">
        <v>0</v>
      </c>
      <c r="J29" s="78">
        <v>0</v>
      </c>
      <c r="K29" s="78">
        <v>37</v>
      </c>
      <c r="L29" s="78">
        <v>5</v>
      </c>
      <c r="M29" s="78">
        <v>1909</v>
      </c>
      <c r="N29" s="78">
        <v>200</v>
      </c>
      <c r="P29" s="80"/>
      <c r="Q29" s="63">
        <v>2151</v>
      </c>
      <c r="R29" s="80">
        <f t="shared" si="7"/>
        <v>0</v>
      </c>
    </row>
    <row r="30" spans="1:18" ht="12.75" x14ac:dyDescent="0.2">
      <c r="A30" s="75">
        <v>20</v>
      </c>
      <c r="B30" s="76" t="s">
        <v>48</v>
      </c>
      <c r="C30" s="105" t="s">
        <v>373</v>
      </c>
      <c r="D30" s="78">
        <f t="shared" si="3"/>
        <v>3270</v>
      </c>
      <c r="E30" s="78">
        <f t="shared" si="8"/>
        <v>0</v>
      </c>
      <c r="F30" s="78">
        <v>0</v>
      </c>
      <c r="G30" s="78">
        <v>0</v>
      </c>
      <c r="H30" s="78">
        <f t="shared" si="6"/>
        <v>3270</v>
      </c>
      <c r="I30" s="78">
        <v>0</v>
      </c>
      <c r="J30" s="78">
        <v>0</v>
      </c>
      <c r="K30" s="78">
        <v>0</v>
      </c>
      <c r="L30" s="78">
        <v>0</v>
      </c>
      <c r="M30" s="78">
        <v>2720</v>
      </c>
      <c r="N30" s="78">
        <v>550</v>
      </c>
      <c r="P30" s="80"/>
      <c r="Q30" s="63">
        <v>3270</v>
      </c>
      <c r="R30" s="80">
        <f t="shared" si="7"/>
        <v>0</v>
      </c>
    </row>
    <row r="31" spans="1:18" ht="12.75" x14ac:dyDescent="0.2">
      <c r="A31" s="75">
        <v>21</v>
      </c>
      <c r="B31" s="76" t="s">
        <v>49</v>
      </c>
      <c r="C31" s="105" t="s">
        <v>50</v>
      </c>
      <c r="D31" s="78">
        <f t="shared" si="3"/>
        <v>13716</v>
      </c>
      <c r="E31" s="78">
        <f t="shared" si="8"/>
        <v>0</v>
      </c>
      <c r="F31" s="78">
        <v>0</v>
      </c>
      <c r="G31" s="78">
        <v>0</v>
      </c>
      <c r="H31" s="78">
        <f t="shared" si="6"/>
        <v>13716</v>
      </c>
      <c r="I31" s="78">
        <v>0</v>
      </c>
      <c r="J31" s="78">
        <v>0</v>
      </c>
      <c r="K31" s="78">
        <v>2681</v>
      </c>
      <c r="L31" s="78">
        <v>1262</v>
      </c>
      <c r="M31" s="78">
        <v>7656</v>
      </c>
      <c r="N31" s="78">
        <v>2117</v>
      </c>
      <c r="P31" s="80"/>
      <c r="Q31" s="63">
        <v>13716</v>
      </c>
      <c r="R31" s="80">
        <f t="shared" si="7"/>
        <v>0</v>
      </c>
    </row>
    <row r="32" spans="1:18" ht="12.75" x14ac:dyDescent="0.2">
      <c r="A32" s="75">
        <v>22</v>
      </c>
      <c r="B32" s="76" t="s">
        <v>51</v>
      </c>
      <c r="C32" s="105" t="s">
        <v>52</v>
      </c>
      <c r="D32" s="78">
        <f t="shared" si="3"/>
        <v>7438</v>
      </c>
      <c r="E32" s="78">
        <f t="shared" si="8"/>
        <v>0</v>
      </c>
      <c r="F32" s="78">
        <v>0</v>
      </c>
      <c r="G32" s="78">
        <v>0</v>
      </c>
      <c r="H32" s="78">
        <f t="shared" si="6"/>
        <v>7438</v>
      </c>
      <c r="I32" s="78">
        <v>1000</v>
      </c>
      <c r="J32" s="78">
        <v>0</v>
      </c>
      <c r="K32" s="78">
        <v>260</v>
      </c>
      <c r="L32" s="78">
        <v>3081</v>
      </c>
      <c r="M32" s="78">
        <v>1897</v>
      </c>
      <c r="N32" s="78">
        <v>1200</v>
      </c>
      <c r="P32" s="80"/>
      <c r="Q32" s="63">
        <v>7438</v>
      </c>
      <c r="R32" s="80">
        <f t="shared" si="7"/>
        <v>0</v>
      </c>
    </row>
    <row r="33" spans="1:18" ht="12.75" x14ac:dyDescent="0.2">
      <c r="A33" s="75">
        <v>23</v>
      </c>
      <c r="B33" s="83" t="s">
        <v>53</v>
      </c>
      <c r="C33" s="98" t="s">
        <v>374</v>
      </c>
      <c r="D33" s="78">
        <f t="shared" si="3"/>
        <v>3695</v>
      </c>
      <c r="E33" s="78">
        <f t="shared" si="8"/>
        <v>0</v>
      </c>
      <c r="F33" s="78">
        <v>0</v>
      </c>
      <c r="G33" s="78">
        <v>0</v>
      </c>
      <c r="H33" s="78">
        <f t="shared" si="6"/>
        <v>3695</v>
      </c>
      <c r="I33" s="78">
        <v>0</v>
      </c>
      <c r="J33" s="78">
        <v>0</v>
      </c>
      <c r="K33" s="78">
        <v>730</v>
      </c>
      <c r="L33" s="78">
        <v>754</v>
      </c>
      <c r="M33" s="78">
        <v>1768</v>
      </c>
      <c r="N33" s="78">
        <v>443</v>
      </c>
      <c r="P33" s="80"/>
      <c r="Q33" s="63">
        <v>3695</v>
      </c>
      <c r="R33" s="80">
        <f t="shared" si="7"/>
        <v>0</v>
      </c>
    </row>
    <row r="34" spans="1:18" x14ac:dyDescent="0.2">
      <c r="A34" s="75">
        <v>24</v>
      </c>
      <c r="B34" s="97" t="s">
        <v>316</v>
      </c>
      <c r="C34" s="86" t="s">
        <v>375</v>
      </c>
      <c r="D34" s="78">
        <f t="shared" si="3"/>
        <v>0</v>
      </c>
      <c r="E34" s="78">
        <f t="shared" si="8"/>
        <v>0</v>
      </c>
      <c r="F34" s="78">
        <v>0</v>
      </c>
      <c r="G34" s="78">
        <v>0</v>
      </c>
      <c r="H34" s="78">
        <f t="shared" si="6"/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P34" s="80"/>
      <c r="R34" s="80">
        <f t="shared" si="7"/>
        <v>0</v>
      </c>
    </row>
    <row r="35" spans="1:18" ht="24" x14ac:dyDescent="0.2">
      <c r="A35" s="75">
        <v>25</v>
      </c>
      <c r="B35" s="97" t="s">
        <v>318</v>
      </c>
      <c r="C35" s="86" t="s">
        <v>376</v>
      </c>
      <c r="D35" s="78">
        <f t="shared" si="3"/>
        <v>0</v>
      </c>
      <c r="E35" s="78">
        <f t="shared" si="8"/>
        <v>0</v>
      </c>
      <c r="F35" s="78">
        <v>0</v>
      </c>
      <c r="G35" s="78">
        <v>0</v>
      </c>
      <c r="H35" s="78">
        <f t="shared" si="6"/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P35" s="80"/>
      <c r="R35" s="80">
        <f t="shared" si="7"/>
        <v>0</v>
      </c>
    </row>
    <row r="36" spans="1:18" ht="12.75" x14ac:dyDescent="0.2">
      <c r="A36" s="75">
        <v>26</v>
      </c>
      <c r="B36" s="76" t="s">
        <v>6</v>
      </c>
      <c r="C36" s="106" t="s">
        <v>377</v>
      </c>
      <c r="D36" s="78">
        <f t="shared" si="3"/>
        <v>8093</v>
      </c>
      <c r="E36" s="78">
        <f t="shared" si="8"/>
        <v>0</v>
      </c>
      <c r="F36" s="78">
        <v>0</v>
      </c>
      <c r="G36" s="78">
        <v>0</v>
      </c>
      <c r="H36" s="78">
        <f t="shared" si="6"/>
        <v>8093</v>
      </c>
      <c r="I36" s="78">
        <v>0</v>
      </c>
      <c r="J36" s="78">
        <v>0</v>
      </c>
      <c r="K36" s="78">
        <v>0</v>
      </c>
      <c r="L36" s="78">
        <v>0</v>
      </c>
      <c r="M36" s="78">
        <v>8093</v>
      </c>
      <c r="N36" s="78">
        <v>0</v>
      </c>
      <c r="P36" s="80"/>
      <c r="Q36" s="63">
        <v>8093</v>
      </c>
      <c r="R36" s="80">
        <f t="shared" si="7"/>
        <v>0</v>
      </c>
    </row>
    <row r="37" spans="1:18" ht="12.75" x14ac:dyDescent="0.2">
      <c r="A37" s="75">
        <v>27</v>
      </c>
      <c r="B37" s="83" t="s">
        <v>5</v>
      </c>
      <c r="C37" s="98" t="s">
        <v>378</v>
      </c>
      <c r="D37" s="78">
        <f t="shared" si="3"/>
        <v>56198</v>
      </c>
      <c r="E37" s="78">
        <f t="shared" si="8"/>
        <v>0</v>
      </c>
      <c r="F37" s="78">
        <v>0</v>
      </c>
      <c r="G37" s="78">
        <v>0</v>
      </c>
      <c r="H37" s="78">
        <f t="shared" si="6"/>
        <v>56198</v>
      </c>
      <c r="I37" s="78">
        <v>0</v>
      </c>
      <c r="J37" s="78">
        <v>0</v>
      </c>
      <c r="K37" s="78">
        <v>4383</v>
      </c>
      <c r="L37" s="78">
        <v>0</v>
      </c>
      <c r="M37" s="78">
        <v>36670</v>
      </c>
      <c r="N37" s="78">
        <v>15145</v>
      </c>
      <c r="P37" s="80"/>
      <c r="Q37" s="63">
        <v>56198</v>
      </c>
      <c r="R37" s="80">
        <f t="shared" si="7"/>
        <v>0</v>
      </c>
    </row>
    <row r="38" spans="1:18" ht="12.75" x14ac:dyDescent="0.2">
      <c r="A38" s="75">
        <v>28</v>
      </c>
      <c r="B38" s="83" t="s">
        <v>54</v>
      </c>
      <c r="C38" s="98" t="s">
        <v>379</v>
      </c>
      <c r="D38" s="78">
        <f t="shared" si="3"/>
        <v>10410</v>
      </c>
      <c r="E38" s="78">
        <f t="shared" si="8"/>
        <v>0</v>
      </c>
      <c r="F38" s="78">
        <v>0</v>
      </c>
      <c r="G38" s="78">
        <v>0</v>
      </c>
      <c r="H38" s="78">
        <f t="shared" si="6"/>
        <v>10410</v>
      </c>
      <c r="I38" s="78">
        <v>0</v>
      </c>
      <c r="J38" s="78">
        <v>0</v>
      </c>
      <c r="K38" s="78">
        <v>0</v>
      </c>
      <c r="L38" s="78">
        <v>0</v>
      </c>
      <c r="M38" s="78">
        <v>0</v>
      </c>
      <c r="N38" s="78">
        <v>10410</v>
      </c>
      <c r="P38" s="80"/>
      <c r="Q38" s="63">
        <v>10410</v>
      </c>
      <c r="R38" s="80">
        <f t="shared" si="7"/>
        <v>0</v>
      </c>
    </row>
    <row r="39" spans="1:18" ht="12.75" x14ac:dyDescent="0.2">
      <c r="A39" s="75">
        <v>29</v>
      </c>
      <c r="B39" s="76" t="s">
        <v>168</v>
      </c>
      <c r="C39" s="105" t="s">
        <v>169</v>
      </c>
      <c r="D39" s="78">
        <f t="shared" si="3"/>
        <v>0</v>
      </c>
      <c r="E39" s="78">
        <f t="shared" si="8"/>
        <v>0</v>
      </c>
      <c r="F39" s="78">
        <v>0</v>
      </c>
      <c r="G39" s="78">
        <v>0</v>
      </c>
      <c r="H39" s="78">
        <f t="shared" si="6"/>
        <v>0</v>
      </c>
      <c r="I39" s="78">
        <v>0</v>
      </c>
      <c r="J39" s="78">
        <v>0</v>
      </c>
      <c r="K39" s="78">
        <v>0</v>
      </c>
      <c r="L39" s="78">
        <v>0</v>
      </c>
      <c r="M39" s="78">
        <v>0</v>
      </c>
      <c r="N39" s="78">
        <v>0</v>
      </c>
      <c r="P39" s="80"/>
      <c r="Q39" s="63">
        <v>0</v>
      </c>
      <c r="R39" s="80">
        <f t="shared" si="7"/>
        <v>0</v>
      </c>
    </row>
    <row r="40" spans="1:18" ht="12.75" x14ac:dyDescent="0.2">
      <c r="A40" s="75">
        <v>30</v>
      </c>
      <c r="B40" s="76" t="s">
        <v>170</v>
      </c>
      <c r="C40" s="106" t="s">
        <v>171</v>
      </c>
      <c r="D40" s="78">
        <f t="shared" si="3"/>
        <v>3603</v>
      </c>
      <c r="E40" s="78">
        <f t="shared" si="8"/>
        <v>3603</v>
      </c>
      <c r="F40" s="78">
        <v>2019</v>
      </c>
      <c r="G40" s="78">
        <v>1584</v>
      </c>
      <c r="H40" s="78">
        <f t="shared" si="6"/>
        <v>0</v>
      </c>
      <c r="I40" s="78">
        <v>0</v>
      </c>
      <c r="J40" s="78">
        <v>0</v>
      </c>
      <c r="K40" s="78">
        <v>0</v>
      </c>
      <c r="L40" s="78">
        <v>0</v>
      </c>
      <c r="M40" s="78">
        <v>0</v>
      </c>
      <c r="N40" s="78">
        <v>0</v>
      </c>
      <c r="P40" s="80"/>
      <c r="Q40" s="63">
        <v>3603</v>
      </c>
      <c r="R40" s="80">
        <f t="shared" si="7"/>
        <v>0</v>
      </c>
    </row>
    <row r="41" spans="1:18" ht="24" x14ac:dyDescent="0.2">
      <c r="A41" s="75">
        <v>31</v>
      </c>
      <c r="B41" s="85" t="s">
        <v>320</v>
      </c>
      <c r="C41" s="82" t="s">
        <v>380</v>
      </c>
      <c r="D41" s="78">
        <f t="shared" si="3"/>
        <v>0</v>
      </c>
      <c r="E41" s="78">
        <f t="shared" si="8"/>
        <v>0</v>
      </c>
      <c r="F41" s="78">
        <v>0</v>
      </c>
      <c r="G41" s="78">
        <v>0</v>
      </c>
      <c r="H41" s="78">
        <f t="shared" si="6"/>
        <v>0</v>
      </c>
      <c r="I41" s="78">
        <v>0</v>
      </c>
      <c r="J41" s="78">
        <v>0</v>
      </c>
      <c r="K41" s="78">
        <v>0</v>
      </c>
      <c r="L41" s="78">
        <v>0</v>
      </c>
      <c r="M41" s="78">
        <v>0</v>
      </c>
      <c r="N41" s="78">
        <v>0</v>
      </c>
      <c r="P41" s="80"/>
      <c r="R41" s="80">
        <f t="shared" si="7"/>
        <v>0</v>
      </c>
    </row>
    <row r="42" spans="1:18" ht="25.5" x14ac:dyDescent="0.2">
      <c r="A42" s="75">
        <v>32</v>
      </c>
      <c r="B42" s="83" t="s">
        <v>55</v>
      </c>
      <c r="C42" s="98" t="s">
        <v>381</v>
      </c>
      <c r="D42" s="78">
        <f t="shared" si="3"/>
        <v>727</v>
      </c>
      <c r="E42" s="78">
        <f t="shared" si="8"/>
        <v>0</v>
      </c>
      <c r="F42" s="78">
        <v>0</v>
      </c>
      <c r="G42" s="78">
        <v>0</v>
      </c>
      <c r="H42" s="78">
        <f t="shared" si="6"/>
        <v>727</v>
      </c>
      <c r="I42" s="78">
        <v>0</v>
      </c>
      <c r="J42" s="78">
        <v>0</v>
      </c>
      <c r="K42" s="78">
        <v>127</v>
      </c>
      <c r="L42" s="78">
        <v>0</v>
      </c>
      <c r="M42" s="78">
        <v>600</v>
      </c>
      <c r="N42" s="78">
        <v>0</v>
      </c>
      <c r="P42" s="80"/>
      <c r="Q42" s="63">
        <v>727</v>
      </c>
      <c r="R42" s="80">
        <f t="shared" si="7"/>
        <v>0</v>
      </c>
    </row>
    <row r="43" spans="1:18" ht="12.75" x14ac:dyDescent="0.2">
      <c r="A43" s="75">
        <v>33</v>
      </c>
      <c r="B43" s="76" t="s">
        <v>56</v>
      </c>
      <c r="C43" s="105" t="s">
        <v>57</v>
      </c>
      <c r="D43" s="78">
        <f t="shared" si="3"/>
        <v>4156</v>
      </c>
      <c r="E43" s="78">
        <f t="shared" si="8"/>
        <v>0</v>
      </c>
      <c r="F43" s="78">
        <v>0</v>
      </c>
      <c r="G43" s="78">
        <v>0</v>
      </c>
      <c r="H43" s="78">
        <f t="shared" si="6"/>
        <v>4156</v>
      </c>
      <c r="I43" s="78">
        <v>0</v>
      </c>
      <c r="J43" s="78">
        <v>0</v>
      </c>
      <c r="K43" s="78">
        <v>319</v>
      </c>
      <c r="L43" s="78">
        <v>70</v>
      </c>
      <c r="M43" s="78">
        <v>3417</v>
      </c>
      <c r="N43" s="78">
        <v>350</v>
      </c>
      <c r="P43" s="80"/>
      <c r="Q43" s="63">
        <v>4156</v>
      </c>
      <c r="R43" s="80">
        <f t="shared" ref="R43:R74" si="9">Q43-D43</f>
        <v>0</v>
      </c>
    </row>
    <row r="44" spans="1:18" ht="12.75" x14ac:dyDescent="0.2">
      <c r="A44" s="75">
        <v>34</v>
      </c>
      <c r="B44" s="84" t="s">
        <v>58</v>
      </c>
      <c r="C44" s="106" t="s">
        <v>59</v>
      </c>
      <c r="D44" s="78">
        <f t="shared" si="3"/>
        <v>32075</v>
      </c>
      <c r="E44" s="78">
        <f t="shared" si="8"/>
        <v>0</v>
      </c>
      <c r="F44" s="78">
        <v>0</v>
      </c>
      <c r="G44" s="78">
        <v>0</v>
      </c>
      <c r="H44" s="78">
        <f t="shared" si="6"/>
        <v>32075</v>
      </c>
      <c r="I44" s="78">
        <v>3392</v>
      </c>
      <c r="J44" s="78">
        <v>0</v>
      </c>
      <c r="K44" s="78">
        <v>2897</v>
      </c>
      <c r="L44" s="78">
        <v>5186</v>
      </c>
      <c r="M44" s="78">
        <v>9341</v>
      </c>
      <c r="N44" s="78">
        <v>11259</v>
      </c>
      <c r="P44" s="80"/>
      <c r="Q44" s="63">
        <v>32075</v>
      </c>
      <c r="R44" s="80">
        <f t="shared" si="9"/>
        <v>0</v>
      </c>
    </row>
    <row r="45" spans="1:18" ht="12.75" x14ac:dyDescent="0.2">
      <c r="A45" s="75">
        <v>35</v>
      </c>
      <c r="B45" s="76" t="s">
        <v>172</v>
      </c>
      <c r="C45" s="105" t="s">
        <v>173</v>
      </c>
      <c r="D45" s="78">
        <f t="shared" si="3"/>
        <v>0</v>
      </c>
      <c r="E45" s="78">
        <f t="shared" si="8"/>
        <v>0</v>
      </c>
      <c r="F45" s="78">
        <v>0</v>
      </c>
      <c r="G45" s="78">
        <v>0</v>
      </c>
      <c r="H45" s="78">
        <f t="shared" si="6"/>
        <v>0</v>
      </c>
      <c r="I45" s="78">
        <v>0</v>
      </c>
      <c r="J45" s="78">
        <v>0</v>
      </c>
      <c r="K45" s="78">
        <v>0</v>
      </c>
      <c r="L45" s="78">
        <v>0</v>
      </c>
      <c r="M45" s="78">
        <v>0</v>
      </c>
      <c r="N45" s="78">
        <v>0</v>
      </c>
      <c r="P45" s="80"/>
      <c r="Q45" s="63">
        <v>0</v>
      </c>
      <c r="R45" s="80">
        <f t="shared" si="9"/>
        <v>0</v>
      </c>
    </row>
    <row r="46" spans="1:18" ht="12.75" x14ac:dyDescent="0.2">
      <c r="A46" s="75">
        <v>36</v>
      </c>
      <c r="B46" s="76" t="s">
        <v>60</v>
      </c>
      <c r="C46" s="105" t="s">
        <v>61</v>
      </c>
      <c r="D46" s="78">
        <f t="shared" si="3"/>
        <v>8270</v>
      </c>
      <c r="E46" s="78">
        <f t="shared" si="8"/>
        <v>0</v>
      </c>
      <c r="F46" s="78">
        <v>0</v>
      </c>
      <c r="G46" s="78">
        <v>0</v>
      </c>
      <c r="H46" s="78">
        <f t="shared" si="6"/>
        <v>8270</v>
      </c>
      <c r="I46" s="78">
        <v>0</v>
      </c>
      <c r="J46" s="78">
        <v>0</v>
      </c>
      <c r="K46" s="78">
        <v>2905</v>
      </c>
      <c r="L46" s="78">
        <v>10</v>
      </c>
      <c r="M46" s="78">
        <v>4355</v>
      </c>
      <c r="N46" s="78">
        <v>1000</v>
      </c>
      <c r="P46" s="80"/>
      <c r="Q46" s="63">
        <v>8270</v>
      </c>
      <c r="R46" s="80">
        <f t="shared" si="9"/>
        <v>0</v>
      </c>
    </row>
    <row r="47" spans="1:18" ht="12.75" x14ac:dyDescent="0.2">
      <c r="A47" s="75">
        <v>37</v>
      </c>
      <c r="B47" s="83" t="s">
        <v>62</v>
      </c>
      <c r="C47" s="98" t="s">
        <v>63</v>
      </c>
      <c r="D47" s="78">
        <f t="shared" si="3"/>
        <v>33247</v>
      </c>
      <c r="E47" s="78">
        <f t="shared" si="8"/>
        <v>0</v>
      </c>
      <c r="F47" s="78">
        <v>0</v>
      </c>
      <c r="G47" s="78">
        <v>0</v>
      </c>
      <c r="H47" s="78">
        <f t="shared" si="6"/>
        <v>33247</v>
      </c>
      <c r="I47" s="78">
        <v>3450</v>
      </c>
      <c r="J47" s="78">
        <v>5</v>
      </c>
      <c r="K47" s="78">
        <v>1907</v>
      </c>
      <c r="L47" s="78">
        <v>627</v>
      </c>
      <c r="M47" s="78">
        <v>22742</v>
      </c>
      <c r="N47" s="78">
        <v>4516</v>
      </c>
      <c r="P47" s="80"/>
      <c r="Q47" s="63">
        <v>33247</v>
      </c>
      <c r="R47" s="80">
        <f t="shared" si="9"/>
        <v>0</v>
      </c>
    </row>
    <row r="48" spans="1:18" ht="12.75" x14ac:dyDescent="0.2">
      <c r="A48" s="75">
        <v>38</v>
      </c>
      <c r="B48" s="76" t="s">
        <v>64</v>
      </c>
      <c r="C48" s="105" t="s">
        <v>65</v>
      </c>
      <c r="D48" s="78">
        <f t="shared" si="3"/>
        <v>2044</v>
      </c>
      <c r="E48" s="78">
        <f t="shared" si="8"/>
        <v>0</v>
      </c>
      <c r="F48" s="78">
        <v>0</v>
      </c>
      <c r="G48" s="78">
        <v>0</v>
      </c>
      <c r="H48" s="78">
        <f t="shared" si="6"/>
        <v>2044</v>
      </c>
      <c r="I48" s="78">
        <v>0</v>
      </c>
      <c r="J48" s="78">
        <v>0</v>
      </c>
      <c r="K48" s="78">
        <v>942</v>
      </c>
      <c r="L48" s="78">
        <v>1102</v>
      </c>
      <c r="M48" s="78">
        <v>0</v>
      </c>
      <c r="N48" s="78">
        <v>0</v>
      </c>
      <c r="P48" s="80"/>
      <c r="Q48" s="63">
        <v>2044</v>
      </c>
      <c r="R48" s="80">
        <f t="shared" si="9"/>
        <v>0</v>
      </c>
    </row>
    <row r="49" spans="1:18" ht="12.75" x14ac:dyDescent="0.2">
      <c r="A49" s="75">
        <v>39</v>
      </c>
      <c r="B49" s="76" t="s">
        <v>66</v>
      </c>
      <c r="C49" s="105" t="s">
        <v>382</v>
      </c>
      <c r="D49" s="78">
        <f t="shared" si="3"/>
        <v>5933</v>
      </c>
      <c r="E49" s="78">
        <f t="shared" si="8"/>
        <v>0</v>
      </c>
      <c r="F49" s="78">
        <v>0</v>
      </c>
      <c r="G49" s="78">
        <v>0</v>
      </c>
      <c r="H49" s="78">
        <f t="shared" si="6"/>
        <v>5933</v>
      </c>
      <c r="I49" s="78">
        <v>0</v>
      </c>
      <c r="J49" s="78">
        <v>0</v>
      </c>
      <c r="K49" s="78">
        <v>5538</v>
      </c>
      <c r="L49" s="78">
        <v>95</v>
      </c>
      <c r="M49" s="78">
        <v>150</v>
      </c>
      <c r="N49" s="78">
        <v>150</v>
      </c>
      <c r="P49" s="80"/>
      <c r="Q49" s="63">
        <v>5933</v>
      </c>
      <c r="R49" s="80">
        <f t="shared" si="9"/>
        <v>0</v>
      </c>
    </row>
    <row r="50" spans="1:18" ht="12.75" x14ac:dyDescent="0.2">
      <c r="A50" s="75">
        <v>40</v>
      </c>
      <c r="B50" s="90" t="s">
        <v>67</v>
      </c>
      <c r="C50" s="138" t="s">
        <v>383</v>
      </c>
      <c r="D50" s="78">
        <f t="shared" si="3"/>
        <v>9401</v>
      </c>
      <c r="E50" s="78">
        <f t="shared" si="8"/>
        <v>0</v>
      </c>
      <c r="F50" s="78">
        <v>0</v>
      </c>
      <c r="G50" s="78">
        <v>0</v>
      </c>
      <c r="H50" s="78">
        <f t="shared" si="6"/>
        <v>9401</v>
      </c>
      <c r="I50" s="78">
        <v>0</v>
      </c>
      <c r="J50" s="78">
        <v>0</v>
      </c>
      <c r="K50" s="78">
        <v>368</v>
      </c>
      <c r="L50" s="78">
        <v>194</v>
      </c>
      <c r="M50" s="78">
        <v>7400</v>
      </c>
      <c r="N50" s="78">
        <v>1439</v>
      </c>
      <c r="P50" s="80"/>
      <c r="Q50" s="63">
        <v>9401</v>
      </c>
      <c r="R50" s="80">
        <f t="shared" si="9"/>
        <v>0</v>
      </c>
    </row>
    <row r="51" spans="1:18" ht="12.75" x14ac:dyDescent="0.2">
      <c r="A51" s="75">
        <v>41</v>
      </c>
      <c r="B51" s="76" t="s">
        <v>68</v>
      </c>
      <c r="C51" s="105" t="s">
        <v>384</v>
      </c>
      <c r="D51" s="78">
        <f t="shared" si="3"/>
        <v>4904</v>
      </c>
      <c r="E51" s="78">
        <f t="shared" si="8"/>
        <v>0</v>
      </c>
      <c r="F51" s="78">
        <v>0</v>
      </c>
      <c r="G51" s="78">
        <v>0</v>
      </c>
      <c r="H51" s="78">
        <f t="shared" si="6"/>
        <v>4904</v>
      </c>
      <c r="I51" s="78">
        <v>0</v>
      </c>
      <c r="J51" s="78">
        <v>0</v>
      </c>
      <c r="K51" s="78">
        <v>1478</v>
      </c>
      <c r="L51" s="78">
        <v>3426</v>
      </c>
      <c r="M51" s="78">
        <v>0</v>
      </c>
      <c r="N51" s="78">
        <v>0</v>
      </c>
      <c r="P51" s="80"/>
      <c r="Q51" s="63">
        <v>4904</v>
      </c>
      <c r="R51" s="80">
        <f t="shared" si="9"/>
        <v>0</v>
      </c>
    </row>
    <row r="52" spans="1:18" ht="12.75" x14ac:dyDescent="0.2">
      <c r="A52" s="75">
        <v>42</v>
      </c>
      <c r="B52" s="84" t="s">
        <v>69</v>
      </c>
      <c r="C52" s="106" t="s">
        <v>70</v>
      </c>
      <c r="D52" s="78">
        <f t="shared" si="3"/>
        <v>1703</v>
      </c>
      <c r="E52" s="78">
        <f t="shared" si="8"/>
        <v>0</v>
      </c>
      <c r="F52" s="78">
        <v>0</v>
      </c>
      <c r="G52" s="78">
        <v>0</v>
      </c>
      <c r="H52" s="78">
        <f t="shared" si="6"/>
        <v>1703</v>
      </c>
      <c r="I52" s="78">
        <v>0</v>
      </c>
      <c r="J52" s="78">
        <v>0</v>
      </c>
      <c r="K52" s="78">
        <v>170</v>
      </c>
      <c r="L52" s="78">
        <v>26</v>
      </c>
      <c r="M52" s="78">
        <v>1507</v>
      </c>
      <c r="N52" s="78">
        <v>0</v>
      </c>
      <c r="P52" s="80"/>
      <c r="Q52" s="63">
        <v>1703</v>
      </c>
      <c r="R52" s="80">
        <f t="shared" si="9"/>
        <v>0</v>
      </c>
    </row>
    <row r="53" spans="1:18" ht="12.75" x14ac:dyDescent="0.2">
      <c r="A53" s="75">
        <v>43</v>
      </c>
      <c r="B53" s="83" t="s">
        <v>174</v>
      </c>
      <c r="C53" s="98" t="s">
        <v>175</v>
      </c>
      <c r="D53" s="78">
        <f t="shared" si="3"/>
        <v>3858</v>
      </c>
      <c r="E53" s="78">
        <f t="shared" si="8"/>
        <v>0</v>
      </c>
      <c r="F53" s="78">
        <v>0</v>
      </c>
      <c r="G53" s="78">
        <v>0</v>
      </c>
      <c r="H53" s="78">
        <f t="shared" si="6"/>
        <v>3858</v>
      </c>
      <c r="I53" s="78">
        <v>0</v>
      </c>
      <c r="J53" s="78">
        <v>0</v>
      </c>
      <c r="K53" s="78">
        <v>649</v>
      </c>
      <c r="L53" s="78">
        <v>133</v>
      </c>
      <c r="M53" s="78">
        <v>2298</v>
      </c>
      <c r="N53" s="78">
        <v>778</v>
      </c>
      <c r="P53" s="80"/>
      <c r="Q53" s="63">
        <v>3858</v>
      </c>
      <c r="R53" s="80">
        <f t="shared" si="9"/>
        <v>0</v>
      </c>
    </row>
    <row r="54" spans="1:18" ht="12.75" x14ac:dyDescent="0.2">
      <c r="A54" s="75">
        <v>44</v>
      </c>
      <c r="B54" s="76" t="s">
        <v>71</v>
      </c>
      <c r="C54" s="105" t="s">
        <v>385</v>
      </c>
      <c r="D54" s="78">
        <f t="shared" si="3"/>
        <v>0</v>
      </c>
      <c r="E54" s="78">
        <f t="shared" si="8"/>
        <v>0</v>
      </c>
      <c r="F54" s="78">
        <v>0</v>
      </c>
      <c r="G54" s="78">
        <v>0</v>
      </c>
      <c r="H54" s="78">
        <f t="shared" si="6"/>
        <v>0</v>
      </c>
      <c r="I54" s="78">
        <v>0</v>
      </c>
      <c r="J54" s="78">
        <v>0</v>
      </c>
      <c r="K54" s="78">
        <v>0</v>
      </c>
      <c r="L54" s="78">
        <v>0</v>
      </c>
      <c r="M54" s="78">
        <v>0</v>
      </c>
      <c r="N54" s="78">
        <v>0</v>
      </c>
      <c r="P54" s="80"/>
      <c r="Q54" s="63">
        <v>0</v>
      </c>
      <c r="R54" s="80">
        <f t="shared" si="9"/>
        <v>0</v>
      </c>
    </row>
    <row r="55" spans="1:18" ht="12.75" x14ac:dyDescent="0.2">
      <c r="A55" s="75">
        <v>45</v>
      </c>
      <c r="B55" s="83" t="s">
        <v>72</v>
      </c>
      <c r="C55" s="98" t="s">
        <v>73</v>
      </c>
      <c r="D55" s="78">
        <f t="shared" si="3"/>
        <v>7157</v>
      </c>
      <c r="E55" s="78">
        <f t="shared" si="8"/>
        <v>0</v>
      </c>
      <c r="F55" s="78">
        <v>0</v>
      </c>
      <c r="G55" s="78">
        <v>0</v>
      </c>
      <c r="H55" s="78">
        <f t="shared" si="6"/>
        <v>7157</v>
      </c>
      <c r="I55" s="78">
        <v>1287</v>
      </c>
      <c r="J55" s="78">
        <v>0</v>
      </c>
      <c r="K55" s="78">
        <v>1</v>
      </c>
      <c r="L55" s="78">
        <v>3186</v>
      </c>
      <c r="M55" s="78">
        <v>2183</v>
      </c>
      <c r="N55" s="78">
        <v>500</v>
      </c>
      <c r="P55" s="80"/>
      <c r="Q55" s="63">
        <v>7157</v>
      </c>
      <c r="R55" s="80">
        <f t="shared" si="9"/>
        <v>0</v>
      </c>
    </row>
    <row r="56" spans="1:18" ht="12.75" x14ac:dyDescent="0.2">
      <c r="A56" s="75">
        <v>46</v>
      </c>
      <c r="B56" s="76" t="s">
        <v>74</v>
      </c>
      <c r="C56" s="105" t="s">
        <v>386</v>
      </c>
      <c r="D56" s="78">
        <f t="shared" si="3"/>
        <v>3959</v>
      </c>
      <c r="E56" s="78">
        <f t="shared" si="8"/>
        <v>0</v>
      </c>
      <c r="F56" s="78">
        <v>0</v>
      </c>
      <c r="G56" s="78">
        <v>0</v>
      </c>
      <c r="H56" s="78">
        <f t="shared" si="6"/>
        <v>3959</v>
      </c>
      <c r="I56" s="78">
        <v>0</v>
      </c>
      <c r="J56" s="78">
        <v>0</v>
      </c>
      <c r="K56" s="78">
        <v>96</v>
      </c>
      <c r="L56" s="78">
        <v>15</v>
      </c>
      <c r="M56" s="78">
        <v>3848</v>
      </c>
      <c r="N56" s="78">
        <v>0</v>
      </c>
      <c r="P56" s="80"/>
      <c r="Q56" s="63">
        <v>3959</v>
      </c>
      <c r="R56" s="80">
        <f t="shared" si="9"/>
        <v>0</v>
      </c>
    </row>
    <row r="57" spans="1:18" ht="12.75" x14ac:dyDescent="0.2">
      <c r="A57" s="75">
        <v>47</v>
      </c>
      <c r="B57" s="76" t="s">
        <v>75</v>
      </c>
      <c r="C57" s="105" t="s">
        <v>76</v>
      </c>
      <c r="D57" s="78">
        <f t="shared" si="3"/>
        <v>5812</v>
      </c>
      <c r="E57" s="78">
        <f t="shared" si="8"/>
        <v>0</v>
      </c>
      <c r="F57" s="78">
        <v>0</v>
      </c>
      <c r="G57" s="78">
        <v>0</v>
      </c>
      <c r="H57" s="78">
        <f t="shared" si="6"/>
        <v>5812</v>
      </c>
      <c r="I57" s="78">
        <v>0</v>
      </c>
      <c r="J57" s="78">
        <v>0</v>
      </c>
      <c r="K57" s="78">
        <v>140</v>
      </c>
      <c r="L57" s="78">
        <v>94</v>
      </c>
      <c r="M57" s="78">
        <v>4241</v>
      </c>
      <c r="N57" s="78">
        <v>1337</v>
      </c>
      <c r="P57" s="80"/>
      <c r="Q57" s="63">
        <v>5812</v>
      </c>
      <c r="R57" s="80">
        <f t="shared" si="9"/>
        <v>0</v>
      </c>
    </row>
    <row r="58" spans="1:18" ht="12.75" x14ac:dyDescent="0.2">
      <c r="A58" s="75">
        <v>48</v>
      </c>
      <c r="B58" s="92" t="s">
        <v>77</v>
      </c>
      <c r="C58" s="139" t="s">
        <v>78</v>
      </c>
      <c r="D58" s="78">
        <f t="shared" si="3"/>
        <v>2255</v>
      </c>
      <c r="E58" s="78">
        <f t="shared" si="8"/>
        <v>0</v>
      </c>
      <c r="F58" s="78">
        <v>0</v>
      </c>
      <c r="G58" s="78">
        <v>0</v>
      </c>
      <c r="H58" s="78">
        <f t="shared" si="6"/>
        <v>2255</v>
      </c>
      <c r="I58" s="78">
        <v>0</v>
      </c>
      <c r="J58" s="78">
        <v>0</v>
      </c>
      <c r="K58" s="78">
        <v>0</v>
      </c>
      <c r="L58" s="78">
        <v>0</v>
      </c>
      <c r="M58" s="78">
        <v>2255</v>
      </c>
      <c r="N58" s="78">
        <v>0</v>
      </c>
      <c r="P58" s="80"/>
      <c r="Q58" s="63">
        <v>2255</v>
      </c>
      <c r="R58" s="80">
        <f t="shared" si="9"/>
        <v>0</v>
      </c>
    </row>
    <row r="59" spans="1:18" ht="12.75" x14ac:dyDescent="0.2">
      <c r="A59" s="75">
        <v>49</v>
      </c>
      <c r="B59" s="83" t="s">
        <v>79</v>
      </c>
      <c r="C59" s="98" t="s">
        <v>387</v>
      </c>
      <c r="D59" s="78">
        <f t="shared" si="3"/>
        <v>5181</v>
      </c>
      <c r="E59" s="78">
        <f t="shared" si="8"/>
        <v>0</v>
      </c>
      <c r="F59" s="78">
        <v>0</v>
      </c>
      <c r="G59" s="78">
        <v>0</v>
      </c>
      <c r="H59" s="78">
        <f t="shared" si="6"/>
        <v>5181</v>
      </c>
      <c r="I59" s="78">
        <v>1500</v>
      </c>
      <c r="J59" s="78">
        <v>0</v>
      </c>
      <c r="K59" s="78">
        <v>790</v>
      </c>
      <c r="L59" s="78">
        <v>198</v>
      </c>
      <c r="M59" s="78">
        <v>2543</v>
      </c>
      <c r="N59" s="78">
        <v>150</v>
      </c>
      <c r="P59" s="80"/>
      <c r="Q59" s="63">
        <v>5181</v>
      </c>
      <c r="R59" s="80">
        <f t="shared" si="9"/>
        <v>0</v>
      </c>
    </row>
    <row r="60" spans="1:18" ht="12.75" x14ac:dyDescent="0.2">
      <c r="A60" s="75">
        <v>50</v>
      </c>
      <c r="B60" s="76" t="s">
        <v>80</v>
      </c>
      <c r="C60" s="105" t="s">
        <v>81</v>
      </c>
      <c r="D60" s="78">
        <f t="shared" si="3"/>
        <v>2812</v>
      </c>
      <c r="E60" s="78">
        <f t="shared" si="8"/>
        <v>0</v>
      </c>
      <c r="F60" s="78">
        <v>0</v>
      </c>
      <c r="G60" s="78">
        <v>0</v>
      </c>
      <c r="H60" s="78">
        <f t="shared" si="6"/>
        <v>2812</v>
      </c>
      <c r="I60" s="78">
        <v>485</v>
      </c>
      <c r="J60" s="78">
        <v>0</v>
      </c>
      <c r="K60" s="78">
        <v>432</v>
      </c>
      <c r="L60" s="78">
        <v>437</v>
      </c>
      <c r="M60" s="78">
        <v>1458</v>
      </c>
      <c r="N60" s="78">
        <v>0</v>
      </c>
      <c r="P60" s="80"/>
      <c r="Q60" s="63">
        <v>2812</v>
      </c>
      <c r="R60" s="80">
        <f t="shared" si="9"/>
        <v>0</v>
      </c>
    </row>
    <row r="61" spans="1:18" ht="12.75" x14ac:dyDescent="0.2">
      <c r="A61" s="75">
        <v>51</v>
      </c>
      <c r="B61" s="83" t="s">
        <v>82</v>
      </c>
      <c r="C61" s="98" t="s">
        <v>83</v>
      </c>
      <c r="D61" s="78">
        <f t="shared" si="3"/>
        <v>31</v>
      </c>
      <c r="E61" s="78">
        <f t="shared" si="8"/>
        <v>0</v>
      </c>
      <c r="F61" s="78">
        <v>0</v>
      </c>
      <c r="G61" s="78">
        <v>0</v>
      </c>
      <c r="H61" s="78">
        <f t="shared" si="6"/>
        <v>31</v>
      </c>
      <c r="I61" s="78">
        <v>0</v>
      </c>
      <c r="J61" s="78">
        <v>0</v>
      </c>
      <c r="K61" s="78">
        <v>24</v>
      </c>
      <c r="L61" s="78">
        <v>7</v>
      </c>
      <c r="M61" s="78">
        <v>0</v>
      </c>
      <c r="N61" s="78">
        <v>0</v>
      </c>
      <c r="P61" s="80"/>
      <c r="Q61" s="63">
        <v>31</v>
      </c>
      <c r="R61" s="80">
        <f t="shared" si="9"/>
        <v>0</v>
      </c>
    </row>
    <row r="62" spans="1:18" ht="12.75" x14ac:dyDescent="0.2">
      <c r="A62" s="75">
        <v>52</v>
      </c>
      <c r="B62" s="76" t="s">
        <v>84</v>
      </c>
      <c r="C62" s="105" t="s">
        <v>85</v>
      </c>
      <c r="D62" s="78">
        <f t="shared" si="3"/>
        <v>1672</v>
      </c>
      <c r="E62" s="78">
        <f t="shared" si="8"/>
        <v>0</v>
      </c>
      <c r="F62" s="78">
        <v>0</v>
      </c>
      <c r="G62" s="78">
        <v>0</v>
      </c>
      <c r="H62" s="78">
        <f t="shared" si="6"/>
        <v>1672</v>
      </c>
      <c r="I62" s="78">
        <v>0</v>
      </c>
      <c r="J62" s="78">
        <v>0</v>
      </c>
      <c r="K62" s="78">
        <v>111</v>
      </c>
      <c r="L62" s="78">
        <v>56</v>
      </c>
      <c r="M62" s="78">
        <v>1305</v>
      </c>
      <c r="N62" s="78">
        <v>200</v>
      </c>
      <c r="P62" s="80"/>
      <c r="Q62" s="63">
        <v>1672</v>
      </c>
      <c r="R62" s="80">
        <f t="shared" si="9"/>
        <v>0</v>
      </c>
    </row>
    <row r="63" spans="1:18" ht="12.75" x14ac:dyDescent="0.2">
      <c r="A63" s="75">
        <v>53</v>
      </c>
      <c r="B63" s="83" t="s">
        <v>86</v>
      </c>
      <c r="C63" s="98" t="s">
        <v>388</v>
      </c>
      <c r="D63" s="78">
        <f t="shared" si="3"/>
        <v>2061</v>
      </c>
      <c r="E63" s="78">
        <f t="shared" si="8"/>
        <v>0</v>
      </c>
      <c r="F63" s="78">
        <v>0</v>
      </c>
      <c r="G63" s="78">
        <v>0</v>
      </c>
      <c r="H63" s="78">
        <f t="shared" si="6"/>
        <v>2061</v>
      </c>
      <c r="I63" s="78">
        <v>0</v>
      </c>
      <c r="J63" s="78">
        <v>0</v>
      </c>
      <c r="K63" s="78">
        <v>983</v>
      </c>
      <c r="L63" s="78">
        <v>48</v>
      </c>
      <c r="M63" s="78">
        <v>1030</v>
      </c>
      <c r="N63" s="78">
        <v>0</v>
      </c>
      <c r="P63" s="80"/>
      <c r="Q63" s="63">
        <v>2061</v>
      </c>
      <c r="R63" s="80">
        <f t="shared" si="9"/>
        <v>0</v>
      </c>
    </row>
    <row r="64" spans="1:18" ht="12.75" x14ac:dyDescent="0.2">
      <c r="A64" s="75">
        <v>54</v>
      </c>
      <c r="B64" s="83" t="s">
        <v>87</v>
      </c>
      <c r="C64" s="98" t="s">
        <v>88</v>
      </c>
      <c r="D64" s="78">
        <f t="shared" si="3"/>
        <v>14869</v>
      </c>
      <c r="E64" s="78">
        <f t="shared" si="8"/>
        <v>0</v>
      </c>
      <c r="F64" s="78">
        <v>0</v>
      </c>
      <c r="G64" s="78">
        <v>0</v>
      </c>
      <c r="H64" s="78">
        <f t="shared" si="6"/>
        <v>14869</v>
      </c>
      <c r="I64" s="78">
        <v>0</v>
      </c>
      <c r="J64" s="78">
        <v>0</v>
      </c>
      <c r="K64" s="78">
        <v>498</v>
      </c>
      <c r="L64" s="78">
        <v>95</v>
      </c>
      <c r="M64" s="78">
        <v>9866</v>
      </c>
      <c r="N64" s="78">
        <v>4410</v>
      </c>
      <c r="P64" s="80"/>
      <c r="Q64" s="63">
        <v>14869</v>
      </c>
      <c r="R64" s="80">
        <f t="shared" si="9"/>
        <v>0</v>
      </c>
    </row>
    <row r="65" spans="1:18" ht="12.75" x14ac:dyDescent="0.2">
      <c r="A65" s="75">
        <v>55</v>
      </c>
      <c r="B65" s="83" t="s">
        <v>89</v>
      </c>
      <c r="C65" s="98" t="s">
        <v>389</v>
      </c>
      <c r="D65" s="78">
        <f t="shared" si="3"/>
        <v>1637</v>
      </c>
      <c r="E65" s="78">
        <f t="shared" si="8"/>
        <v>0</v>
      </c>
      <c r="F65" s="78">
        <v>0</v>
      </c>
      <c r="G65" s="78">
        <v>0</v>
      </c>
      <c r="H65" s="78">
        <f t="shared" si="6"/>
        <v>1637</v>
      </c>
      <c r="I65" s="78">
        <v>0</v>
      </c>
      <c r="J65" s="78">
        <v>0</v>
      </c>
      <c r="K65" s="78">
        <v>978</v>
      </c>
      <c r="L65" s="78">
        <v>44</v>
      </c>
      <c r="M65" s="78">
        <v>410</v>
      </c>
      <c r="N65" s="78">
        <v>205</v>
      </c>
      <c r="P65" s="80"/>
      <c r="Q65" s="63">
        <v>1637</v>
      </c>
      <c r="R65" s="80">
        <f t="shared" si="9"/>
        <v>0</v>
      </c>
    </row>
    <row r="66" spans="1:18" x14ac:dyDescent="0.2">
      <c r="A66" s="75">
        <v>56</v>
      </c>
      <c r="B66" s="97" t="s">
        <v>176</v>
      </c>
      <c r="C66" s="86" t="s">
        <v>390</v>
      </c>
      <c r="D66" s="78">
        <f t="shared" si="3"/>
        <v>0</v>
      </c>
      <c r="E66" s="78">
        <f t="shared" si="8"/>
        <v>0</v>
      </c>
      <c r="F66" s="78">
        <v>0</v>
      </c>
      <c r="G66" s="78">
        <v>0</v>
      </c>
      <c r="H66" s="78">
        <f t="shared" si="6"/>
        <v>0</v>
      </c>
      <c r="I66" s="78">
        <v>0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P66" s="80"/>
      <c r="R66" s="80">
        <f t="shared" si="9"/>
        <v>0</v>
      </c>
    </row>
    <row r="67" spans="1:18" x14ac:dyDescent="0.2">
      <c r="A67" s="75">
        <v>57</v>
      </c>
      <c r="B67" s="97" t="s">
        <v>322</v>
      </c>
      <c r="C67" s="86" t="s">
        <v>323</v>
      </c>
      <c r="D67" s="78">
        <f t="shared" si="3"/>
        <v>0</v>
      </c>
      <c r="E67" s="78">
        <f t="shared" si="8"/>
        <v>0</v>
      </c>
      <c r="F67" s="78">
        <v>0</v>
      </c>
      <c r="G67" s="78">
        <v>0</v>
      </c>
      <c r="H67" s="78">
        <f t="shared" si="6"/>
        <v>0</v>
      </c>
      <c r="I67" s="78">
        <v>0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P67" s="80"/>
      <c r="R67" s="80">
        <f t="shared" si="9"/>
        <v>0</v>
      </c>
    </row>
    <row r="68" spans="1:18" ht="25.5" x14ac:dyDescent="0.2">
      <c r="A68" s="75">
        <v>58</v>
      </c>
      <c r="B68" s="83" t="s">
        <v>90</v>
      </c>
      <c r="C68" s="98" t="s">
        <v>391</v>
      </c>
      <c r="D68" s="78">
        <f t="shared" si="3"/>
        <v>0</v>
      </c>
      <c r="E68" s="78">
        <f t="shared" si="8"/>
        <v>0</v>
      </c>
      <c r="F68" s="78">
        <v>0</v>
      </c>
      <c r="G68" s="78">
        <v>0</v>
      </c>
      <c r="H68" s="78">
        <f t="shared" si="6"/>
        <v>0</v>
      </c>
      <c r="I68" s="78">
        <v>0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P68" s="80"/>
      <c r="Q68" s="63">
        <v>0</v>
      </c>
      <c r="R68" s="80">
        <f t="shared" si="9"/>
        <v>0</v>
      </c>
    </row>
    <row r="69" spans="1:18" ht="25.5" x14ac:dyDescent="0.2">
      <c r="A69" s="75">
        <v>59</v>
      </c>
      <c r="B69" s="76" t="s">
        <v>91</v>
      </c>
      <c r="C69" s="98" t="s">
        <v>392</v>
      </c>
      <c r="D69" s="78">
        <f t="shared" si="3"/>
        <v>0</v>
      </c>
      <c r="E69" s="78">
        <f t="shared" si="8"/>
        <v>0</v>
      </c>
      <c r="F69" s="78">
        <v>0</v>
      </c>
      <c r="G69" s="78">
        <v>0</v>
      </c>
      <c r="H69" s="78">
        <f t="shared" si="6"/>
        <v>0</v>
      </c>
      <c r="I69" s="78">
        <v>0</v>
      </c>
      <c r="J69" s="78">
        <v>0</v>
      </c>
      <c r="K69" s="78">
        <v>0</v>
      </c>
      <c r="L69" s="78">
        <v>0</v>
      </c>
      <c r="M69" s="78">
        <v>0</v>
      </c>
      <c r="N69" s="78">
        <v>0</v>
      </c>
      <c r="P69" s="80"/>
      <c r="Q69" s="63">
        <v>0</v>
      </c>
      <c r="R69" s="80">
        <f t="shared" si="9"/>
        <v>0</v>
      </c>
    </row>
    <row r="70" spans="1:18" ht="25.5" x14ac:dyDescent="0.2">
      <c r="A70" s="75">
        <v>60</v>
      </c>
      <c r="B70" s="84" t="s">
        <v>92</v>
      </c>
      <c r="C70" s="106" t="s">
        <v>393</v>
      </c>
      <c r="D70" s="78">
        <f t="shared" si="3"/>
        <v>692</v>
      </c>
      <c r="E70" s="78">
        <f t="shared" si="8"/>
        <v>0</v>
      </c>
      <c r="F70" s="78">
        <v>0</v>
      </c>
      <c r="G70" s="78">
        <v>0</v>
      </c>
      <c r="H70" s="78">
        <f t="shared" si="6"/>
        <v>692</v>
      </c>
      <c r="I70" s="78">
        <v>0</v>
      </c>
      <c r="J70" s="78">
        <v>0</v>
      </c>
      <c r="K70" s="78">
        <v>0</v>
      </c>
      <c r="L70" s="78">
        <v>692</v>
      </c>
      <c r="M70" s="78">
        <v>0</v>
      </c>
      <c r="N70" s="78">
        <v>0</v>
      </c>
      <c r="P70" s="80"/>
      <c r="Q70" s="63">
        <v>692</v>
      </c>
      <c r="R70" s="80">
        <f t="shared" si="9"/>
        <v>0</v>
      </c>
    </row>
    <row r="71" spans="1:18" ht="25.5" x14ac:dyDescent="0.2">
      <c r="A71" s="75">
        <v>61</v>
      </c>
      <c r="B71" s="76" t="s">
        <v>93</v>
      </c>
      <c r="C71" s="98" t="s">
        <v>394</v>
      </c>
      <c r="D71" s="78">
        <f t="shared" si="3"/>
        <v>0</v>
      </c>
      <c r="E71" s="78">
        <f t="shared" si="8"/>
        <v>0</v>
      </c>
      <c r="F71" s="78">
        <v>0</v>
      </c>
      <c r="G71" s="78">
        <v>0</v>
      </c>
      <c r="H71" s="78">
        <f t="shared" si="6"/>
        <v>0</v>
      </c>
      <c r="I71" s="78">
        <v>0</v>
      </c>
      <c r="J71" s="78">
        <v>0</v>
      </c>
      <c r="K71" s="78">
        <v>0</v>
      </c>
      <c r="L71" s="78">
        <v>0</v>
      </c>
      <c r="M71" s="78">
        <v>0</v>
      </c>
      <c r="N71" s="78">
        <v>0</v>
      </c>
      <c r="P71" s="80"/>
      <c r="Q71" s="63">
        <v>0</v>
      </c>
      <c r="R71" s="80">
        <f t="shared" si="9"/>
        <v>0</v>
      </c>
    </row>
    <row r="72" spans="1:18" ht="25.5" x14ac:dyDescent="0.2">
      <c r="A72" s="75">
        <v>62</v>
      </c>
      <c r="B72" s="83" t="s">
        <v>94</v>
      </c>
      <c r="C72" s="98" t="s">
        <v>395</v>
      </c>
      <c r="D72" s="78">
        <f t="shared" si="3"/>
        <v>0</v>
      </c>
      <c r="E72" s="78">
        <f t="shared" si="8"/>
        <v>0</v>
      </c>
      <c r="F72" s="78">
        <v>0</v>
      </c>
      <c r="G72" s="78">
        <v>0</v>
      </c>
      <c r="H72" s="78">
        <f t="shared" si="6"/>
        <v>0</v>
      </c>
      <c r="I72" s="78">
        <v>0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P72" s="80"/>
      <c r="Q72" s="63">
        <v>0</v>
      </c>
      <c r="R72" s="80">
        <f t="shared" si="9"/>
        <v>0</v>
      </c>
    </row>
    <row r="73" spans="1:18" ht="38.25" x14ac:dyDescent="0.2">
      <c r="A73" s="75">
        <v>63</v>
      </c>
      <c r="B73" s="76" t="s">
        <v>177</v>
      </c>
      <c r="C73" s="98" t="s">
        <v>396</v>
      </c>
      <c r="D73" s="78">
        <f t="shared" ref="D73:D136" si="10">E73+H73</f>
        <v>7798</v>
      </c>
      <c r="E73" s="78">
        <f t="shared" si="8"/>
        <v>7798</v>
      </c>
      <c r="F73" s="78">
        <v>0</v>
      </c>
      <c r="G73" s="78">
        <v>7798</v>
      </c>
      <c r="H73" s="78">
        <f t="shared" si="6"/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P73" s="80"/>
      <c r="Q73" s="63">
        <v>7798</v>
      </c>
      <c r="R73" s="80">
        <f t="shared" si="9"/>
        <v>0</v>
      </c>
    </row>
    <row r="74" spans="1:18" ht="38.25" x14ac:dyDescent="0.2">
      <c r="A74" s="75">
        <v>64</v>
      </c>
      <c r="B74" s="76" t="s">
        <v>178</v>
      </c>
      <c r="C74" s="98" t="s">
        <v>397</v>
      </c>
      <c r="D74" s="78">
        <f t="shared" si="10"/>
        <v>22746</v>
      </c>
      <c r="E74" s="78">
        <f t="shared" si="8"/>
        <v>22746</v>
      </c>
      <c r="F74" s="78">
        <v>0</v>
      </c>
      <c r="G74" s="78">
        <v>22746</v>
      </c>
      <c r="H74" s="78">
        <f t="shared" si="6"/>
        <v>0</v>
      </c>
      <c r="I74" s="78">
        <v>0</v>
      </c>
      <c r="J74" s="78">
        <v>0</v>
      </c>
      <c r="K74" s="78">
        <v>0</v>
      </c>
      <c r="L74" s="78">
        <v>0</v>
      </c>
      <c r="M74" s="78">
        <v>0</v>
      </c>
      <c r="N74" s="78">
        <v>0</v>
      </c>
      <c r="P74" s="80"/>
      <c r="Q74" s="63">
        <v>22746</v>
      </c>
      <c r="R74" s="80">
        <f t="shared" si="9"/>
        <v>0</v>
      </c>
    </row>
    <row r="75" spans="1:18" ht="12.75" x14ac:dyDescent="0.2">
      <c r="A75" s="75">
        <v>65</v>
      </c>
      <c r="B75" s="76" t="s">
        <v>95</v>
      </c>
      <c r="C75" s="98" t="s">
        <v>398</v>
      </c>
      <c r="D75" s="78">
        <f t="shared" si="10"/>
        <v>1437</v>
      </c>
      <c r="E75" s="78">
        <f t="shared" si="8"/>
        <v>0</v>
      </c>
      <c r="F75" s="78">
        <v>0</v>
      </c>
      <c r="G75" s="78">
        <v>0</v>
      </c>
      <c r="H75" s="78">
        <f t="shared" si="6"/>
        <v>1437</v>
      </c>
      <c r="I75" s="78">
        <v>0</v>
      </c>
      <c r="J75" s="78">
        <v>0</v>
      </c>
      <c r="K75" s="78">
        <v>0</v>
      </c>
      <c r="L75" s="78">
        <v>0</v>
      </c>
      <c r="M75" s="78">
        <v>1437</v>
      </c>
      <c r="N75" s="78">
        <v>0</v>
      </c>
      <c r="P75" s="80"/>
      <c r="Q75" s="63">
        <v>1437</v>
      </c>
      <c r="R75" s="80">
        <f t="shared" ref="R75:R106" si="11">Q75-D75</f>
        <v>0</v>
      </c>
    </row>
    <row r="76" spans="1:18" ht="12.75" x14ac:dyDescent="0.2">
      <c r="A76" s="75">
        <v>66</v>
      </c>
      <c r="B76" s="76" t="s">
        <v>96</v>
      </c>
      <c r="C76" s="98" t="s">
        <v>399</v>
      </c>
      <c r="D76" s="78">
        <f t="shared" si="10"/>
        <v>0</v>
      </c>
      <c r="E76" s="78">
        <f t="shared" ref="E76:E139" si="12">F76+G76</f>
        <v>0</v>
      </c>
      <c r="F76" s="78">
        <v>0</v>
      </c>
      <c r="G76" s="78">
        <v>0</v>
      </c>
      <c r="H76" s="78">
        <f t="shared" si="6"/>
        <v>0</v>
      </c>
      <c r="I76" s="78">
        <v>0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P76" s="80"/>
      <c r="Q76" s="63">
        <v>0</v>
      </c>
      <c r="R76" s="80">
        <f t="shared" si="11"/>
        <v>0</v>
      </c>
    </row>
    <row r="77" spans="1:18" ht="12.75" x14ac:dyDescent="0.2">
      <c r="A77" s="75">
        <v>67</v>
      </c>
      <c r="B77" s="76" t="s">
        <v>97</v>
      </c>
      <c r="C77" s="98" t="s">
        <v>400</v>
      </c>
      <c r="D77" s="78">
        <f t="shared" si="10"/>
        <v>254</v>
      </c>
      <c r="E77" s="78">
        <f t="shared" si="12"/>
        <v>0</v>
      </c>
      <c r="F77" s="78">
        <v>0</v>
      </c>
      <c r="G77" s="78">
        <v>0</v>
      </c>
      <c r="H77" s="78">
        <f t="shared" si="6"/>
        <v>254</v>
      </c>
      <c r="I77" s="78">
        <v>0</v>
      </c>
      <c r="J77" s="78">
        <v>0</v>
      </c>
      <c r="K77" s="78">
        <v>169</v>
      </c>
      <c r="L77" s="78">
        <v>0</v>
      </c>
      <c r="M77" s="78">
        <v>85</v>
      </c>
      <c r="N77" s="78">
        <v>0</v>
      </c>
      <c r="P77" s="80"/>
      <c r="Q77" s="63">
        <v>254</v>
      </c>
      <c r="R77" s="80">
        <f t="shared" si="11"/>
        <v>0</v>
      </c>
    </row>
    <row r="78" spans="1:18" ht="12.75" x14ac:dyDescent="0.2">
      <c r="A78" s="75">
        <v>68</v>
      </c>
      <c r="B78" s="76" t="s">
        <v>98</v>
      </c>
      <c r="C78" s="98" t="s">
        <v>401</v>
      </c>
      <c r="D78" s="78">
        <f t="shared" si="10"/>
        <v>0</v>
      </c>
      <c r="E78" s="78">
        <f t="shared" si="12"/>
        <v>0</v>
      </c>
      <c r="F78" s="78">
        <v>0</v>
      </c>
      <c r="G78" s="78">
        <v>0</v>
      </c>
      <c r="H78" s="78">
        <f t="shared" si="6"/>
        <v>0</v>
      </c>
      <c r="I78" s="78">
        <v>0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P78" s="80"/>
      <c r="Q78" s="63">
        <v>0</v>
      </c>
      <c r="R78" s="80">
        <f t="shared" si="11"/>
        <v>0</v>
      </c>
    </row>
    <row r="79" spans="1:18" ht="12.75" x14ac:dyDescent="0.2">
      <c r="A79" s="75">
        <v>69</v>
      </c>
      <c r="B79" s="76" t="s">
        <v>99</v>
      </c>
      <c r="C79" s="98" t="s">
        <v>402</v>
      </c>
      <c r="D79" s="78">
        <f t="shared" si="10"/>
        <v>0</v>
      </c>
      <c r="E79" s="78">
        <f t="shared" si="12"/>
        <v>0</v>
      </c>
      <c r="F79" s="78">
        <v>0</v>
      </c>
      <c r="G79" s="78">
        <v>0</v>
      </c>
      <c r="H79" s="78">
        <f t="shared" si="6"/>
        <v>0</v>
      </c>
      <c r="I79" s="78">
        <v>0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P79" s="80"/>
      <c r="Q79" s="63">
        <v>0</v>
      </c>
      <c r="R79" s="80">
        <f t="shared" si="11"/>
        <v>0</v>
      </c>
    </row>
    <row r="80" spans="1:18" ht="12.75" x14ac:dyDescent="0.2">
      <c r="A80" s="75">
        <v>70</v>
      </c>
      <c r="B80" s="83" t="s">
        <v>100</v>
      </c>
      <c r="C80" s="98" t="s">
        <v>403</v>
      </c>
      <c r="D80" s="78">
        <f t="shared" si="10"/>
        <v>0</v>
      </c>
      <c r="E80" s="78">
        <f t="shared" si="12"/>
        <v>0</v>
      </c>
      <c r="F80" s="78">
        <v>0</v>
      </c>
      <c r="G80" s="78">
        <v>0</v>
      </c>
      <c r="H80" s="78">
        <f t="shared" si="6"/>
        <v>0</v>
      </c>
      <c r="I80" s="78">
        <v>0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P80" s="80"/>
      <c r="Q80" s="63">
        <v>0</v>
      </c>
      <c r="R80" s="80">
        <f t="shared" si="11"/>
        <v>0</v>
      </c>
    </row>
    <row r="81" spans="1:18" ht="12.75" x14ac:dyDescent="0.2">
      <c r="A81" s="75">
        <v>71</v>
      </c>
      <c r="B81" s="76" t="s">
        <v>101</v>
      </c>
      <c r="C81" s="105" t="s">
        <v>404</v>
      </c>
      <c r="D81" s="78">
        <f t="shared" si="10"/>
        <v>0</v>
      </c>
      <c r="E81" s="78">
        <f t="shared" si="12"/>
        <v>0</v>
      </c>
      <c r="F81" s="78">
        <v>0</v>
      </c>
      <c r="G81" s="78">
        <v>0</v>
      </c>
      <c r="H81" s="78">
        <f t="shared" si="6"/>
        <v>0</v>
      </c>
      <c r="I81" s="78">
        <v>0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P81" s="80"/>
      <c r="Q81" s="63">
        <v>0</v>
      </c>
      <c r="R81" s="80">
        <f t="shared" si="11"/>
        <v>0</v>
      </c>
    </row>
    <row r="82" spans="1:18" ht="12.75" x14ac:dyDescent="0.2">
      <c r="A82" s="75">
        <v>72</v>
      </c>
      <c r="B82" s="83" t="s">
        <v>102</v>
      </c>
      <c r="C82" s="98" t="s">
        <v>405</v>
      </c>
      <c r="D82" s="78">
        <f t="shared" si="10"/>
        <v>0</v>
      </c>
      <c r="E82" s="78">
        <f t="shared" si="12"/>
        <v>0</v>
      </c>
      <c r="F82" s="78">
        <v>0</v>
      </c>
      <c r="G82" s="78">
        <v>0</v>
      </c>
      <c r="H82" s="78">
        <f t="shared" ref="H82:H158" si="13">M82+N82+L82+K82+J82+I82</f>
        <v>0</v>
      </c>
      <c r="I82" s="78">
        <v>0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P82" s="80"/>
      <c r="Q82" s="63">
        <v>0</v>
      </c>
      <c r="R82" s="80">
        <f t="shared" si="11"/>
        <v>0</v>
      </c>
    </row>
    <row r="83" spans="1:18" ht="12.75" x14ac:dyDescent="0.2">
      <c r="A83" s="75">
        <v>73</v>
      </c>
      <c r="B83" s="76" t="s">
        <v>103</v>
      </c>
      <c r="C83" s="98" t="s">
        <v>406</v>
      </c>
      <c r="D83" s="78">
        <f t="shared" si="10"/>
        <v>0</v>
      </c>
      <c r="E83" s="78">
        <f t="shared" si="12"/>
        <v>0</v>
      </c>
      <c r="F83" s="78">
        <v>0</v>
      </c>
      <c r="G83" s="78">
        <v>0</v>
      </c>
      <c r="H83" s="78">
        <f t="shared" si="13"/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P83" s="80"/>
      <c r="Q83" s="63">
        <v>0</v>
      </c>
      <c r="R83" s="80">
        <f t="shared" si="11"/>
        <v>0</v>
      </c>
    </row>
    <row r="84" spans="1:18" ht="12.75" x14ac:dyDescent="0.2">
      <c r="A84" s="75">
        <v>74</v>
      </c>
      <c r="B84" s="83" t="s">
        <v>104</v>
      </c>
      <c r="C84" s="98" t="s">
        <v>407</v>
      </c>
      <c r="D84" s="78">
        <f t="shared" si="10"/>
        <v>0</v>
      </c>
      <c r="E84" s="78">
        <f t="shared" si="12"/>
        <v>0</v>
      </c>
      <c r="F84" s="78">
        <v>0</v>
      </c>
      <c r="G84" s="78">
        <v>0</v>
      </c>
      <c r="H84" s="78">
        <f t="shared" si="13"/>
        <v>0</v>
      </c>
      <c r="I84" s="78">
        <v>0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P84" s="80"/>
      <c r="Q84" s="63">
        <v>0</v>
      </c>
      <c r="R84" s="80">
        <f t="shared" si="11"/>
        <v>0</v>
      </c>
    </row>
    <row r="85" spans="1:18" ht="12.75" x14ac:dyDescent="0.2">
      <c r="A85" s="75">
        <v>75</v>
      </c>
      <c r="B85" s="83" t="s">
        <v>105</v>
      </c>
      <c r="C85" s="98" t="s">
        <v>408</v>
      </c>
      <c r="D85" s="78">
        <f t="shared" si="10"/>
        <v>0</v>
      </c>
      <c r="E85" s="78">
        <f t="shared" si="12"/>
        <v>0</v>
      </c>
      <c r="F85" s="78">
        <v>0</v>
      </c>
      <c r="G85" s="78">
        <v>0</v>
      </c>
      <c r="H85" s="78">
        <f t="shared" si="13"/>
        <v>0</v>
      </c>
      <c r="I85" s="78">
        <v>0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P85" s="80"/>
      <c r="Q85" s="63">
        <v>0</v>
      </c>
      <c r="R85" s="80">
        <f t="shared" si="11"/>
        <v>0</v>
      </c>
    </row>
    <row r="86" spans="1:18" ht="25.5" x14ac:dyDescent="0.2">
      <c r="A86" s="75">
        <v>76</v>
      </c>
      <c r="B86" s="93" t="s">
        <v>179</v>
      </c>
      <c r="C86" s="139" t="s">
        <v>409</v>
      </c>
      <c r="D86" s="78">
        <f t="shared" si="10"/>
        <v>473</v>
      </c>
      <c r="E86" s="78">
        <f t="shared" si="12"/>
        <v>473</v>
      </c>
      <c r="F86" s="78">
        <v>473</v>
      </c>
      <c r="G86" s="78">
        <v>0</v>
      </c>
      <c r="H86" s="78">
        <f t="shared" si="13"/>
        <v>0</v>
      </c>
      <c r="I86" s="78">
        <v>0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P86" s="80"/>
      <c r="Q86" s="63">
        <v>473</v>
      </c>
      <c r="R86" s="80">
        <f t="shared" si="11"/>
        <v>0</v>
      </c>
    </row>
    <row r="87" spans="1:18" ht="25.5" x14ac:dyDescent="0.2">
      <c r="A87" s="75">
        <v>77</v>
      </c>
      <c r="B87" s="76" t="s">
        <v>180</v>
      </c>
      <c r="C87" s="98" t="s">
        <v>410</v>
      </c>
      <c r="D87" s="78">
        <f t="shared" si="10"/>
        <v>26</v>
      </c>
      <c r="E87" s="78">
        <f t="shared" si="12"/>
        <v>26</v>
      </c>
      <c r="F87" s="78">
        <v>26</v>
      </c>
      <c r="G87" s="78">
        <v>0</v>
      </c>
      <c r="H87" s="78">
        <f t="shared" si="13"/>
        <v>0</v>
      </c>
      <c r="I87" s="78">
        <v>0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P87" s="80"/>
      <c r="Q87" s="63">
        <v>26</v>
      </c>
      <c r="R87" s="80">
        <f t="shared" si="11"/>
        <v>0</v>
      </c>
    </row>
    <row r="88" spans="1:18" ht="25.5" x14ac:dyDescent="0.2">
      <c r="A88" s="75">
        <v>78</v>
      </c>
      <c r="B88" s="76" t="s">
        <v>181</v>
      </c>
      <c r="C88" s="98" t="s">
        <v>411</v>
      </c>
      <c r="D88" s="78">
        <f t="shared" si="10"/>
        <v>173</v>
      </c>
      <c r="E88" s="78">
        <f t="shared" si="12"/>
        <v>173</v>
      </c>
      <c r="F88" s="78">
        <v>173</v>
      </c>
      <c r="G88" s="78">
        <v>0</v>
      </c>
      <c r="H88" s="78">
        <f t="shared" si="13"/>
        <v>0</v>
      </c>
      <c r="I88" s="78">
        <v>0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P88" s="80"/>
      <c r="Q88" s="63">
        <v>173</v>
      </c>
      <c r="R88" s="80">
        <f t="shared" si="11"/>
        <v>0</v>
      </c>
    </row>
    <row r="89" spans="1:18" ht="25.5" x14ac:dyDescent="0.2">
      <c r="A89" s="75">
        <v>79</v>
      </c>
      <c r="B89" s="76" t="s">
        <v>182</v>
      </c>
      <c r="C89" s="98" t="s">
        <v>412</v>
      </c>
      <c r="D89" s="78">
        <f t="shared" si="10"/>
        <v>0</v>
      </c>
      <c r="E89" s="78">
        <f t="shared" si="12"/>
        <v>0</v>
      </c>
      <c r="F89" s="78">
        <v>0</v>
      </c>
      <c r="G89" s="78">
        <v>0</v>
      </c>
      <c r="H89" s="78">
        <f t="shared" si="13"/>
        <v>0</v>
      </c>
      <c r="I89" s="78">
        <v>0</v>
      </c>
      <c r="J89" s="78">
        <v>0</v>
      </c>
      <c r="K89" s="78">
        <v>0</v>
      </c>
      <c r="L89" s="78">
        <v>0</v>
      </c>
      <c r="M89" s="78">
        <v>0</v>
      </c>
      <c r="N89" s="78">
        <v>0</v>
      </c>
      <c r="P89" s="80"/>
      <c r="Q89" s="63">
        <v>0</v>
      </c>
      <c r="R89" s="80">
        <f t="shared" si="11"/>
        <v>0</v>
      </c>
    </row>
    <row r="90" spans="1:18" ht="25.5" x14ac:dyDescent="0.2">
      <c r="A90" s="75">
        <v>80</v>
      </c>
      <c r="B90" s="76" t="s">
        <v>183</v>
      </c>
      <c r="C90" s="98" t="s">
        <v>413</v>
      </c>
      <c r="D90" s="78">
        <f t="shared" si="10"/>
        <v>5117</v>
      </c>
      <c r="E90" s="78">
        <f t="shared" si="12"/>
        <v>5117</v>
      </c>
      <c r="F90" s="78">
        <v>840</v>
      </c>
      <c r="G90" s="78">
        <v>4277</v>
      </c>
      <c r="H90" s="78">
        <f t="shared" si="13"/>
        <v>0</v>
      </c>
      <c r="I90" s="78">
        <v>0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P90" s="80"/>
      <c r="Q90" s="63">
        <v>5117</v>
      </c>
      <c r="R90" s="80">
        <f t="shared" si="11"/>
        <v>0</v>
      </c>
    </row>
    <row r="91" spans="1:18" ht="25.5" x14ac:dyDescent="0.2">
      <c r="A91" s="75">
        <v>81</v>
      </c>
      <c r="B91" s="76" t="s">
        <v>184</v>
      </c>
      <c r="C91" s="98" t="s">
        <v>414</v>
      </c>
      <c r="D91" s="78">
        <f t="shared" si="10"/>
        <v>286</v>
      </c>
      <c r="E91" s="78">
        <f t="shared" si="12"/>
        <v>286</v>
      </c>
      <c r="F91" s="78">
        <v>286</v>
      </c>
      <c r="G91" s="78">
        <v>0</v>
      </c>
      <c r="H91" s="78">
        <f t="shared" si="13"/>
        <v>0</v>
      </c>
      <c r="I91" s="78">
        <v>0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P91" s="80"/>
      <c r="Q91" s="63">
        <v>286</v>
      </c>
      <c r="R91" s="80">
        <f t="shared" si="11"/>
        <v>0</v>
      </c>
    </row>
    <row r="92" spans="1:18" ht="25.5" x14ac:dyDescent="0.2">
      <c r="A92" s="75">
        <v>82</v>
      </c>
      <c r="B92" s="76" t="s">
        <v>185</v>
      </c>
      <c r="C92" s="98" t="s">
        <v>415</v>
      </c>
      <c r="D92" s="78">
        <f t="shared" si="10"/>
        <v>46</v>
      </c>
      <c r="E92" s="78">
        <f t="shared" si="12"/>
        <v>46</v>
      </c>
      <c r="F92" s="78">
        <v>46</v>
      </c>
      <c r="G92" s="78">
        <v>0</v>
      </c>
      <c r="H92" s="78">
        <f t="shared" si="13"/>
        <v>0</v>
      </c>
      <c r="I92" s="78">
        <v>0</v>
      </c>
      <c r="J92" s="78">
        <v>0</v>
      </c>
      <c r="K92" s="78">
        <v>0</v>
      </c>
      <c r="L92" s="78">
        <v>0</v>
      </c>
      <c r="M92" s="78">
        <v>0</v>
      </c>
      <c r="N92" s="78">
        <v>0</v>
      </c>
      <c r="P92" s="80"/>
      <c r="Q92" s="63">
        <v>46</v>
      </c>
      <c r="R92" s="80">
        <f t="shared" si="11"/>
        <v>0</v>
      </c>
    </row>
    <row r="93" spans="1:18" ht="25.5" x14ac:dyDescent="0.2">
      <c r="A93" s="75">
        <v>83</v>
      </c>
      <c r="B93" s="83" t="s">
        <v>106</v>
      </c>
      <c r="C93" s="98" t="s">
        <v>107</v>
      </c>
      <c r="D93" s="78">
        <f t="shared" si="10"/>
        <v>2733</v>
      </c>
      <c r="E93" s="78">
        <f t="shared" si="12"/>
        <v>0</v>
      </c>
      <c r="F93" s="78">
        <v>0</v>
      </c>
      <c r="G93" s="78">
        <v>0</v>
      </c>
      <c r="H93" s="78">
        <f t="shared" si="13"/>
        <v>2733</v>
      </c>
      <c r="I93" s="78">
        <v>0</v>
      </c>
      <c r="J93" s="78">
        <v>0</v>
      </c>
      <c r="K93" s="78">
        <v>0</v>
      </c>
      <c r="L93" s="78">
        <v>0</v>
      </c>
      <c r="M93" s="78">
        <v>1366</v>
      </c>
      <c r="N93" s="78">
        <v>1367</v>
      </c>
      <c r="P93" s="80"/>
      <c r="Q93" s="63">
        <v>2733</v>
      </c>
      <c r="R93" s="80">
        <f t="shared" si="11"/>
        <v>0</v>
      </c>
    </row>
    <row r="94" spans="1:18" ht="12.75" x14ac:dyDescent="0.2">
      <c r="A94" s="75">
        <v>84</v>
      </c>
      <c r="B94" s="76" t="s">
        <v>108</v>
      </c>
      <c r="C94" s="98" t="s">
        <v>416</v>
      </c>
      <c r="D94" s="78">
        <f t="shared" si="10"/>
        <v>0</v>
      </c>
      <c r="E94" s="78">
        <f t="shared" si="12"/>
        <v>0</v>
      </c>
      <c r="F94" s="78">
        <v>0</v>
      </c>
      <c r="G94" s="78">
        <v>0</v>
      </c>
      <c r="H94" s="78">
        <f t="shared" si="13"/>
        <v>0</v>
      </c>
      <c r="I94" s="78">
        <v>0</v>
      </c>
      <c r="J94" s="78">
        <v>0</v>
      </c>
      <c r="K94" s="78">
        <v>0</v>
      </c>
      <c r="L94" s="78">
        <v>0</v>
      </c>
      <c r="M94" s="78">
        <v>0</v>
      </c>
      <c r="N94" s="78">
        <v>0</v>
      </c>
      <c r="P94" s="80"/>
      <c r="Q94" s="63">
        <v>0</v>
      </c>
      <c r="R94" s="80">
        <f t="shared" si="11"/>
        <v>0</v>
      </c>
    </row>
    <row r="95" spans="1:18" ht="12.75" x14ac:dyDescent="0.2">
      <c r="A95" s="75">
        <v>85</v>
      </c>
      <c r="B95" s="83" t="s">
        <v>109</v>
      </c>
      <c r="C95" s="98" t="s">
        <v>417</v>
      </c>
      <c r="D95" s="78">
        <f t="shared" si="10"/>
        <v>6009</v>
      </c>
      <c r="E95" s="78">
        <f t="shared" si="12"/>
        <v>0</v>
      </c>
      <c r="F95" s="78">
        <v>0</v>
      </c>
      <c r="G95" s="78">
        <v>0</v>
      </c>
      <c r="H95" s="78">
        <f t="shared" si="13"/>
        <v>6009</v>
      </c>
      <c r="I95" s="78">
        <v>0</v>
      </c>
      <c r="J95" s="78">
        <v>0</v>
      </c>
      <c r="K95" s="78">
        <v>1800</v>
      </c>
      <c r="L95" s="78">
        <v>0</v>
      </c>
      <c r="M95" s="78">
        <v>4209</v>
      </c>
      <c r="N95" s="78">
        <v>0</v>
      </c>
      <c r="P95" s="80"/>
      <c r="Q95" s="63">
        <v>6009</v>
      </c>
      <c r="R95" s="80">
        <f t="shared" si="11"/>
        <v>0</v>
      </c>
    </row>
    <row r="96" spans="1:18" ht="12.75" x14ac:dyDescent="0.2">
      <c r="A96" s="75">
        <v>86</v>
      </c>
      <c r="B96" s="84" t="s">
        <v>110</v>
      </c>
      <c r="C96" s="106" t="s">
        <v>418</v>
      </c>
      <c r="D96" s="78">
        <f t="shared" si="10"/>
        <v>3588</v>
      </c>
      <c r="E96" s="78">
        <f t="shared" si="12"/>
        <v>0</v>
      </c>
      <c r="F96" s="78">
        <v>0</v>
      </c>
      <c r="G96" s="78">
        <v>0</v>
      </c>
      <c r="H96" s="78">
        <f t="shared" si="13"/>
        <v>3588</v>
      </c>
      <c r="I96" s="78">
        <v>0</v>
      </c>
      <c r="J96" s="78">
        <v>0</v>
      </c>
      <c r="K96" s="78">
        <v>3588</v>
      </c>
      <c r="L96" s="78">
        <v>0</v>
      </c>
      <c r="M96" s="78">
        <v>0</v>
      </c>
      <c r="N96" s="78">
        <v>0</v>
      </c>
      <c r="P96" s="80"/>
      <c r="Q96" s="63">
        <v>3588</v>
      </c>
      <c r="R96" s="80">
        <f t="shared" si="11"/>
        <v>0</v>
      </c>
    </row>
    <row r="97" spans="1:18" ht="12.75" x14ac:dyDescent="0.2">
      <c r="A97" s="75">
        <v>87</v>
      </c>
      <c r="B97" s="76" t="s">
        <v>111</v>
      </c>
      <c r="C97" s="98" t="s">
        <v>419</v>
      </c>
      <c r="D97" s="78">
        <f t="shared" si="10"/>
        <v>0</v>
      </c>
      <c r="E97" s="78">
        <f t="shared" si="12"/>
        <v>0</v>
      </c>
      <c r="F97" s="78">
        <v>0</v>
      </c>
      <c r="G97" s="78">
        <v>0</v>
      </c>
      <c r="H97" s="78">
        <f t="shared" si="13"/>
        <v>0</v>
      </c>
      <c r="I97" s="78">
        <v>0</v>
      </c>
      <c r="J97" s="78">
        <v>0</v>
      </c>
      <c r="K97" s="78">
        <v>0</v>
      </c>
      <c r="L97" s="78">
        <v>0</v>
      </c>
      <c r="M97" s="78">
        <v>0</v>
      </c>
      <c r="N97" s="78">
        <v>0</v>
      </c>
      <c r="P97" s="80"/>
      <c r="Q97" s="63">
        <v>0</v>
      </c>
      <c r="R97" s="80">
        <f t="shared" si="11"/>
        <v>0</v>
      </c>
    </row>
    <row r="98" spans="1:18" ht="12.75" x14ac:dyDescent="0.2">
      <c r="A98" s="75">
        <v>88</v>
      </c>
      <c r="B98" s="76" t="s">
        <v>112</v>
      </c>
      <c r="C98" s="98" t="s">
        <v>420</v>
      </c>
      <c r="D98" s="78">
        <f t="shared" si="10"/>
        <v>5097</v>
      </c>
      <c r="E98" s="78">
        <f t="shared" si="12"/>
        <v>0</v>
      </c>
      <c r="F98" s="78">
        <v>0</v>
      </c>
      <c r="G98" s="78">
        <v>0</v>
      </c>
      <c r="H98" s="78">
        <f t="shared" si="13"/>
        <v>5097</v>
      </c>
      <c r="I98" s="78">
        <v>0</v>
      </c>
      <c r="J98" s="78">
        <v>0</v>
      </c>
      <c r="K98" s="78">
        <v>366</v>
      </c>
      <c r="L98" s="78">
        <v>0</v>
      </c>
      <c r="M98" s="78">
        <v>4731</v>
      </c>
      <c r="N98" s="78">
        <v>0</v>
      </c>
      <c r="P98" s="80"/>
      <c r="Q98" s="63">
        <v>5097</v>
      </c>
      <c r="R98" s="80">
        <f t="shared" si="11"/>
        <v>0</v>
      </c>
    </row>
    <row r="99" spans="1:18" ht="12.75" x14ac:dyDescent="0.2">
      <c r="A99" s="75">
        <v>89</v>
      </c>
      <c r="B99" s="84" t="s">
        <v>113</v>
      </c>
      <c r="C99" s="106" t="s">
        <v>421</v>
      </c>
      <c r="D99" s="78">
        <f t="shared" si="10"/>
        <v>0</v>
      </c>
      <c r="E99" s="78">
        <f t="shared" si="12"/>
        <v>0</v>
      </c>
      <c r="F99" s="78">
        <v>0</v>
      </c>
      <c r="G99" s="78">
        <v>0</v>
      </c>
      <c r="H99" s="78">
        <f t="shared" si="13"/>
        <v>0</v>
      </c>
      <c r="I99" s="78">
        <v>0</v>
      </c>
      <c r="J99" s="78">
        <v>0</v>
      </c>
      <c r="K99" s="78">
        <v>0</v>
      </c>
      <c r="L99" s="78">
        <v>0</v>
      </c>
      <c r="M99" s="78">
        <v>0</v>
      </c>
      <c r="N99" s="78">
        <v>0</v>
      </c>
      <c r="P99" s="80"/>
      <c r="Q99" s="63">
        <v>0</v>
      </c>
      <c r="R99" s="80">
        <f t="shared" si="11"/>
        <v>0</v>
      </c>
    </row>
    <row r="100" spans="1:18" ht="12.75" x14ac:dyDescent="0.2">
      <c r="A100" s="75">
        <v>90</v>
      </c>
      <c r="B100" s="76" t="s">
        <v>9</v>
      </c>
      <c r="C100" s="98" t="s">
        <v>422</v>
      </c>
      <c r="D100" s="78">
        <f t="shared" si="10"/>
        <v>145</v>
      </c>
      <c r="E100" s="78">
        <f t="shared" si="12"/>
        <v>0</v>
      </c>
      <c r="F100" s="78">
        <v>0</v>
      </c>
      <c r="G100" s="78">
        <v>0</v>
      </c>
      <c r="H100" s="78">
        <f t="shared" si="13"/>
        <v>145</v>
      </c>
      <c r="I100" s="78">
        <v>0</v>
      </c>
      <c r="J100" s="78">
        <v>0</v>
      </c>
      <c r="K100" s="78">
        <f>84-84</f>
        <v>0</v>
      </c>
      <c r="L100" s="78">
        <v>0</v>
      </c>
      <c r="M100" s="78">
        <v>145</v>
      </c>
      <c r="N100" s="78">
        <v>0</v>
      </c>
      <c r="P100" s="80"/>
      <c r="Q100" s="63">
        <v>145</v>
      </c>
      <c r="R100" s="80">
        <f t="shared" si="11"/>
        <v>0</v>
      </c>
    </row>
    <row r="101" spans="1:18" ht="12.75" x14ac:dyDescent="0.2">
      <c r="A101" s="75">
        <v>91</v>
      </c>
      <c r="B101" s="84" t="s">
        <v>114</v>
      </c>
      <c r="C101" s="106" t="s">
        <v>423</v>
      </c>
      <c r="D101" s="78">
        <f t="shared" si="10"/>
        <v>0</v>
      </c>
      <c r="E101" s="78">
        <f t="shared" si="12"/>
        <v>0</v>
      </c>
      <c r="F101" s="78">
        <v>0</v>
      </c>
      <c r="G101" s="78">
        <v>0</v>
      </c>
      <c r="H101" s="78">
        <f t="shared" si="13"/>
        <v>0</v>
      </c>
      <c r="I101" s="78">
        <v>0</v>
      </c>
      <c r="J101" s="78">
        <v>0</v>
      </c>
      <c r="K101" s="78">
        <v>0</v>
      </c>
      <c r="L101" s="78">
        <v>0</v>
      </c>
      <c r="M101" s="78">
        <v>0</v>
      </c>
      <c r="N101" s="78">
        <v>0</v>
      </c>
      <c r="P101" s="80"/>
      <c r="Q101" s="63">
        <v>0</v>
      </c>
      <c r="R101" s="80">
        <f t="shared" si="11"/>
        <v>0</v>
      </c>
    </row>
    <row r="102" spans="1:18" x14ac:dyDescent="0.2">
      <c r="A102" s="75">
        <v>92</v>
      </c>
      <c r="B102" s="94" t="s">
        <v>324</v>
      </c>
      <c r="C102" s="86" t="s">
        <v>424</v>
      </c>
      <c r="D102" s="78">
        <f t="shared" si="10"/>
        <v>0</v>
      </c>
      <c r="E102" s="78">
        <f t="shared" si="12"/>
        <v>0</v>
      </c>
      <c r="F102" s="78">
        <v>0</v>
      </c>
      <c r="G102" s="78">
        <v>0</v>
      </c>
      <c r="H102" s="78">
        <f t="shared" si="13"/>
        <v>0</v>
      </c>
      <c r="I102" s="78">
        <v>0</v>
      </c>
      <c r="J102" s="78">
        <v>0</v>
      </c>
      <c r="K102" s="78">
        <v>0</v>
      </c>
      <c r="L102" s="78">
        <v>0</v>
      </c>
      <c r="M102" s="78">
        <v>0</v>
      </c>
      <c r="N102" s="78">
        <v>0</v>
      </c>
      <c r="P102" s="80"/>
      <c r="R102" s="80">
        <f t="shared" si="11"/>
        <v>0</v>
      </c>
    </row>
    <row r="103" spans="1:18" ht="25.5" x14ac:dyDescent="0.2">
      <c r="A103" s="75">
        <v>93</v>
      </c>
      <c r="B103" s="83" t="s">
        <v>115</v>
      </c>
      <c r="C103" s="98" t="s">
        <v>116</v>
      </c>
      <c r="D103" s="78">
        <f t="shared" si="10"/>
        <v>0</v>
      </c>
      <c r="E103" s="78">
        <f t="shared" si="12"/>
        <v>0</v>
      </c>
      <c r="F103" s="78">
        <v>0</v>
      </c>
      <c r="G103" s="78">
        <v>0</v>
      </c>
      <c r="H103" s="78">
        <f t="shared" si="13"/>
        <v>0</v>
      </c>
      <c r="I103" s="78">
        <v>0</v>
      </c>
      <c r="J103" s="78">
        <v>0</v>
      </c>
      <c r="K103" s="78">
        <v>0</v>
      </c>
      <c r="L103" s="78">
        <v>0</v>
      </c>
      <c r="M103" s="78">
        <v>0</v>
      </c>
      <c r="N103" s="78">
        <v>0</v>
      </c>
      <c r="P103" s="80"/>
      <c r="Q103" s="63">
        <v>0</v>
      </c>
      <c r="R103" s="80">
        <f t="shared" si="11"/>
        <v>0</v>
      </c>
    </row>
    <row r="104" spans="1:18" ht="25.5" x14ac:dyDescent="0.2">
      <c r="A104" s="75">
        <v>94</v>
      </c>
      <c r="B104" s="76" t="s">
        <v>186</v>
      </c>
      <c r="C104" s="105" t="s">
        <v>425</v>
      </c>
      <c r="D104" s="78">
        <f t="shared" si="10"/>
        <v>0</v>
      </c>
      <c r="E104" s="78">
        <f t="shared" si="12"/>
        <v>0</v>
      </c>
      <c r="F104" s="78">
        <v>0</v>
      </c>
      <c r="G104" s="78">
        <v>0</v>
      </c>
      <c r="H104" s="78">
        <f t="shared" si="13"/>
        <v>0</v>
      </c>
      <c r="I104" s="78">
        <v>0</v>
      </c>
      <c r="J104" s="78">
        <v>0</v>
      </c>
      <c r="K104" s="78">
        <v>0</v>
      </c>
      <c r="L104" s="78">
        <v>0</v>
      </c>
      <c r="M104" s="78">
        <v>0</v>
      </c>
      <c r="N104" s="78">
        <v>0</v>
      </c>
      <c r="P104" s="80"/>
      <c r="Q104" s="63">
        <v>0</v>
      </c>
      <c r="R104" s="80">
        <f t="shared" si="11"/>
        <v>0</v>
      </c>
    </row>
    <row r="105" spans="1:18" ht="12.75" x14ac:dyDescent="0.2">
      <c r="A105" s="75">
        <v>95</v>
      </c>
      <c r="B105" s="76" t="s">
        <v>117</v>
      </c>
      <c r="C105" s="106" t="s">
        <v>426</v>
      </c>
      <c r="D105" s="78">
        <f t="shared" si="10"/>
        <v>0</v>
      </c>
      <c r="E105" s="78">
        <f t="shared" si="12"/>
        <v>0</v>
      </c>
      <c r="F105" s="78">
        <v>0</v>
      </c>
      <c r="G105" s="78">
        <v>0</v>
      </c>
      <c r="H105" s="78">
        <f t="shared" si="13"/>
        <v>0</v>
      </c>
      <c r="I105" s="78">
        <v>0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P105" s="80"/>
      <c r="Q105" s="63">
        <v>0</v>
      </c>
      <c r="R105" s="80">
        <f t="shared" si="11"/>
        <v>0</v>
      </c>
    </row>
    <row r="106" spans="1:18" ht="12.75" x14ac:dyDescent="0.2">
      <c r="A106" s="75">
        <v>96</v>
      </c>
      <c r="B106" s="83" t="s">
        <v>118</v>
      </c>
      <c r="C106" s="98" t="s">
        <v>427</v>
      </c>
      <c r="D106" s="78">
        <f t="shared" si="10"/>
        <v>88</v>
      </c>
      <c r="E106" s="78">
        <f t="shared" si="12"/>
        <v>0</v>
      </c>
      <c r="F106" s="78">
        <v>0</v>
      </c>
      <c r="G106" s="78">
        <v>0</v>
      </c>
      <c r="H106" s="78">
        <f t="shared" si="13"/>
        <v>88</v>
      </c>
      <c r="I106" s="78">
        <v>0</v>
      </c>
      <c r="J106" s="78">
        <v>0</v>
      </c>
      <c r="K106" s="78">
        <v>0</v>
      </c>
      <c r="L106" s="78">
        <v>0</v>
      </c>
      <c r="M106" s="78">
        <v>88</v>
      </c>
      <c r="N106" s="78">
        <v>0</v>
      </c>
      <c r="P106" s="80"/>
      <c r="Q106" s="63">
        <v>88</v>
      </c>
      <c r="R106" s="80">
        <f t="shared" si="11"/>
        <v>0</v>
      </c>
    </row>
    <row r="107" spans="1:18" ht="12.75" x14ac:dyDescent="0.2">
      <c r="A107" s="75">
        <v>97</v>
      </c>
      <c r="B107" s="76" t="s">
        <v>119</v>
      </c>
      <c r="C107" s="140" t="s">
        <v>120</v>
      </c>
      <c r="D107" s="78">
        <f t="shared" si="10"/>
        <v>1437</v>
      </c>
      <c r="E107" s="78">
        <f t="shared" si="12"/>
        <v>0</v>
      </c>
      <c r="F107" s="78">
        <v>0</v>
      </c>
      <c r="G107" s="78">
        <v>0</v>
      </c>
      <c r="H107" s="78">
        <f t="shared" si="13"/>
        <v>1437</v>
      </c>
      <c r="I107" s="78">
        <v>900</v>
      </c>
      <c r="J107" s="78">
        <v>0</v>
      </c>
      <c r="K107" s="78">
        <v>109</v>
      </c>
      <c r="L107" s="78">
        <v>428</v>
      </c>
      <c r="M107" s="78">
        <v>0</v>
      </c>
      <c r="N107" s="78">
        <v>0</v>
      </c>
      <c r="P107" s="80"/>
      <c r="Q107" s="63">
        <v>1437</v>
      </c>
      <c r="R107" s="80">
        <f t="shared" ref="R107:R138" si="14">Q107-D107</f>
        <v>0</v>
      </c>
    </row>
    <row r="108" spans="1:18" ht="12.75" x14ac:dyDescent="0.2">
      <c r="A108" s="75">
        <v>98</v>
      </c>
      <c r="B108" s="83" t="s">
        <v>121</v>
      </c>
      <c r="C108" s="98" t="s">
        <v>122</v>
      </c>
      <c r="D108" s="78">
        <f t="shared" si="10"/>
        <v>3854</v>
      </c>
      <c r="E108" s="78">
        <f t="shared" si="12"/>
        <v>0</v>
      </c>
      <c r="F108" s="78">
        <v>0</v>
      </c>
      <c r="G108" s="78">
        <v>0</v>
      </c>
      <c r="H108" s="78">
        <f t="shared" si="13"/>
        <v>3854</v>
      </c>
      <c r="I108" s="78">
        <v>0</v>
      </c>
      <c r="J108" s="78">
        <v>0</v>
      </c>
      <c r="K108" s="78">
        <v>27</v>
      </c>
      <c r="L108" s="78">
        <v>0</v>
      </c>
      <c r="M108" s="78">
        <v>3827</v>
      </c>
      <c r="N108" s="78">
        <v>0</v>
      </c>
      <c r="P108" s="80"/>
      <c r="Q108" s="63">
        <v>3854</v>
      </c>
      <c r="R108" s="80">
        <f t="shared" si="14"/>
        <v>0</v>
      </c>
    </row>
    <row r="109" spans="1:18" ht="12.75" x14ac:dyDescent="0.2">
      <c r="A109" s="75">
        <v>99</v>
      </c>
      <c r="B109" s="83" t="s">
        <v>123</v>
      </c>
      <c r="C109" s="98" t="s">
        <v>124</v>
      </c>
      <c r="D109" s="78">
        <f t="shared" si="10"/>
        <v>3024</v>
      </c>
      <c r="E109" s="78">
        <f t="shared" si="12"/>
        <v>0</v>
      </c>
      <c r="F109" s="78">
        <v>0</v>
      </c>
      <c r="G109" s="78">
        <v>0</v>
      </c>
      <c r="H109" s="78">
        <f t="shared" si="13"/>
        <v>3024</v>
      </c>
      <c r="I109" s="78">
        <v>0</v>
      </c>
      <c r="J109" s="78">
        <v>0</v>
      </c>
      <c r="K109" s="78">
        <v>343</v>
      </c>
      <c r="L109" s="78">
        <v>0</v>
      </c>
      <c r="M109" s="78">
        <v>2681</v>
      </c>
      <c r="N109" s="78">
        <v>0</v>
      </c>
      <c r="P109" s="80"/>
      <c r="Q109" s="63">
        <v>3024</v>
      </c>
      <c r="R109" s="80">
        <f t="shared" si="14"/>
        <v>0</v>
      </c>
    </row>
    <row r="110" spans="1:18" ht="12.75" x14ac:dyDescent="0.2">
      <c r="A110" s="75">
        <v>100</v>
      </c>
      <c r="B110" s="76" t="s">
        <v>125</v>
      </c>
      <c r="C110" s="106" t="s">
        <v>126</v>
      </c>
      <c r="D110" s="78">
        <f t="shared" si="10"/>
        <v>1574</v>
      </c>
      <c r="E110" s="78">
        <f t="shared" si="12"/>
        <v>0</v>
      </c>
      <c r="F110" s="78">
        <v>0</v>
      </c>
      <c r="G110" s="78">
        <v>0</v>
      </c>
      <c r="H110" s="78">
        <f t="shared" si="13"/>
        <v>1574</v>
      </c>
      <c r="I110" s="78">
        <v>0</v>
      </c>
      <c r="J110" s="78">
        <v>0</v>
      </c>
      <c r="K110" s="78">
        <v>86</v>
      </c>
      <c r="L110" s="78">
        <v>33</v>
      </c>
      <c r="M110" s="78">
        <v>1001</v>
      </c>
      <c r="N110" s="78">
        <v>454</v>
      </c>
      <c r="P110" s="80"/>
      <c r="Q110" s="63">
        <v>1574</v>
      </c>
      <c r="R110" s="80">
        <f t="shared" si="14"/>
        <v>0</v>
      </c>
    </row>
    <row r="111" spans="1:18" ht="12.75" x14ac:dyDescent="0.2">
      <c r="A111" s="75">
        <v>101</v>
      </c>
      <c r="B111" s="76" t="s">
        <v>127</v>
      </c>
      <c r="C111" s="105" t="s">
        <v>128</v>
      </c>
      <c r="D111" s="78">
        <f t="shared" si="10"/>
        <v>2094</v>
      </c>
      <c r="E111" s="78">
        <f t="shared" si="12"/>
        <v>0</v>
      </c>
      <c r="F111" s="78">
        <v>0</v>
      </c>
      <c r="G111" s="78">
        <v>0</v>
      </c>
      <c r="H111" s="78">
        <f t="shared" si="13"/>
        <v>2094</v>
      </c>
      <c r="I111" s="78">
        <v>728</v>
      </c>
      <c r="J111" s="78">
        <v>0</v>
      </c>
      <c r="K111" s="78">
        <v>265</v>
      </c>
      <c r="L111" s="78">
        <v>0</v>
      </c>
      <c r="M111" s="78">
        <v>1101</v>
      </c>
      <c r="N111" s="78">
        <v>0</v>
      </c>
      <c r="P111" s="80"/>
      <c r="Q111" s="63">
        <v>2094</v>
      </c>
      <c r="R111" s="80">
        <f t="shared" si="14"/>
        <v>0</v>
      </c>
    </row>
    <row r="112" spans="1:18" ht="12.75" x14ac:dyDescent="0.2">
      <c r="A112" s="75">
        <v>102</v>
      </c>
      <c r="B112" s="76" t="s">
        <v>129</v>
      </c>
      <c r="C112" s="105" t="s">
        <v>130</v>
      </c>
      <c r="D112" s="78">
        <f t="shared" si="10"/>
        <v>6099</v>
      </c>
      <c r="E112" s="78">
        <f t="shared" si="12"/>
        <v>0</v>
      </c>
      <c r="F112" s="78">
        <v>0</v>
      </c>
      <c r="G112" s="78">
        <v>0</v>
      </c>
      <c r="H112" s="78">
        <f t="shared" si="13"/>
        <v>6099</v>
      </c>
      <c r="I112" s="78">
        <v>0</v>
      </c>
      <c r="J112" s="78">
        <v>0</v>
      </c>
      <c r="K112" s="78">
        <v>2595</v>
      </c>
      <c r="L112" s="78">
        <v>3404</v>
      </c>
      <c r="M112" s="78">
        <v>0</v>
      </c>
      <c r="N112" s="78">
        <v>100</v>
      </c>
      <c r="P112" s="80"/>
      <c r="Q112" s="63">
        <v>6099</v>
      </c>
      <c r="R112" s="80">
        <f t="shared" si="14"/>
        <v>0</v>
      </c>
    </row>
    <row r="113" spans="1:18" ht="12.75" x14ac:dyDescent="0.2">
      <c r="A113" s="75">
        <v>103</v>
      </c>
      <c r="B113" s="76" t="s">
        <v>131</v>
      </c>
      <c r="C113" s="105" t="s">
        <v>132</v>
      </c>
      <c r="D113" s="78">
        <f t="shared" si="10"/>
        <v>9045</v>
      </c>
      <c r="E113" s="78">
        <f t="shared" si="12"/>
        <v>0</v>
      </c>
      <c r="F113" s="78">
        <v>0</v>
      </c>
      <c r="G113" s="78">
        <v>0</v>
      </c>
      <c r="H113" s="78">
        <f t="shared" si="13"/>
        <v>9045</v>
      </c>
      <c r="I113" s="78">
        <v>0</v>
      </c>
      <c r="J113" s="78">
        <v>0</v>
      </c>
      <c r="K113" s="78">
        <v>358</v>
      </c>
      <c r="L113" s="78">
        <v>43</v>
      </c>
      <c r="M113" s="78">
        <v>5955</v>
      </c>
      <c r="N113" s="78">
        <v>2689</v>
      </c>
      <c r="P113" s="80"/>
      <c r="Q113" s="63">
        <v>9045</v>
      </c>
      <c r="R113" s="80">
        <f t="shared" si="14"/>
        <v>0</v>
      </c>
    </row>
    <row r="114" spans="1:18" ht="12.75" x14ac:dyDescent="0.2">
      <c r="A114" s="75">
        <v>104</v>
      </c>
      <c r="B114" s="83" t="s">
        <v>133</v>
      </c>
      <c r="C114" s="98" t="s">
        <v>134</v>
      </c>
      <c r="D114" s="78">
        <f t="shared" si="10"/>
        <v>1752</v>
      </c>
      <c r="E114" s="78">
        <f t="shared" si="12"/>
        <v>0</v>
      </c>
      <c r="F114" s="78">
        <v>0</v>
      </c>
      <c r="G114" s="78">
        <v>0</v>
      </c>
      <c r="H114" s="78">
        <f t="shared" si="13"/>
        <v>1752</v>
      </c>
      <c r="I114" s="78">
        <v>0</v>
      </c>
      <c r="J114" s="78">
        <v>0</v>
      </c>
      <c r="K114" s="78">
        <v>1752</v>
      </c>
      <c r="L114" s="78">
        <v>0</v>
      </c>
      <c r="M114" s="78">
        <v>0</v>
      </c>
      <c r="N114" s="78">
        <v>0</v>
      </c>
      <c r="P114" s="80"/>
      <c r="Q114" s="63">
        <v>1752</v>
      </c>
      <c r="R114" s="80">
        <f t="shared" si="14"/>
        <v>0</v>
      </c>
    </row>
    <row r="115" spans="1:18" ht="12.75" x14ac:dyDescent="0.2">
      <c r="A115" s="75">
        <v>105</v>
      </c>
      <c r="B115" s="84" t="s">
        <v>135</v>
      </c>
      <c r="C115" s="106" t="s">
        <v>136</v>
      </c>
      <c r="D115" s="78">
        <f t="shared" si="10"/>
        <v>4188</v>
      </c>
      <c r="E115" s="78">
        <f t="shared" si="12"/>
        <v>0</v>
      </c>
      <c r="F115" s="78">
        <v>0</v>
      </c>
      <c r="G115" s="78">
        <v>0</v>
      </c>
      <c r="H115" s="78">
        <f t="shared" si="13"/>
        <v>4188</v>
      </c>
      <c r="I115" s="78">
        <v>1031</v>
      </c>
      <c r="J115" s="78">
        <v>0</v>
      </c>
      <c r="K115" s="78">
        <v>84</v>
      </c>
      <c r="L115" s="78">
        <v>29</v>
      </c>
      <c r="M115" s="78">
        <v>3044</v>
      </c>
      <c r="N115" s="78">
        <v>0</v>
      </c>
      <c r="P115" s="80"/>
      <c r="Q115" s="63">
        <v>4188</v>
      </c>
      <c r="R115" s="80">
        <f t="shared" si="14"/>
        <v>0</v>
      </c>
    </row>
    <row r="116" spans="1:18" ht="12.75" x14ac:dyDescent="0.2">
      <c r="A116" s="75">
        <v>106</v>
      </c>
      <c r="B116" s="76" t="s">
        <v>137</v>
      </c>
      <c r="C116" s="105" t="s">
        <v>138</v>
      </c>
      <c r="D116" s="78">
        <f t="shared" si="10"/>
        <v>3999</v>
      </c>
      <c r="E116" s="78">
        <f t="shared" si="12"/>
        <v>0</v>
      </c>
      <c r="F116" s="78">
        <v>0</v>
      </c>
      <c r="G116" s="78">
        <v>0</v>
      </c>
      <c r="H116" s="78">
        <f t="shared" si="13"/>
        <v>3999</v>
      </c>
      <c r="I116" s="78">
        <v>0</v>
      </c>
      <c r="J116" s="78">
        <v>0</v>
      </c>
      <c r="K116" s="78">
        <v>459</v>
      </c>
      <c r="L116" s="78">
        <v>142</v>
      </c>
      <c r="M116" s="78">
        <v>2230</v>
      </c>
      <c r="N116" s="78">
        <v>1168</v>
      </c>
      <c r="P116" s="80"/>
      <c r="Q116" s="63">
        <v>3999</v>
      </c>
      <c r="R116" s="80">
        <f t="shared" si="14"/>
        <v>0</v>
      </c>
    </row>
    <row r="117" spans="1:18" ht="12.75" x14ac:dyDescent="0.2">
      <c r="A117" s="75">
        <v>107</v>
      </c>
      <c r="B117" s="76" t="s">
        <v>139</v>
      </c>
      <c r="C117" s="105" t="s">
        <v>140</v>
      </c>
      <c r="D117" s="78">
        <f t="shared" si="10"/>
        <v>7716</v>
      </c>
      <c r="E117" s="78">
        <f t="shared" si="12"/>
        <v>0</v>
      </c>
      <c r="F117" s="78">
        <v>0</v>
      </c>
      <c r="G117" s="78">
        <v>0</v>
      </c>
      <c r="H117" s="78">
        <f t="shared" si="13"/>
        <v>7716</v>
      </c>
      <c r="I117" s="78">
        <v>0</v>
      </c>
      <c r="J117" s="78">
        <v>0</v>
      </c>
      <c r="K117" s="78">
        <v>2375</v>
      </c>
      <c r="L117" s="78">
        <v>1500</v>
      </c>
      <c r="M117" s="78">
        <v>1841</v>
      </c>
      <c r="N117" s="78">
        <v>2000</v>
      </c>
      <c r="P117" s="80"/>
      <c r="Q117" s="63">
        <v>7716</v>
      </c>
      <c r="R117" s="80">
        <f t="shared" si="14"/>
        <v>0</v>
      </c>
    </row>
    <row r="118" spans="1:18" ht="12.75" x14ac:dyDescent="0.2">
      <c r="A118" s="75">
        <v>108</v>
      </c>
      <c r="B118" s="83" t="s">
        <v>141</v>
      </c>
      <c r="C118" s="98" t="s">
        <v>142</v>
      </c>
      <c r="D118" s="78">
        <f t="shared" si="10"/>
        <v>1255</v>
      </c>
      <c r="E118" s="78">
        <f t="shared" si="12"/>
        <v>0</v>
      </c>
      <c r="F118" s="78">
        <v>0</v>
      </c>
      <c r="G118" s="78">
        <v>0</v>
      </c>
      <c r="H118" s="78">
        <f t="shared" si="13"/>
        <v>1255</v>
      </c>
      <c r="I118" s="78">
        <v>0</v>
      </c>
      <c r="J118" s="78">
        <v>0</v>
      </c>
      <c r="K118" s="78">
        <v>668</v>
      </c>
      <c r="L118" s="78">
        <v>125</v>
      </c>
      <c r="M118" s="78">
        <v>462</v>
      </c>
      <c r="N118" s="78">
        <v>0</v>
      </c>
      <c r="P118" s="80"/>
      <c r="Q118" s="63">
        <v>1255</v>
      </c>
      <c r="R118" s="80">
        <f t="shared" si="14"/>
        <v>0</v>
      </c>
    </row>
    <row r="119" spans="1:18" ht="12.75" x14ac:dyDescent="0.2">
      <c r="A119" s="75">
        <v>109</v>
      </c>
      <c r="B119" s="83" t="s">
        <v>143</v>
      </c>
      <c r="C119" s="98" t="s">
        <v>144</v>
      </c>
      <c r="D119" s="78">
        <f t="shared" si="10"/>
        <v>5478</v>
      </c>
      <c r="E119" s="78">
        <f t="shared" si="12"/>
        <v>0</v>
      </c>
      <c r="F119" s="78">
        <v>0</v>
      </c>
      <c r="G119" s="78">
        <v>0</v>
      </c>
      <c r="H119" s="78">
        <f t="shared" si="13"/>
        <v>5478</v>
      </c>
      <c r="I119" s="78">
        <v>0</v>
      </c>
      <c r="J119" s="78">
        <v>0</v>
      </c>
      <c r="K119" s="78">
        <v>525</v>
      </c>
      <c r="L119" s="78">
        <v>42</v>
      </c>
      <c r="M119" s="78">
        <v>4611</v>
      </c>
      <c r="N119" s="78">
        <v>300</v>
      </c>
      <c r="P119" s="80"/>
      <c r="Q119" s="63">
        <v>5478</v>
      </c>
      <c r="R119" s="80">
        <f t="shared" si="14"/>
        <v>0</v>
      </c>
    </row>
    <row r="120" spans="1:18" ht="12.75" x14ac:dyDescent="0.2">
      <c r="A120" s="75">
        <v>110</v>
      </c>
      <c r="B120" s="76" t="s">
        <v>145</v>
      </c>
      <c r="C120" s="105" t="s">
        <v>146</v>
      </c>
      <c r="D120" s="78">
        <f t="shared" si="10"/>
        <v>2747</v>
      </c>
      <c r="E120" s="78">
        <f t="shared" si="12"/>
        <v>0</v>
      </c>
      <c r="F120" s="78">
        <v>0</v>
      </c>
      <c r="G120" s="78">
        <v>0</v>
      </c>
      <c r="H120" s="78">
        <f t="shared" si="13"/>
        <v>2747</v>
      </c>
      <c r="I120" s="78">
        <v>0</v>
      </c>
      <c r="J120" s="78">
        <v>0</v>
      </c>
      <c r="K120" s="78">
        <v>1948</v>
      </c>
      <c r="L120" s="78">
        <v>0</v>
      </c>
      <c r="M120" s="78">
        <v>799</v>
      </c>
      <c r="N120" s="78">
        <v>0</v>
      </c>
      <c r="P120" s="80"/>
      <c r="Q120" s="63">
        <v>2747</v>
      </c>
      <c r="R120" s="80">
        <f t="shared" si="14"/>
        <v>0</v>
      </c>
    </row>
    <row r="121" spans="1:18" ht="12.75" x14ac:dyDescent="0.2">
      <c r="A121" s="75">
        <v>111</v>
      </c>
      <c r="B121" s="76" t="s">
        <v>147</v>
      </c>
      <c r="C121" s="105" t="s">
        <v>428</v>
      </c>
      <c r="D121" s="78">
        <f t="shared" si="10"/>
        <v>4487</v>
      </c>
      <c r="E121" s="78">
        <f t="shared" si="12"/>
        <v>0</v>
      </c>
      <c r="F121" s="78">
        <v>0</v>
      </c>
      <c r="G121" s="78">
        <v>0</v>
      </c>
      <c r="H121" s="78">
        <f t="shared" si="13"/>
        <v>4487</v>
      </c>
      <c r="I121" s="78">
        <v>0</v>
      </c>
      <c r="J121" s="78">
        <v>0</v>
      </c>
      <c r="K121" s="78">
        <v>1900</v>
      </c>
      <c r="L121" s="78">
        <v>55</v>
      </c>
      <c r="M121" s="78">
        <v>2532</v>
      </c>
      <c r="N121" s="78">
        <v>0</v>
      </c>
      <c r="P121" s="80"/>
      <c r="Q121" s="63">
        <v>4487</v>
      </c>
      <c r="R121" s="80">
        <f t="shared" si="14"/>
        <v>0</v>
      </c>
    </row>
    <row r="122" spans="1:18" ht="12.75" x14ac:dyDescent="0.2">
      <c r="A122" s="75">
        <v>112</v>
      </c>
      <c r="B122" s="76" t="s">
        <v>187</v>
      </c>
      <c r="C122" s="98" t="s">
        <v>429</v>
      </c>
      <c r="D122" s="78">
        <f t="shared" si="10"/>
        <v>0</v>
      </c>
      <c r="E122" s="78">
        <f t="shared" si="12"/>
        <v>0</v>
      </c>
      <c r="F122" s="78">
        <v>0</v>
      </c>
      <c r="G122" s="78">
        <v>0</v>
      </c>
      <c r="H122" s="78">
        <f t="shared" si="13"/>
        <v>0</v>
      </c>
      <c r="I122" s="78">
        <v>0</v>
      </c>
      <c r="J122" s="78">
        <v>0</v>
      </c>
      <c r="K122" s="78">
        <v>0</v>
      </c>
      <c r="L122" s="78">
        <v>0</v>
      </c>
      <c r="M122" s="78">
        <v>0</v>
      </c>
      <c r="N122" s="78">
        <v>0</v>
      </c>
      <c r="P122" s="80"/>
      <c r="Q122" s="63">
        <v>0</v>
      </c>
      <c r="R122" s="80">
        <f t="shared" si="14"/>
        <v>0</v>
      </c>
    </row>
    <row r="123" spans="1:18" x14ac:dyDescent="0.2">
      <c r="A123" s="75">
        <v>113</v>
      </c>
      <c r="B123" s="85" t="s">
        <v>326</v>
      </c>
      <c r="C123" s="82" t="s">
        <v>327</v>
      </c>
      <c r="D123" s="78">
        <f t="shared" si="10"/>
        <v>0</v>
      </c>
      <c r="E123" s="78">
        <f t="shared" si="12"/>
        <v>0</v>
      </c>
      <c r="F123" s="78">
        <v>0</v>
      </c>
      <c r="G123" s="78">
        <v>0</v>
      </c>
      <c r="H123" s="78">
        <f t="shared" si="13"/>
        <v>0</v>
      </c>
      <c r="I123" s="78">
        <v>0</v>
      </c>
      <c r="J123" s="78">
        <v>0</v>
      </c>
      <c r="K123" s="78">
        <v>0</v>
      </c>
      <c r="L123" s="78">
        <v>0</v>
      </c>
      <c r="M123" s="78">
        <v>0</v>
      </c>
      <c r="N123" s="78">
        <v>0</v>
      </c>
      <c r="P123" s="80"/>
      <c r="R123" s="80">
        <f t="shared" si="14"/>
        <v>0</v>
      </c>
    </row>
    <row r="124" spans="1:18" ht="12.75" x14ac:dyDescent="0.2">
      <c r="A124" s="75">
        <v>114</v>
      </c>
      <c r="B124" s="83" t="s">
        <v>188</v>
      </c>
      <c r="C124" s="98" t="s">
        <v>430</v>
      </c>
      <c r="D124" s="78">
        <f t="shared" si="10"/>
        <v>0</v>
      </c>
      <c r="E124" s="78">
        <f t="shared" si="12"/>
        <v>0</v>
      </c>
      <c r="F124" s="78">
        <v>0</v>
      </c>
      <c r="G124" s="78">
        <v>0</v>
      </c>
      <c r="H124" s="78">
        <f t="shared" si="13"/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P124" s="80"/>
      <c r="Q124" s="63">
        <v>0</v>
      </c>
      <c r="R124" s="80">
        <f t="shared" si="14"/>
        <v>0</v>
      </c>
    </row>
    <row r="125" spans="1:18" ht="12.75" x14ac:dyDescent="0.2">
      <c r="A125" s="75">
        <v>115</v>
      </c>
      <c r="B125" s="83" t="s">
        <v>189</v>
      </c>
      <c r="C125" s="98" t="s">
        <v>431</v>
      </c>
      <c r="D125" s="78">
        <f t="shared" si="10"/>
        <v>0</v>
      </c>
      <c r="E125" s="78">
        <f t="shared" si="12"/>
        <v>0</v>
      </c>
      <c r="F125" s="78">
        <v>0</v>
      </c>
      <c r="G125" s="78">
        <v>0</v>
      </c>
      <c r="H125" s="78">
        <f t="shared" si="13"/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P125" s="80"/>
      <c r="Q125" s="63">
        <v>0</v>
      </c>
      <c r="R125" s="80">
        <f t="shared" si="14"/>
        <v>0</v>
      </c>
    </row>
    <row r="126" spans="1:18" x14ac:dyDescent="0.2">
      <c r="A126" s="75">
        <v>116</v>
      </c>
      <c r="B126" s="97" t="s">
        <v>328</v>
      </c>
      <c r="C126" s="86" t="s">
        <v>329</v>
      </c>
      <c r="D126" s="78">
        <f t="shared" si="10"/>
        <v>0</v>
      </c>
      <c r="E126" s="78">
        <f t="shared" si="12"/>
        <v>0</v>
      </c>
      <c r="F126" s="78">
        <v>0</v>
      </c>
      <c r="G126" s="78">
        <v>0</v>
      </c>
      <c r="H126" s="78">
        <f t="shared" si="13"/>
        <v>0</v>
      </c>
      <c r="I126" s="78">
        <v>0</v>
      </c>
      <c r="J126" s="78">
        <v>0</v>
      </c>
      <c r="K126" s="78">
        <v>0</v>
      </c>
      <c r="L126" s="78">
        <v>0</v>
      </c>
      <c r="M126" s="78">
        <v>0</v>
      </c>
      <c r="N126" s="78">
        <v>0</v>
      </c>
      <c r="P126" s="80"/>
      <c r="R126" s="80">
        <f t="shared" si="14"/>
        <v>0</v>
      </c>
    </row>
    <row r="127" spans="1:18" ht="24" x14ac:dyDescent="0.2">
      <c r="A127" s="75">
        <v>117</v>
      </c>
      <c r="B127" s="97" t="s">
        <v>190</v>
      </c>
      <c r="C127" s="86" t="s">
        <v>432</v>
      </c>
      <c r="D127" s="78">
        <f t="shared" si="10"/>
        <v>0</v>
      </c>
      <c r="E127" s="78">
        <f t="shared" si="12"/>
        <v>0</v>
      </c>
      <c r="F127" s="78">
        <v>0</v>
      </c>
      <c r="G127" s="78">
        <v>0</v>
      </c>
      <c r="H127" s="78">
        <f t="shared" si="13"/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P127" s="80"/>
      <c r="R127" s="80">
        <f t="shared" si="14"/>
        <v>0</v>
      </c>
    </row>
    <row r="128" spans="1:18" x14ac:dyDescent="0.2">
      <c r="A128" s="75">
        <v>118</v>
      </c>
      <c r="B128" s="97" t="s">
        <v>330</v>
      </c>
      <c r="C128" s="86" t="s">
        <v>331</v>
      </c>
      <c r="D128" s="78">
        <f t="shared" si="10"/>
        <v>0</v>
      </c>
      <c r="E128" s="78">
        <f t="shared" si="12"/>
        <v>0</v>
      </c>
      <c r="F128" s="78">
        <v>0</v>
      </c>
      <c r="G128" s="78">
        <v>0</v>
      </c>
      <c r="H128" s="78">
        <f t="shared" si="13"/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P128" s="80"/>
      <c r="R128" s="80">
        <f t="shared" si="14"/>
        <v>0</v>
      </c>
    </row>
    <row r="129" spans="1:18" ht="12.75" x14ac:dyDescent="0.2">
      <c r="A129" s="75">
        <v>119</v>
      </c>
      <c r="B129" s="83" t="s">
        <v>191</v>
      </c>
      <c r="C129" s="98" t="s">
        <v>433</v>
      </c>
      <c r="D129" s="78">
        <f t="shared" si="10"/>
        <v>0</v>
      </c>
      <c r="E129" s="78">
        <f t="shared" si="12"/>
        <v>0</v>
      </c>
      <c r="F129" s="79">
        <v>0</v>
      </c>
      <c r="G129" s="79">
        <v>0</v>
      </c>
      <c r="H129" s="78">
        <f t="shared" si="13"/>
        <v>0</v>
      </c>
      <c r="I129" s="78">
        <v>0</v>
      </c>
      <c r="J129" s="78">
        <v>0</v>
      </c>
      <c r="K129" s="79">
        <v>0</v>
      </c>
      <c r="L129" s="79">
        <v>0</v>
      </c>
      <c r="M129" s="79">
        <v>0</v>
      </c>
      <c r="N129" s="79">
        <v>0</v>
      </c>
      <c r="P129" s="80"/>
      <c r="Q129" s="63">
        <v>0</v>
      </c>
      <c r="R129" s="80">
        <f t="shared" si="14"/>
        <v>0</v>
      </c>
    </row>
    <row r="130" spans="1:18" x14ac:dyDescent="0.2">
      <c r="A130" s="75">
        <v>120</v>
      </c>
      <c r="B130" s="99" t="s">
        <v>434</v>
      </c>
      <c r="C130" s="100" t="s">
        <v>435</v>
      </c>
      <c r="D130" s="78">
        <f t="shared" si="10"/>
        <v>0</v>
      </c>
      <c r="E130" s="78">
        <f t="shared" si="12"/>
        <v>0</v>
      </c>
      <c r="F130" s="79">
        <v>0</v>
      </c>
      <c r="G130" s="79">
        <v>0</v>
      </c>
      <c r="H130" s="78">
        <f t="shared" si="13"/>
        <v>0</v>
      </c>
      <c r="I130" s="78">
        <v>0</v>
      </c>
      <c r="J130" s="78">
        <v>0</v>
      </c>
      <c r="K130" s="79">
        <v>0</v>
      </c>
      <c r="L130" s="79">
        <v>0</v>
      </c>
      <c r="M130" s="79">
        <v>0</v>
      </c>
      <c r="N130" s="79">
        <v>0</v>
      </c>
      <c r="P130" s="80"/>
      <c r="R130" s="80">
        <f t="shared" si="14"/>
        <v>0</v>
      </c>
    </row>
    <row r="131" spans="1:18" ht="12.75" x14ac:dyDescent="0.2">
      <c r="A131" s="75">
        <v>121</v>
      </c>
      <c r="B131" s="101" t="s">
        <v>436</v>
      </c>
      <c r="C131" s="141" t="s">
        <v>460</v>
      </c>
      <c r="D131" s="78">
        <f t="shared" si="10"/>
        <v>0</v>
      </c>
      <c r="E131" s="78">
        <f t="shared" si="12"/>
        <v>0</v>
      </c>
      <c r="F131" s="79">
        <v>0</v>
      </c>
      <c r="G131" s="79">
        <v>0</v>
      </c>
      <c r="H131" s="78">
        <f t="shared" si="13"/>
        <v>0</v>
      </c>
      <c r="I131" s="78">
        <v>0</v>
      </c>
      <c r="J131" s="78">
        <v>0</v>
      </c>
      <c r="K131" s="79">
        <v>0</v>
      </c>
      <c r="L131" s="79">
        <v>0</v>
      </c>
      <c r="M131" s="79">
        <v>0</v>
      </c>
      <c r="N131" s="79">
        <v>0</v>
      </c>
      <c r="P131" s="80"/>
      <c r="Q131" s="63">
        <v>0</v>
      </c>
      <c r="R131" s="80">
        <f t="shared" si="14"/>
        <v>0</v>
      </c>
    </row>
    <row r="132" spans="1:18" x14ac:dyDescent="0.2">
      <c r="A132" s="75">
        <v>122</v>
      </c>
      <c r="B132" s="97" t="s">
        <v>192</v>
      </c>
      <c r="C132" s="86" t="s">
        <v>438</v>
      </c>
      <c r="D132" s="78">
        <f t="shared" si="10"/>
        <v>0</v>
      </c>
      <c r="E132" s="78">
        <f t="shared" si="12"/>
        <v>0</v>
      </c>
      <c r="F132" s="79">
        <v>0</v>
      </c>
      <c r="G132" s="79">
        <v>0</v>
      </c>
      <c r="H132" s="78">
        <f t="shared" si="13"/>
        <v>0</v>
      </c>
      <c r="I132" s="78">
        <v>0</v>
      </c>
      <c r="J132" s="78">
        <v>0</v>
      </c>
      <c r="K132" s="79">
        <v>0</v>
      </c>
      <c r="L132" s="79">
        <v>0</v>
      </c>
      <c r="M132" s="79">
        <v>0</v>
      </c>
      <c r="N132" s="79">
        <v>0</v>
      </c>
      <c r="P132" s="80"/>
      <c r="R132" s="80">
        <f t="shared" si="14"/>
        <v>0</v>
      </c>
    </row>
    <row r="133" spans="1:18" x14ac:dyDescent="0.2">
      <c r="A133" s="75">
        <v>123</v>
      </c>
      <c r="B133" s="85" t="s">
        <v>332</v>
      </c>
      <c r="C133" s="102" t="s">
        <v>439</v>
      </c>
      <c r="D133" s="78">
        <f t="shared" si="10"/>
        <v>0</v>
      </c>
      <c r="E133" s="78">
        <f t="shared" si="12"/>
        <v>0</v>
      </c>
      <c r="F133" s="79">
        <v>0</v>
      </c>
      <c r="G133" s="79">
        <v>0</v>
      </c>
      <c r="H133" s="78">
        <f t="shared" si="13"/>
        <v>0</v>
      </c>
      <c r="I133" s="78">
        <v>0</v>
      </c>
      <c r="J133" s="78">
        <v>0</v>
      </c>
      <c r="K133" s="79">
        <v>0</v>
      </c>
      <c r="L133" s="79">
        <v>0</v>
      </c>
      <c r="M133" s="79">
        <v>0</v>
      </c>
      <c r="N133" s="79">
        <v>0</v>
      </c>
      <c r="P133" s="80"/>
      <c r="R133" s="80">
        <f t="shared" si="14"/>
        <v>0</v>
      </c>
    </row>
    <row r="134" spans="1:18" ht="24" x14ac:dyDescent="0.2">
      <c r="A134" s="75">
        <v>124</v>
      </c>
      <c r="B134" s="97" t="s">
        <v>334</v>
      </c>
      <c r="C134" s="86" t="s">
        <v>440</v>
      </c>
      <c r="D134" s="78">
        <f t="shared" si="10"/>
        <v>0</v>
      </c>
      <c r="E134" s="78">
        <f t="shared" si="12"/>
        <v>0</v>
      </c>
      <c r="F134" s="79">
        <v>0</v>
      </c>
      <c r="G134" s="79">
        <v>0</v>
      </c>
      <c r="H134" s="78">
        <f t="shared" si="13"/>
        <v>0</v>
      </c>
      <c r="I134" s="78">
        <v>0</v>
      </c>
      <c r="J134" s="78">
        <v>0</v>
      </c>
      <c r="K134" s="79">
        <v>0</v>
      </c>
      <c r="L134" s="79">
        <v>0</v>
      </c>
      <c r="M134" s="79">
        <v>0</v>
      </c>
      <c r="N134" s="79">
        <v>0</v>
      </c>
      <c r="P134" s="80"/>
      <c r="R134" s="80">
        <f t="shared" si="14"/>
        <v>0</v>
      </c>
    </row>
    <row r="135" spans="1:18" ht="24" x14ac:dyDescent="0.2">
      <c r="A135" s="75">
        <v>125</v>
      </c>
      <c r="B135" s="97" t="s">
        <v>336</v>
      </c>
      <c r="C135" s="86" t="s">
        <v>441</v>
      </c>
      <c r="D135" s="78">
        <f t="shared" si="10"/>
        <v>0</v>
      </c>
      <c r="E135" s="78">
        <f t="shared" si="12"/>
        <v>0</v>
      </c>
      <c r="F135" s="79">
        <v>0</v>
      </c>
      <c r="G135" s="79">
        <v>0</v>
      </c>
      <c r="H135" s="78">
        <f t="shared" si="13"/>
        <v>0</v>
      </c>
      <c r="I135" s="78">
        <v>0</v>
      </c>
      <c r="J135" s="78">
        <v>0</v>
      </c>
      <c r="K135" s="79">
        <v>0</v>
      </c>
      <c r="L135" s="79">
        <v>0</v>
      </c>
      <c r="M135" s="79">
        <v>0</v>
      </c>
      <c r="N135" s="79">
        <v>0</v>
      </c>
      <c r="P135" s="80"/>
      <c r="R135" s="80">
        <f t="shared" si="14"/>
        <v>0</v>
      </c>
    </row>
    <row r="136" spans="1:18" ht="14.25" customHeight="1" x14ac:dyDescent="0.2">
      <c r="A136" s="75">
        <v>126</v>
      </c>
      <c r="B136" s="76" t="s">
        <v>148</v>
      </c>
      <c r="C136" s="98" t="s">
        <v>442</v>
      </c>
      <c r="D136" s="78">
        <f t="shared" si="10"/>
        <v>0</v>
      </c>
      <c r="E136" s="78">
        <f t="shared" si="12"/>
        <v>0</v>
      </c>
      <c r="F136" s="79">
        <v>0</v>
      </c>
      <c r="G136" s="79">
        <v>0</v>
      </c>
      <c r="H136" s="78">
        <f t="shared" si="13"/>
        <v>0</v>
      </c>
      <c r="I136" s="78">
        <v>0</v>
      </c>
      <c r="J136" s="78">
        <v>0</v>
      </c>
      <c r="K136" s="79">
        <v>0</v>
      </c>
      <c r="L136" s="79">
        <v>0</v>
      </c>
      <c r="M136" s="79">
        <v>0</v>
      </c>
      <c r="N136" s="79">
        <v>0</v>
      </c>
      <c r="P136" s="80"/>
      <c r="Q136" s="63">
        <v>0</v>
      </c>
      <c r="R136" s="80">
        <f t="shared" si="14"/>
        <v>0</v>
      </c>
    </row>
    <row r="137" spans="1:18" ht="14.25" customHeight="1" x14ac:dyDescent="0.2">
      <c r="A137" s="75">
        <v>127</v>
      </c>
      <c r="B137" s="103" t="s">
        <v>338</v>
      </c>
      <c r="C137" s="104" t="s">
        <v>339</v>
      </c>
      <c r="D137" s="78">
        <f t="shared" ref="D137:D158" si="15">E137+H137</f>
        <v>0</v>
      </c>
      <c r="E137" s="78">
        <f t="shared" si="12"/>
        <v>0</v>
      </c>
      <c r="F137" s="79">
        <v>0</v>
      </c>
      <c r="G137" s="79">
        <v>0</v>
      </c>
      <c r="H137" s="78">
        <f t="shared" si="13"/>
        <v>0</v>
      </c>
      <c r="I137" s="78">
        <v>0</v>
      </c>
      <c r="J137" s="78">
        <v>0</v>
      </c>
      <c r="K137" s="79">
        <v>0</v>
      </c>
      <c r="L137" s="79">
        <v>0</v>
      </c>
      <c r="M137" s="79">
        <v>0</v>
      </c>
      <c r="N137" s="79">
        <v>0</v>
      </c>
      <c r="P137" s="80"/>
      <c r="R137" s="80">
        <f t="shared" si="14"/>
        <v>0</v>
      </c>
    </row>
    <row r="138" spans="1:18" ht="14.25" customHeight="1" x14ac:dyDescent="0.2">
      <c r="A138" s="75">
        <v>128</v>
      </c>
      <c r="B138" s="97" t="s">
        <v>340</v>
      </c>
      <c r="C138" s="86" t="s">
        <v>341</v>
      </c>
      <c r="D138" s="78">
        <f t="shared" si="15"/>
        <v>0</v>
      </c>
      <c r="E138" s="78">
        <f t="shared" si="12"/>
        <v>0</v>
      </c>
      <c r="F138" s="79">
        <v>0</v>
      </c>
      <c r="G138" s="79">
        <v>0</v>
      </c>
      <c r="H138" s="78">
        <f t="shared" si="13"/>
        <v>0</v>
      </c>
      <c r="I138" s="78">
        <v>0</v>
      </c>
      <c r="J138" s="78">
        <v>0</v>
      </c>
      <c r="K138" s="79">
        <v>0</v>
      </c>
      <c r="L138" s="79">
        <v>0</v>
      </c>
      <c r="M138" s="79">
        <v>0</v>
      </c>
      <c r="N138" s="79">
        <v>0</v>
      </c>
      <c r="P138" s="80"/>
      <c r="R138" s="80">
        <f t="shared" si="14"/>
        <v>0</v>
      </c>
    </row>
    <row r="139" spans="1:18" ht="12.75" x14ac:dyDescent="0.2">
      <c r="A139" s="75">
        <v>129</v>
      </c>
      <c r="B139" s="76" t="s">
        <v>193</v>
      </c>
      <c r="C139" s="105" t="s">
        <v>443</v>
      </c>
      <c r="D139" s="78">
        <f t="shared" si="15"/>
        <v>0</v>
      </c>
      <c r="E139" s="78">
        <f t="shared" si="12"/>
        <v>0</v>
      </c>
      <c r="F139" s="79">
        <v>0</v>
      </c>
      <c r="G139" s="79">
        <v>0</v>
      </c>
      <c r="H139" s="78">
        <f t="shared" si="13"/>
        <v>0</v>
      </c>
      <c r="I139" s="78">
        <v>0</v>
      </c>
      <c r="J139" s="78">
        <v>0</v>
      </c>
      <c r="K139" s="79">
        <v>0</v>
      </c>
      <c r="L139" s="79">
        <v>0</v>
      </c>
      <c r="M139" s="79">
        <v>0</v>
      </c>
      <c r="N139" s="79">
        <v>0</v>
      </c>
      <c r="P139" s="80"/>
      <c r="Q139" s="63">
        <v>0</v>
      </c>
      <c r="R139" s="80">
        <f t="shared" ref="R139:R158" si="16">Q139-D139</f>
        <v>0</v>
      </c>
    </row>
    <row r="140" spans="1:18" x14ac:dyDescent="0.2">
      <c r="A140" s="75">
        <v>130</v>
      </c>
      <c r="B140" s="94" t="s">
        <v>194</v>
      </c>
      <c r="C140" s="82" t="s">
        <v>444</v>
      </c>
      <c r="D140" s="78">
        <f t="shared" si="15"/>
        <v>0</v>
      </c>
      <c r="E140" s="78">
        <f t="shared" ref="E140:E158" si="17">F140+G140</f>
        <v>0</v>
      </c>
      <c r="F140" s="79">
        <v>0</v>
      </c>
      <c r="G140" s="79">
        <v>0</v>
      </c>
      <c r="H140" s="78">
        <f t="shared" si="13"/>
        <v>0</v>
      </c>
      <c r="I140" s="78">
        <v>0</v>
      </c>
      <c r="J140" s="78">
        <v>0</v>
      </c>
      <c r="K140" s="79">
        <v>0</v>
      </c>
      <c r="L140" s="79">
        <v>0</v>
      </c>
      <c r="M140" s="79">
        <v>0</v>
      </c>
      <c r="N140" s="79">
        <v>0</v>
      </c>
      <c r="P140" s="80"/>
      <c r="R140" s="80">
        <f t="shared" si="16"/>
        <v>0</v>
      </c>
    </row>
    <row r="141" spans="1:18" ht="12.75" x14ac:dyDescent="0.2">
      <c r="A141" s="75">
        <v>131</v>
      </c>
      <c r="B141" s="83" t="s">
        <v>195</v>
      </c>
      <c r="C141" s="98" t="s">
        <v>445</v>
      </c>
      <c r="D141" s="78">
        <f t="shared" si="15"/>
        <v>0</v>
      </c>
      <c r="E141" s="78">
        <f t="shared" si="17"/>
        <v>0</v>
      </c>
      <c r="F141" s="79">
        <v>0</v>
      </c>
      <c r="G141" s="79">
        <v>0</v>
      </c>
      <c r="H141" s="78">
        <f t="shared" si="13"/>
        <v>0</v>
      </c>
      <c r="I141" s="78">
        <v>0</v>
      </c>
      <c r="J141" s="78">
        <v>0</v>
      </c>
      <c r="K141" s="79">
        <v>0</v>
      </c>
      <c r="L141" s="79">
        <v>0</v>
      </c>
      <c r="M141" s="79">
        <v>0</v>
      </c>
      <c r="N141" s="79">
        <v>0</v>
      </c>
      <c r="P141" s="80"/>
      <c r="Q141" s="63">
        <v>0</v>
      </c>
      <c r="R141" s="80">
        <f t="shared" si="16"/>
        <v>0</v>
      </c>
    </row>
    <row r="142" spans="1:18" x14ac:dyDescent="0.2">
      <c r="A142" s="75">
        <v>132</v>
      </c>
      <c r="B142" s="97" t="s">
        <v>446</v>
      </c>
      <c r="C142" s="86" t="s">
        <v>447</v>
      </c>
      <c r="D142" s="78">
        <f t="shared" si="15"/>
        <v>0</v>
      </c>
      <c r="E142" s="78">
        <f t="shared" si="17"/>
        <v>0</v>
      </c>
      <c r="F142" s="79">
        <v>0</v>
      </c>
      <c r="G142" s="79">
        <v>0</v>
      </c>
      <c r="H142" s="78">
        <f t="shared" si="13"/>
        <v>0</v>
      </c>
      <c r="I142" s="78">
        <v>0</v>
      </c>
      <c r="J142" s="78">
        <v>0</v>
      </c>
      <c r="K142" s="79">
        <v>0</v>
      </c>
      <c r="L142" s="79">
        <v>0</v>
      </c>
      <c r="M142" s="79">
        <v>0</v>
      </c>
      <c r="N142" s="79">
        <v>0</v>
      </c>
      <c r="P142" s="80"/>
      <c r="R142" s="80">
        <f t="shared" si="16"/>
        <v>0</v>
      </c>
    </row>
    <row r="143" spans="1:18" ht="12.75" x14ac:dyDescent="0.2">
      <c r="A143" s="75">
        <v>133</v>
      </c>
      <c r="B143" s="83" t="s">
        <v>15</v>
      </c>
      <c r="C143" s="98" t="s">
        <v>448</v>
      </c>
      <c r="D143" s="78">
        <f t="shared" si="15"/>
        <v>0</v>
      </c>
      <c r="E143" s="78">
        <f t="shared" si="17"/>
        <v>0</v>
      </c>
      <c r="F143" s="79">
        <v>0</v>
      </c>
      <c r="G143" s="79">
        <v>0</v>
      </c>
      <c r="H143" s="78">
        <f t="shared" si="13"/>
        <v>0</v>
      </c>
      <c r="I143" s="78">
        <v>0</v>
      </c>
      <c r="J143" s="78">
        <v>0</v>
      </c>
      <c r="K143" s="79">
        <v>0</v>
      </c>
      <c r="L143" s="79">
        <v>0</v>
      </c>
      <c r="M143" s="79">
        <v>0</v>
      </c>
      <c r="N143" s="79">
        <v>0</v>
      </c>
      <c r="P143" s="80"/>
      <c r="Q143" s="63">
        <v>0</v>
      </c>
      <c r="R143" s="80">
        <f t="shared" si="16"/>
        <v>0</v>
      </c>
    </row>
    <row r="144" spans="1:18" ht="12.75" x14ac:dyDescent="0.2">
      <c r="A144" s="75">
        <v>134</v>
      </c>
      <c r="B144" s="83" t="s">
        <v>342</v>
      </c>
      <c r="C144" s="98" t="s">
        <v>343</v>
      </c>
      <c r="D144" s="78">
        <f t="shared" si="15"/>
        <v>0</v>
      </c>
      <c r="E144" s="78">
        <f t="shared" si="17"/>
        <v>0</v>
      </c>
      <c r="F144" s="79">
        <v>0</v>
      </c>
      <c r="G144" s="79">
        <v>0</v>
      </c>
      <c r="H144" s="78">
        <f t="shared" si="13"/>
        <v>0</v>
      </c>
      <c r="I144" s="78">
        <v>0</v>
      </c>
      <c r="J144" s="78">
        <v>0</v>
      </c>
      <c r="K144" s="79">
        <v>0</v>
      </c>
      <c r="L144" s="79">
        <v>0</v>
      </c>
      <c r="M144" s="79">
        <v>0</v>
      </c>
      <c r="N144" s="79">
        <v>0</v>
      </c>
      <c r="P144" s="80"/>
      <c r="Q144" s="63">
        <v>0</v>
      </c>
      <c r="R144" s="80">
        <f t="shared" si="16"/>
        <v>0</v>
      </c>
    </row>
    <row r="145" spans="1:18" ht="12.75" x14ac:dyDescent="0.2">
      <c r="A145" s="75">
        <v>135</v>
      </c>
      <c r="B145" s="83" t="s">
        <v>14</v>
      </c>
      <c r="C145" s="98" t="s">
        <v>13</v>
      </c>
      <c r="D145" s="78">
        <f t="shared" si="15"/>
        <v>0</v>
      </c>
      <c r="E145" s="78">
        <f t="shared" si="17"/>
        <v>0</v>
      </c>
      <c r="F145" s="79">
        <v>0</v>
      </c>
      <c r="G145" s="79">
        <v>0</v>
      </c>
      <c r="H145" s="78">
        <f t="shared" si="13"/>
        <v>0</v>
      </c>
      <c r="I145" s="78">
        <v>0</v>
      </c>
      <c r="J145" s="78">
        <v>0</v>
      </c>
      <c r="K145" s="79">
        <v>0</v>
      </c>
      <c r="L145" s="79">
        <v>0</v>
      </c>
      <c r="M145" s="79">
        <v>0</v>
      </c>
      <c r="N145" s="79">
        <v>0</v>
      </c>
      <c r="P145" s="80"/>
      <c r="Q145" s="63">
        <v>0</v>
      </c>
      <c r="R145" s="80">
        <f t="shared" si="16"/>
        <v>0</v>
      </c>
    </row>
    <row r="146" spans="1:18" ht="12.75" x14ac:dyDescent="0.2">
      <c r="A146" s="75">
        <v>136</v>
      </c>
      <c r="B146" s="76" t="s">
        <v>10</v>
      </c>
      <c r="C146" s="105" t="s">
        <v>7</v>
      </c>
      <c r="D146" s="78">
        <f t="shared" si="15"/>
        <v>0</v>
      </c>
      <c r="E146" s="78">
        <f t="shared" si="17"/>
        <v>0</v>
      </c>
      <c r="F146" s="79">
        <v>0</v>
      </c>
      <c r="G146" s="79">
        <v>0</v>
      </c>
      <c r="H146" s="78">
        <f t="shared" si="13"/>
        <v>0</v>
      </c>
      <c r="I146" s="78">
        <v>0</v>
      </c>
      <c r="J146" s="78">
        <v>0</v>
      </c>
      <c r="K146" s="79">
        <v>0</v>
      </c>
      <c r="L146" s="79">
        <v>0</v>
      </c>
      <c r="M146" s="79">
        <v>0</v>
      </c>
      <c r="N146" s="79">
        <v>0</v>
      </c>
      <c r="P146" s="80"/>
      <c r="Q146" s="63">
        <v>0</v>
      </c>
      <c r="R146" s="80">
        <f t="shared" si="16"/>
        <v>0</v>
      </c>
    </row>
    <row r="147" spans="1:18" ht="12.75" x14ac:dyDescent="0.2">
      <c r="A147" s="75">
        <v>137</v>
      </c>
      <c r="B147" s="83" t="s">
        <v>196</v>
      </c>
      <c r="C147" s="98" t="s">
        <v>449</v>
      </c>
      <c r="D147" s="78">
        <f t="shared" si="15"/>
        <v>0</v>
      </c>
      <c r="E147" s="78">
        <f t="shared" si="17"/>
        <v>0</v>
      </c>
      <c r="F147" s="79">
        <v>0</v>
      </c>
      <c r="G147" s="79">
        <v>0</v>
      </c>
      <c r="H147" s="78">
        <f t="shared" si="13"/>
        <v>0</v>
      </c>
      <c r="I147" s="78">
        <v>0</v>
      </c>
      <c r="J147" s="78">
        <v>0</v>
      </c>
      <c r="K147" s="79">
        <v>0</v>
      </c>
      <c r="L147" s="79">
        <v>0</v>
      </c>
      <c r="M147" s="79">
        <v>0</v>
      </c>
      <c r="N147" s="79">
        <v>0</v>
      </c>
      <c r="P147" s="80"/>
      <c r="Q147" s="63">
        <v>0</v>
      </c>
      <c r="R147" s="80">
        <f t="shared" si="16"/>
        <v>0</v>
      </c>
    </row>
    <row r="148" spans="1:18" ht="12.75" x14ac:dyDescent="0.2">
      <c r="A148" s="75">
        <v>138</v>
      </c>
      <c r="B148" s="76" t="s">
        <v>149</v>
      </c>
      <c r="C148" s="98" t="s">
        <v>150</v>
      </c>
      <c r="D148" s="78">
        <f t="shared" si="15"/>
        <v>0</v>
      </c>
      <c r="E148" s="78">
        <f t="shared" si="17"/>
        <v>0</v>
      </c>
      <c r="F148" s="79">
        <v>0</v>
      </c>
      <c r="G148" s="79">
        <v>0</v>
      </c>
      <c r="H148" s="78">
        <f t="shared" si="13"/>
        <v>0</v>
      </c>
      <c r="I148" s="78">
        <v>0</v>
      </c>
      <c r="J148" s="78">
        <v>0</v>
      </c>
      <c r="K148" s="78">
        <v>0</v>
      </c>
      <c r="L148" s="78">
        <v>0</v>
      </c>
      <c r="M148" s="79">
        <v>0</v>
      </c>
      <c r="N148" s="79">
        <v>0</v>
      </c>
      <c r="P148" s="80"/>
      <c r="Q148" s="63">
        <v>0</v>
      </c>
      <c r="R148" s="80">
        <f t="shared" si="16"/>
        <v>0</v>
      </c>
    </row>
    <row r="149" spans="1:18" ht="12.75" x14ac:dyDescent="0.2">
      <c r="A149" s="75">
        <v>139</v>
      </c>
      <c r="B149" s="84" t="s">
        <v>151</v>
      </c>
      <c r="C149" s="106" t="s">
        <v>152</v>
      </c>
      <c r="D149" s="78">
        <f t="shared" si="15"/>
        <v>0</v>
      </c>
      <c r="E149" s="78">
        <f t="shared" si="17"/>
        <v>0</v>
      </c>
      <c r="F149" s="79">
        <v>0</v>
      </c>
      <c r="G149" s="79">
        <v>0</v>
      </c>
      <c r="H149" s="78">
        <f t="shared" si="13"/>
        <v>0</v>
      </c>
      <c r="I149" s="78">
        <v>0</v>
      </c>
      <c r="J149" s="78">
        <v>0</v>
      </c>
      <c r="K149" s="78">
        <v>0</v>
      </c>
      <c r="L149" s="78">
        <v>0</v>
      </c>
      <c r="M149" s="79">
        <v>0</v>
      </c>
      <c r="N149" s="79">
        <v>0</v>
      </c>
      <c r="P149" s="80"/>
      <c r="Q149" s="63">
        <v>0</v>
      </c>
      <c r="R149" s="80">
        <f t="shared" si="16"/>
        <v>0</v>
      </c>
    </row>
    <row r="150" spans="1:18" ht="12.75" x14ac:dyDescent="0.2">
      <c r="A150" s="75">
        <v>140</v>
      </c>
      <c r="B150" s="83" t="s">
        <v>344</v>
      </c>
      <c r="C150" s="98" t="s">
        <v>345</v>
      </c>
      <c r="D150" s="78">
        <f t="shared" si="15"/>
        <v>0</v>
      </c>
      <c r="E150" s="78">
        <f t="shared" si="17"/>
        <v>0</v>
      </c>
      <c r="F150" s="79">
        <v>0</v>
      </c>
      <c r="G150" s="79">
        <v>0</v>
      </c>
      <c r="H150" s="78">
        <f t="shared" si="13"/>
        <v>0</v>
      </c>
      <c r="I150" s="78">
        <v>0</v>
      </c>
      <c r="J150" s="78">
        <v>0</v>
      </c>
      <c r="K150" s="78">
        <v>0</v>
      </c>
      <c r="L150" s="78">
        <v>0</v>
      </c>
      <c r="M150" s="79">
        <v>0</v>
      </c>
      <c r="N150" s="79">
        <v>0</v>
      </c>
      <c r="P150" s="80"/>
      <c r="Q150" s="63">
        <v>0</v>
      </c>
      <c r="R150" s="80">
        <f t="shared" si="16"/>
        <v>0</v>
      </c>
    </row>
    <row r="151" spans="1:18" ht="12.75" x14ac:dyDescent="0.2">
      <c r="A151" s="75">
        <v>141</v>
      </c>
      <c r="B151" s="83" t="s">
        <v>197</v>
      </c>
      <c r="C151" s="98" t="s">
        <v>198</v>
      </c>
      <c r="D151" s="78">
        <f t="shared" si="15"/>
        <v>0</v>
      </c>
      <c r="E151" s="78">
        <f t="shared" si="17"/>
        <v>0</v>
      </c>
      <c r="F151" s="79">
        <v>0</v>
      </c>
      <c r="G151" s="79">
        <v>0</v>
      </c>
      <c r="H151" s="78">
        <f t="shared" si="13"/>
        <v>0</v>
      </c>
      <c r="I151" s="78">
        <v>0</v>
      </c>
      <c r="J151" s="78">
        <v>0</v>
      </c>
      <c r="K151" s="78">
        <v>0</v>
      </c>
      <c r="L151" s="78">
        <v>0</v>
      </c>
      <c r="M151" s="79">
        <v>0</v>
      </c>
      <c r="N151" s="79">
        <v>0</v>
      </c>
      <c r="P151" s="80"/>
      <c r="Q151" s="63">
        <v>0</v>
      </c>
      <c r="R151" s="80">
        <f t="shared" si="16"/>
        <v>0</v>
      </c>
    </row>
    <row r="152" spans="1:18" ht="12.75" x14ac:dyDescent="0.2">
      <c r="A152" s="75">
        <v>142</v>
      </c>
      <c r="B152" s="83" t="s">
        <v>346</v>
      </c>
      <c r="C152" s="98" t="s">
        <v>347</v>
      </c>
      <c r="D152" s="78">
        <f t="shared" si="15"/>
        <v>0</v>
      </c>
      <c r="E152" s="78">
        <f t="shared" si="17"/>
        <v>0</v>
      </c>
      <c r="F152" s="79">
        <v>0</v>
      </c>
      <c r="G152" s="79">
        <v>0</v>
      </c>
      <c r="H152" s="78">
        <f t="shared" si="13"/>
        <v>0</v>
      </c>
      <c r="I152" s="78">
        <v>0</v>
      </c>
      <c r="J152" s="78">
        <v>0</v>
      </c>
      <c r="K152" s="78">
        <v>0</v>
      </c>
      <c r="L152" s="78">
        <v>0</v>
      </c>
      <c r="M152" s="79">
        <v>0</v>
      </c>
      <c r="N152" s="79">
        <v>0</v>
      </c>
      <c r="P152" s="80"/>
      <c r="Q152" s="63">
        <v>0</v>
      </c>
      <c r="R152" s="80">
        <f t="shared" si="16"/>
        <v>0</v>
      </c>
    </row>
    <row r="153" spans="1:18" ht="12.75" x14ac:dyDescent="0.2">
      <c r="A153" s="75">
        <v>143</v>
      </c>
      <c r="B153" s="84" t="s">
        <v>12</v>
      </c>
      <c r="C153" s="106" t="s">
        <v>2</v>
      </c>
      <c r="D153" s="78">
        <f t="shared" si="15"/>
        <v>0</v>
      </c>
      <c r="E153" s="78">
        <f t="shared" si="17"/>
        <v>0</v>
      </c>
      <c r="F153" s="79">
        <v>0</v>
      </c>
      <c r="G153" s="79">
        <v>0</v>
      </c>
      <c r="H153" s="78">
        <f t="shared" si="13"/>
        <v>0</v>
      </c>
      <c r="I153" s="78">
        <v>0</v>
      </c>
      <c r="J153" s="78">
        <v>0</v>
      </c>
      <c r="K153" s="78">
        <v>0</v>
      </c>
      <c r="L153" s="78">
        <v>0</v>
      </c>
      <c r="M153" s="79">
        <v>0</v>
      </c>
      <c r="N153" s="79">
        <v>0</v>
      </c>
      <c r="P153" s="80"/>
      <c r="Q153" s="63">
        <v>0</v>
      </c>
      <c r="R153" s="80">
        <f t="shared" si="16"/>
        <v>0</v>
      </c>
    </row>
    <row r="154" spans="1:18" ht="12.75" x14ac:dyDescent="0.2">
      <c r="A154" s="75">
        <v>144</v>
      </c>
      <c r="B154" s="76" t="s">
        <v>3</v>
      </c>
      <c r="C154" s="106" t="s">
        <v>450</v>
      </c>
      <c r="D154" s="78">
        <f t="shared" si="15"/>
        <v>3605</v>
      </c>
      <c r="E154" s="78">
        <f t="shared" si="17"/>
        <v>0</v>
      </c>
      <c r="F154" s="79">
        <v>0</v>
      </c>
      <c r="G154" s="79">
        <v>0</v>
      </c>
      <c r="H154" s="78">
        <f t="shared" si="13"/>
        <v>3605</v>
      </c>
      <c r="I154" s="78">
        <v>0</v>
      </c>
      <c r="J154" s="78">
        <v>0</v>
      </c>
      <c r="K154" s="78">
        <v>1030</v>
      </c>
      <c r="L154" s="78">
        <v>400</v>
      </c>
      <c r="M154" s="79">
        <v>2175</v>
      </c>
      <c r="N154" s="79">
        <v>0</v>
      </c>
      <c r="P154" s="80"/>
      <c r="Q154" s="63">
        <v>3605</v>
      </c>
      <c r="R154" s="80">
        <f t="shared" si="16"/>
        <v>0</v>
      </c>
    </row>
    <row r="155" spans="1:18" ht="12.75" x14ac:dyDescent="0.2">
      <c r="A155" s="75">
        <v>145</v>
      </c>
      <c r="B155" s="83" t="s">
        <v>11</v>
      </c>
      <c r="C155" s="98" t="s">
        <v>8</v>
      </c>
      <c r="D155" s="78">
        <f t="shared" si="15"/>
        <v>0</v>
      </c>
      <c r="E155" s="78">
        <f t="shared" si="17"/>
        <v>0</v>
      </c>
      <c r="F155" s="79">
        <v>0</v>
      </c>
      <c r="G155" s="79">
        <v>0</v>
      </c>
      <c r="H155" s="78">
        <f t="shared" si="13"/>
        <v>0</v>
      </c>
      <c r="I155" s="78">
        <v>0</v>
      </c>
      <c r="J155" s="78">
        <v>0</v>
      </c>
      <c r="K155" s="78">
        <v>0</v>
      </c>
      <c r="L155" s="78">
        <v>0</v>
      </c>
      <c r="M155" s="79">
        <v>0</v>
      </c>
      <c r="N155" s="79">
        <v>0</v>
      </c>
      <c r="P155" s="80"/>
      <c r="Q155" s="63">
        <v>0</v>
      </c>
      <c r="R155" s="80">
        <f t="shared" si="16"/>
        <v>0</v>
      </c>
    </row>
    <row r="156" spans="1:18" ht="12.75" x14ac:dyDescent="0.2">
      <c r="A156" s="75">
        <v>146</v>
      </c>
      <c r="B156" s="76" t="s">
        <v>200</v>
      </c>
      <c r="C156" s="105" t="s">
        <v>201</v>
      </c>
      <c r="D156" s="78">
        <f t="shared" si="15"/>
        <v>0</v>
      </c>
      <c r="E156" s="78">
        <f t="shared" si="17"/>
        <v>0</v>
      </c>
      <c r="F156" s="79">
        <v>0</v>
      </c>
      <c r="G156" s="79">
        <v>0</v>
      </c>
      <c r="H156" s="78">
        <f t="shared" si="13"/>
        <v>0</v>
      </c>
      <c r="I156" s="78">
        <v>0</v>
      </c>
      <c r="J156" s="78">
        <v>0</v>
      </c>
      <c r="K156" s="78">
        <v>0</v>
      </c>
      <c r="L156" s="78">
        <v>0</v>
      </c>
      <c r="M156" s="79">
        <v>0</v>
      </c>
      <c r="N156" s="79">
        <v>0</v>
      </c>
      <c r="P156" s="80"/>
      <c r="Q156" s="63">
        <v>0</v>
      </c>
      <c r="R156" s="80">
        <f t="shared" si="16"/>
        <v>0</v>
      </c>
    </row>
    <row r="157" spans="1:18" x14ac:dyDescent="0.2">
      <c r="A157" s="75">
        <v>147</v>
      </c>
      <c r="B157" s="142" t="s">
        <v>202</v>
      </c>
      <c r="C157" s="82" t="s">
        <v>451</v>
      </c>
      <c r="D157" s="78">
        <f t="shared" si="15"/>
        <v>0</v>
      </c>
      <c r="E157" s="78">
        <f t="shared" si="17"/>
        <v>0</v>
      </c>
      <c r="F157" s="79">
        <v>0</v>
      </c>
      <c r="G157" s="79">
        <v>0</v>
      </c>
      <c r="H157" s="78">
        <f t="shared" si="13"/>
        <v>0</v>
      </c>
      <c r="I157" s="78">
        <v>0</v>
      </c>
      <c r="J157" s="78">
        <v>0</v>
      </c>
      <c r="K157" s="78">
        <v>0</v>
      </c>
      <c r="L157" s="78">
        <v>0</v>
      </c>
      <c r="M157" s="79">
        <v>0</v>
      </c>
      <c r="N157" s="79">
        <v>0</v>
      </c>
      <c r="P157" s="80"/>
      <c r="Q157" s="63">
        <v>0</v>
      </c>
      <c r="R157" s="80">
        <f t="shared" si="16"/>
        <v>0</v>
      </c>
    </row>
    <row r="158" spans="1:18" ht="12.75" x14ac:dyDescent="0.2">
      <c r="A158" s="75">
        <v>148</v>
      </c>
      <c r="B158" s="143" t="s">
        <v>348</v>
      </c>
      <c r="C158" s="108" t="s">
        <v>349</v>
      </c>
      <c r="D158" s="78">
        <f t="shared" si="15"/>
        <v>0</v>
      </c>
      <c r="E158" s="78">
        <f t="shared" si="17"/>
        <v>0</v>
      </c>
      <c r="F158" s="79">
        <v>0</v>
      </c>
      <c r="G158" s="79">
        <v>0</v>
      </c>
      <c r="H158" s="78">
        <f t="shared" si="13"/>
        <v>0</v>
      </c>
      <c r="I158" s="78">
        <v>0</v>
      </c>
      <c r="J158" s="78">
        <v>0</v>
      </c>
      <c r="K158" s="78">
        <v>0</v>
      </c>
      <c r="L158" s="78">
        <v>0</v>
      </c>
      <c r="M158" s="79">
        <v>0</v>
      </c>
      <c r="N158" s="79">
        <v>0</v>
      </c>
      <c r="P158" s="80"/>
      <c r="Q158" s="63">
        <v>0</v>
      </c>
      <c r="R158" s="80">
        <f t="shared" si="16"/>
        <v>0</v>
      </c>
    </row>
  </sheetData>
  <mergeCells count="18">
    <mergeCell ref="A9:C9"/>
    <mergeCell ref="A10:C10"/>
    <mergeCell ref="F5:G5"/>
    <mergeCell ref="H5:H6"/>
    <mergeCell ref="I5:J5"/>
    <mergeCell ref="K5:L5"/>
    <mergeCell ref="M5:N5"/>
    <mergeCell ref="A8:C8"/>
    <mergeCell ref="A1:N1"/>
    <mergeCell ref="A2:A6"/>
    <mergeCell ref="B2:B6"/>
    <mergeCell ref="C2:C6"/>
    <mergeCell ref="D2:N2"/>
    <mergeCell ref="D3:D6"/>
    <mergeCell ref="E3:N3"/>
    <mergeCell ref="E4:G4"/>
    <mergeCell ref="H4:N4"/>
    <mergeCell ref="E5:E6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0"/>
  <sheetViews>
    <sheetView workbookViewId="0">
      <pane xSplit="3" ySplit="10" topLeftCell="D124" activePane="bottomRight" state="frozen"/>
      <selection activeCell="G13" sqref="G13"/>
      <selection pane="topRight" activeCell="G13" sqref="G13"/>
      <selection pane="bottomLeft" activeCell="G13" sqref="G13"/>
      <selection pane="bottomRight" activeCell="L122" sqref="L122"/>
    </sheetView>
  </sheetViews>
  <sheetFormatPr defaultRowHeight="12" x14ac:dyDescent="0.2"/>
  <cols>
    <col min="1" max="1" width="5" style="149" customWidth="1"/>
    <col min="2" max="2" width="6.42578125" style="149" customWidth="1"/>
    <col min="3" max="3" width="30.85546875" style="149" customWidth="1"/>
    <col min="4" max="16" width="10.7109375" style="149" customWidth="1"/>
    <col min="17" max="17" width="14.5703125" style="149" customWidth="1"/>
    <col min="18" max="16384" width="9.140625" style="149"/>
  </cols>
  <sheetData>
    <row r="1" spans="1:17" ht="39.75" customHeight="1" x14ac:dyDescent="0.2">
      <c r="A1" s="724" t="s">
        <v>472</v>
      </c>
      <c r="B1" s="724"/>
      <c r="C1" s="724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</row>
    <row r="2" spans="1:17" ht="24.75" customHeight="1" x14ac:dyDescent="0.2">
      <c r="A2" s="726" t="s">
        <v>0</v>
      </c>
      <c r="B2" s="727" t="s">
        <v>351</v>
      </c>
      <c r="C2" s="726" t="s">
        <v>352</v>
      </c>
      <c r="D2" s="730" t="s">
        <v>473</v>
      </c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2"/>
    </row>
    <row r="3" spans="1:17" x14ac:dyDescent="0.2">
      <c r="A3" s="726"/>
      <c r="B3" s="728"/>
      <c r="C3" s="726"/>
      <c r="D3" s="733" t="s">
        <v>453</v>
      </c>
      <c r="E3" s="726" t="s">
        <v>16</v>
      </c>
      <c r="F3" s="726"/>
      <c r="G3" s="726"/>
      <c r="H3" s="726"/>
      <c r="I3" s="726"/>
      <c r="J3" s="726"/>
      <c r="K3" s="726"/>
      <c r="L3" s="726"/>
      <c r="M3" s="726"/>
      <c r="N3" s="726"/>
      <c r="O3" s="726"/>
      <c r="P3" s="726"/>
    </row>
    <row r="4" spans="1:17" ht="30.75" customHeight="1" x14ac:dyDescent="0.2">
      <c r="A4" s="726"/>
      <c r="B4" s="728"/>
      <c r="C4" s="726"/>
      <c r="D4" s="733"/>
      <c r="E4" s="735" t="s">
        <v>454</v>
      </c>
      <c r="F4" s="736"/>
      <c r="G4" s="736"/>
      <c r="H4" s="736"/>
      <c r="I4" s="737"/>
      <c r="J4" s="738" t="s">
        <v>455</v>
      </c>
      <c r="K4" s="738"/>
      <c r="L4" s="738"/>
      <c r="M4" s="738"/>
      <c r="N4" s="738"/>
      <c r="O4" s="738"/>
      <c r="P4" s="738"/>
    </row>
    <row r="5" spans="1:17" ht="23.25" customHeight="1" x14ac:dyDescent="0.2">
      <c r="A5" s="726"/>
      <c r="B5" s="728"/>
      <c r="C5" s="726"/>
      <c r="D5" s="733"/>
      <c r="E5" s="739" t="s">
        <v>266</v>
      </c>
      <c r="F5" s="738" t="s">
        <v>474</v>
      </c>
      <c r="G5" s="738"/>
      <c r="H5" s="738" t="s">
        <v>279</v>
      </c>
      <c r="I5" s="738"/>
      <c r="J5" s="739" t="s">
        <v>266</v>
      </c>
      <c r="K5" s="738" t="s">
        <v>278</v>
      </c>
      <c r="L5" s="738"/>
      <c r="M5" s="735" t="s">
        <v>279</v>
      </c>
      <c r="N5" s="737"/>
      <c r="O5" s="738" t="s">
        <v>280</v>
      </c>
      <c r="P5" s="738"/>
    </row>
    <row r="6" spans="1:17" ht="34.5" customHeight="1" x14ac:dyDescent="0.2">
      <c r="A6" s="726"/>
      <c r="B6" s="729"/>
      <c r="C6" s="726"/>
      <c r="D6" s="734"/>
      <c r="E6" s="734"/>
      <c r="F6" s="150" t="s">
        <v>218</v>
      </c>
      <c r="G6" s="151" t="s">
        <v>219</v>
      </c>
      <c r="H6" s="150" t="s">
        <v>218</v>
      </c>
      <c r="I6" s="151" t="s">
        <v>219</v>
      </c>
      <c r="J6" s="734"/>
      <c r="K6" s="150" t="s">
        <v>218</v>
      </c>
      <c r="L6" s="151" t="s">
        <v>219</v>
      </c>
      <c r="M6" s="150" t="s">
        <v>218</v>
      </c>
      <c r="N6" s="151" t="s">
        <v>219</v>
      </c>
      <c r="O6" s="150" t="s">
        <v>218</v>
      </c>
      <c r="P6" s="151" t="s">
        <v>219</v>
      </c>
      <c r="Q6" s="152"/>
    </row>
    <row r="7" spans="1:17" s="156" customFormat="1" ht="11.25" x14ac:dyDescent="0.2">
      <c r="A7" s="153">
        <v>1</v>
      </c>
      <c r="B7" s="153">
        <v>2</v>
      </c>
      <c r="C7" s="153">
        <v>3</v>
      </c>
      <c r="D7" s="154">
        <v>4</v>
      </c>
      <c r="E7" s="155">
        <v>5</v>
      </c>
      <c r="F7" s="155">
        <v>6</v>
      </c>
      <c r="G7" s="155">
        <v>7</v>
      </c>
      <c r="H7" s="155">
        <v>8</v>
      </c>
      <c r="I7" s="155">
        <v>9</v>
      </c>
      <c r="J7" s="155">
        <v>10</v>
      </c>
      <c r="K7" s="155">
        <v>11</v>
      </c>
      <c r="L7" s="155">
        <v>12</v>
      </c>
      <c r="M7" s="155">
        <v>13</v>
      </c>
      <c r="N7" s="155">
        <v>14</v>
      </c>
      <c r="O7" s="155">
        <v>15</v>
      </c>
      <c r="P7" s="155">
        <v>16</v>
      </c>
    </row>
    <row r="8" spans="1:17" s="156" customFormat="1" x14ac:dyDescent="0.2">
      <c r="A8" s="685" t="s">
        <v>1</v>
      </c>
      <c r="B8" s="685"/>
      <c r="C8" s="685"/>
      <c r="D8" s="157">
        <f t="shared" ref="D8:D9" si="0">E8+J8</f>
        <v>2510255</v>
      </c>
      <c r="E8" s="157">
        <f t="shared" ref="E8:E9" si="1">SUM(F8:I8)</f>
        <v>55708</v>
      </c>
      <c r="F8" s="157">
        <f>F9+F10</f>
        <v>40562</v>
      </c>
      <c r="G8" s="157">
        <f t="shared" ref="G8:I8" si="2">G9+G10</f>
        <v>12223</v>
      </c>
      <c r="H8" s="157">
        <f t="shared" si="2"/>
        <v>2577</v>
      </c>
      <c r="I8" s="157">
        <f t="shared" si="2"/>
        <v>346</v>
      </c>
      <c r="J8" s="157">
        <f t="shared" ref="J8:J9" si="3">SUM(K8:P8)</f>
        <v>2454547</v>
      </c>
      <c r="K8" s="157">
        <f>K9+K10</f>
        <v>271827</v>
      </c>
      <c r="L8" s="157">
        <f t="shared" ref="L8:P8" si="4">L9+L10</f>
        <v>74258</v>
      </c>
      <c r="M8" s="157">
        <f t="shared" si="4"/>
        <v>56451</v>
      </c>
      <c r="N8" s="157">
        <f t="shared" si="4"/>
        <v>29574</v>
      </c>
      <c r="O8" s="157">
        <f t="shared" si="4"/>
        <v>818358</v>
      </c>
      <c r="P8" s="157">
        <f t="shared" si="4"/>
        <v>1204079</v>
      </c>
    </row>
    <row r="9" spans="1:17" s="156" customFormat="1" x14ac:dyDescent="0.2">
      <c r="A9" s="695" t="s">
        <v>17</v>
      </c>
      <c r="B9" s="696"/>
      <c r="C9" s="697"/>
      <c r="D9" s="155">
        <f t="shared" si="0"/>
        <v>0</v>
      </c>
      <c r="E9" s="155">
        <f t="shared" si="1"/>
        <v>0</v>
      </c>
      <c r="F9" s="155">
        <v>0</v>
      </c>
      <c r="G9" s="155">
        <v>0</v>
      </c>
      <c r="H9" s="155">
        <v>0</v>
      </c>
      <c r="I9" s="155">
        <v>0</v>
      </c>
      <c r="J9" s="155">
        <f t="shared" si="3"/>
        <v>0</v>
      </c>
      <c r="K9" s="155">
        <v>0</v>
      </c>
      <c r="L9" s="155">
        <v>0</v>
      </c>
      <c r="M9" s="155">
        <v>0</v>
      </c>
      <c r="N9" s="155">
        <v>0</v>
      </c>
      <c r="O9" s="155">
        <v>0</v>
      </c>
      <c r="P9" s="155">
        <v>0</v>
      </c>
    </row>
    <row r="10" spans="1:17" s="156" customFormat="1" x14ac:dyDescent="0.2">
      <c r="A10" s="695" t="s">
        <v>18</v>
      </c>
      <c r="B10" s="696"/>
      <c r="C10" s="697"/>
      <c r="D10" s="157">
        <f>E10+J10</f>
        <v>2510255</v>
      </c>
      <c r="E10" s="157">
        <f>SUM(F10:I10)</f>
        <v>55708</v>
      </c>
      <c r="F10" s="157">
        <f t="shared" ref="F10:I10" si="5">SUM(F11:F158)</f>
        <v>40562</v>
      </c>
      <c r="G10" s="157">
        <f t="shared" si="5"/>
        <v>12223</v>
      </c>
      <c r="H10" s="157">
        <f t="shared" si="5"/>
        <v>2577</v>
      </c>
      <c r="I10" s="157">
        <f t="shared" si="5"/>
        <v>346</v>
      </c>
      <c r="J10" s="157">
        <f>SUM(K10:P10)</f>
        <v>2454547</v>
      </c>
      <c r="K10" s="157">
        <f>SUM(K11:K158)</f>
        <v>271827</v>
      </c>
      <c r="L10" s="157">
        <f t="shared" ref="L10:P10" si="6">SUM(L11:L158)</f>
        <v>74258</v>
      </c>
      <c r="M10" s="157">
        <f t="shared" si="6"/>
        <v>56451</v>
      </c>
      <c r="N10" s="157">
        <f t="shared" si="6"/>
        <v>29574</v>
      </c>
      <c r="O10" s="157">
        <f t="shared" si="6"/>
        <v>818358</v>
      </c>
      <c r="P10" s="157">
        <f t="shared" si="6"/>
        <v>1204079</v>
      </c>
      <c r="Q10" s="158"/>
    </row>
    <row r="11" spans="1:17" ht="12.75" x14ac:dyDescent="0.2">
      <c r="A11" s="159">
        <v>1</v>
      </c>
      <c r="B11" s="131" t="s">
        <v>19</v>
      </c>
      <c r="C11" s="160" t="s">
        <v>20</v>
      </c>
      <c r="D11" s="161">
        <f t="shared" ref="D11:D81" si="7">E11+J11</f>
        <v>5861</v>
      </c>
      <c r="E11" s="161">
        <f t="shared" ref="E11:E81" si="8">F11+G11+H11+I11</f>
        <v>0</v>
      </c>
      <c r="F11" s="161">
        <v>0</v>
      </c>
      <c r="G11" s="161">
        <v>0</v>
      </c>
      <c r="H11" s="161">
        <v>0</v>
      </c>
      <c r="I11" s="161">
        <v>0</v>
      </c>
      <c r="J11" s="161">
        <f t="shared" ref="J11:J81" si="9">O11+P11+N11+M11+L11+K11</f>
        <v>5861</v>
      </c>
      <c r="K11" s="161">
        <v>1276</v>
      </c>
      <c r="L11" s="161">
        <v>0</v>
      </c>
      <c r="M11" s="161">
        <v>518</v>
      </c>
      <c r="N11" s="161">
        <v>0</v>
      </c>
      <c r="O11" s="161">
        <v>2858</v>
      </c>
      <c r="P11" s="161">
        <v>1209</v>
      </c>
      <c r="Q11" s="158"/>
    </row>
    <row r="12" spans="1:17" ht="12.75" x14ac:dyDescent="0.2">
      <c r="A12" s="159">
        <v>2</v>
      </c>
      <c r="B12" s="163" t="s">
        <v>21</v>
      </c>
      <c r="C12" s="160" t="s">
        <v>456</v>
      </c>
      <c r="D12" s="161">
        <f t="shared" si="7"/>
        <v>7988</v>
      </c>
      <c r="E12" s="161">
        <f t="shared" si="8"/>
        <v>0</v>
      </c>
      <c r="F12" s="161">
        <v>0</v>
      </c>
      <c r="G12" s="161">
        <v>0</v>
      </c>
      <c r="H12" s="161">
        <v>0</v>
      </c>
      <c r="I12" s="161">
        <v>0</v>
      </c>
      <c r="J12" s="161">
        <f t="shared" si="9"/>
        <v>7988</v>
      </c>
      <c r="K12" s="161">
        <v>671</v>
      </c>
      <c r="L12" s="161">
        <v>210</v>
      </c>
      <c r="M12" s="161">
        <v>300</v>
      </c>
      <c r="N12" s="161">
        <v>0</v>
      </c>
      <c r="O12" s="161">
        <v>3677</v>
      </c>
      <c r="P12" s="161">
        <v>3130</v>
      </c>
      <c r="Q12" s="158"/>
    </row>
    <row r="13" spans="1:17" ht="12.75" x14ac:dyDescent="0.2">
      <c r="A13" s="159">
        <v>3</v>
      </c>
      <c r="B13" s="107" t="s">
        <v>22</v>
      </c>
      <c r="C13" s="108" t="s">
        <v>23</v>
      </c>
      <c r="D13" s="161">
        <f t="shared" si="7"/>
        <v>44803</v>
      </c>
      <c r="E13" s="161">
        <f t="shared" si="8"/>
        <v>0</v>
      </c>
      <c r="F13" s="161">
        <v>0</v>
      </c>
      <c r="G13" s="161">
        <v>0</v>
      </c>
      <c r="H13" s="161">
        <v>0</v>
      </c>
      <c r="I13" s="161">
        <v>0</v>
      </c>
      <c r="J13" s="161">
        <f t="shared" si="9"/>
        <v>44803</v>
      </c>
      <c r="K13" s="161">
        <v>1329</v>
      </c>
      <c r="L13" s="161">
        <v>1600</v>
      </c>
      <c r="M13" s="161">
        <v>5</v>
      </c>
      <c r="N13" s="161">
        <v>6240</v>
      </c>
      <c r="O13" s="161">
        <v>14893</v>
      </c>
      <c r="P13" s="161">
        <v>20736</v>
      </c>
      <c r="Q13" s="158"/>
    </row>
    <row r="14" spans="1:17" ht="12.75" x14ac:dyDescent="0.2">
      <c r="A14" s="159">
        <v>4</v>
      </c>
      <c r="B14" s="131" t="s">
        <v>24</v>
      </c>
      <c r="C14" s="160" t="s">
        <v>368</v>
      </c>
      <c r="D14" s="161">
        <f t="shared" si="7"/>
        <v>12065</v>
      </c>
      <c r="E14" s="161">
        <f t="shared" si="8"/>
        <v>0</v>
      </c>
      <c r="F14" s="161">
        <v>0</v>
      </c>
      <c r="G14" s="161">
        <v>0</v>
      </c>
      <c r="H14" s="161">
        <v>0</v>
      </c>
      <c r="I14" s="161">
        <v>0</v>
      </c>
      <c r="J14" s="161">
        <f t="shared" si="9"/>
        <v>12065</v>
      </c>
      <c r="K14" s="161">
        <v>2000</v>
      </c>
      <c r="L14" s="161">
        <v>850</v>
      </c>
      <c r="M14" s="161">
        <v>447</v>
      </c>
      <c r="N14" s="161">
        <v>400</v>
      </c>
      <c r="O14" s="161">
        <v>4318</v>
      </c>
      <c r="P14" s="161">
        <v>4050</v>
      </c>
      <c r="Q14" s="158"/>
    </row>
    <row r="15" spans="1:17" ht="12.75" x14ac:dyDescent="0.2">
      <c r="A15" s="159">
        <v>5</v>
      </c>
      <c r="B15" s="131" t="s">
        <v>25</v>
      </c>
      <c r="C15" s="160" t="s">
        <v>26</v>
      </c>
      <c r="D15" s="161">
        <f t="shared" si="7"/>
        <v>10209</v>
      </c>
      <c r="E15" s="161">
        <f t="shared" si="8"/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f t="shared" si="9"/>
        <v>10209</v>
      </c>
      <c r="K15" s="161">
        <v>1215</v>
      </c>
      <c r="L15" s="161">
        <v>670</v>
      </c>
      <c r="M15" s="161">
        <v>164</v>
      </c>
      <c r="N15" s="161">
        <v>430</v>
      </c>
      <c r="O15" s="161">
        <v>4530</v>
      </c>
      <c r="P15" s="161">
        <v>3200</v>
      </c>
      <c r="Q15" s="158"/>
    </row>
    <row r="16" spans="1:17" ht="12.75" x14ac:dyDescent="0.2">
      <c r="A16" s="159">
        <v>6</v>
      </c>
      <c r="B16" s="107" t="s">
        <v>4</v>
      </c>
      <c r="C16" s="108" t="s">
        <v>27</v>
      </c>
      <c r="D16" s="161">
        <f t="shared" si="7"/>
        <v>98634</v>
      </c>
      <c r="E16" s="161">
        <f t="shared" si="8"/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f t="shared" si="9"/>
        <v>98634</v>
      </c>
      <c r="K16" s="161">
        <v>8027</v>
      </c>
      <c r="L16" s="161">
        <v>4927</v>
      </c>
      <c r="M16" s="161">
        <v>4610</v>
      </c>
      <c r="N16" s="161">
        <v>814</v>
      </c>
      <c r="O16" s="161">
        <v>33021</v>
      </c>
      <c r="P16" s="161">
        <v>47235</v>
      </c>
      <c r="Q16" s="158"/>
    </row>
    <row r="17" spans="1:17" ht="12.75" x14ac:dyDescent="0.2">
      <c r="A17" s="159">
        <v>7</v>
      </c>
      <c r="B17" s="164" t="s">
        <v>28</v>
      </c>
      <c r="C17" s="165" t="s">
        <v>369</v>
      </c>
      <c r="D17" s="161">
        <f t="shared" si="7"/>
        <v>37234</v>
      </c>
      <c r="E17" s="161">
        <f t="shared" si="8"/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f t="shared" si="9"/>
        <v>37234</v>
      </c>
      <c r="K17" s="161">
        <v>3065</v>
      </c>
      <c r="L17" s="161">
        <v>1242</v>
      </c>
      <c r="M17" s="161">
        <v>1624</v>
      </c>
      <c r="N17" s="161">
        <v>500</v>
      </c>
      <c r="O17" s="161">
        <v>16489</v>
      </c>
      <c r="P17" s="161">
        <v>14314</v>
      </c>
      <c r="Q17" s="158"/>
    </row>
    <row r="18" spans="1:17" ht="12.75" x14ac:dyDescent="0.2">
      <c r="A18" s="159">
        <v>8</v>
      </c>
      <c r="B18" s="107" t="s">
        <v>29</v>
      </c>
      <c r="C18" s="108" t="s">
        <v>30</v>
      </c>
      <c r="D18" s="161">
        <f t="shared" si="7"/>
        <v>13701</v>
      </c>
      <c r="E18" s="161">
        <f t="shared" si="8"/>
        <v>0</v>
      </c>
      <c r="F18" s="161">
        <v>0</v>
      </c>
      <c r="G18" s="161">
        <v>0</v>
      </c>
      <c r="H18" s="161">
        <v>0</v>
      </c>
      <c r="I18" s="161">
        <v>0</v>
      </c>
      <c r="J18" s="161">
        <f t="shared" si="9"/>
        <v>13701</v>
      </c>
      <c r="K18" s="161">
        <v>1350</v>
      </c>
      <c r="L18" s="161">
        <v>85</v>
      </c>
      <c r="M18" s="161">
        <v>795</v>
      </c>
      <c r="N18" s="161">
        <v>520</v>
      </c>
      <c r="O18" s="161">
        <v>7092</v>
      </c>
      <c r="P18" s="161">
        <v>3859</v>
      </c>
      <c r="Q18" s="158"/>
    </row>
    <row r="19" spans="1:17" ht="12.75" x14ac:dyDescent="0.2">
      <c r="A19" s="159">
        <v>9</v>
      </c>
      <c r="B19" s="107" t="s">
        <v>31</v>
      </c>
      <c r="C19" s="108" t="s">
        <v>32</v>
      </c>
      <c r="D19" s="161">
        <f t="shared" si="7"/>
        <v>11536</v>
      </c>
      <c r="E19" s="161">
        <f t="shared" si="8"/>
        <v>0</v>
      </c>
      <c r="F19" s="161">
        <v>0</v>
      </c>
      <c r="G19" s="161">
        <v>0</v>
      </c>
      <c r="H19" s="161">
        <v>0</v>
      </c>
      <c r="I19" s="161">
        <v>0</v>
      </c>
      <c r="J19" s="161">
        <f t="shared" si="9"/>
        <v>11536</v>
      </c>
      <c r="K19" s="161">
        <v>1505</v>
      </c>
      <c r="L19" s="161">
        <v>600</v>
      </c>
      <c r="M19" s="161">
        <v>176</v>
      </c>
      <c r="N19" s="161">
        <v>150</v>
      </c>
      <c r="O19" s="161">
        <v>4829</v>
      </c>
      <c r="P19" s="161">
        <v>4276</v>
      </c>
      <c r="Q19" s="158"/>
    </row>
    <row r="20" spans="1:17" ht="12.75" x14ac:dyDescent="0.2">
      <c r="A20" s="159">
        <v>10</v>
      </c>
      <c r="B20" s="107" t="s">
        <v>33</v>
      </c>
      <c r="C20" s="108" t="s">
        <v>34</v>
      </c>
      <c r="D20" s="161">
        <f t="shared" si="7"/>
        <v>19556</v>
      </c>
      <c r="E20" s="161">
        <f t="shared" si="8"/>
        <v>0</v>
      </c>
      <c r="F20" s="161">
        <v>0</v>
      </c>
      <c r="G20" s="161">
        <v>0</v>
      </c>
      <c r="H20" s="161">
        <v>0</v>
      </c>
      <c r="I20" s="161">
        <v>0</v>
      </c>
      <c r="J20" s="161">
        <f t="shared" si="9"/>
        <v>19556</v>
      </c>
      <c r="K20" s="161">
        <v>3256</v>
      </c>
      <c r="L20" s="161">
        <v>0</v>
      </c>
      <c r="M20" s="161">
        <v>721</v>
      </c>
      <c r="N20" s="161">
        <v>1479</v>
      </c>
      <c r="O20" s="161">
        <v>8169</v>
      </c>
      <c r="P20" s="161">
        <v>5931</v>
      </c>
      <c r="Q20" s="158"/>
    </row>
    <row r="21" spans="1:17" ht="12.75" x14ac:dyDescent="0.2">
      <c r="A21" s="159">
        <v>11</v>
      </c>
      <c r="B21" s="107" t="s">
        <v>35</v>
      </c>
      <c r="C21" s="108" t="s">
        <v>36</v>
      </c>
      <c r="D21" s="161">
        <f t="shared" si="7"/>
        <v>11875</v>
      </c>
      <c r="E21" s="161">
        <f t="shared" si="8"/>
        <v>0</v>
      </c>
      <c r="F21" s="161">
        <v>0</v>
      </c>
      <c r="G21" s="161">
        <v>0</v>
      </c>
      <c r="H21" s="161">
        <v>0</v>
      </c>
      <c r="I21" s="161">
        <v>0</v>
      </c>
      <c r="J21" s="161">
        <f t="shared" si="9"/>
        <v>11875</v>
      </c>
      <c r="K21" s="161">
        <v>610</v>
      </c>
      <c r="L21" s="161">
        <v>540</v>
      </c>
      <c r="M21" s="161">
        <v>1205</v>
      </c>
      <c r="N21" s="161">
        <v>0</v>
      </c>
      <c r="O21" s="161">
        <v>4839</v>
      </c>
      <c r="P21" s="161">
        <v>4681</v>
      </c>
      <c r="Q21" s="158"/>
    </row>
    <row r="22" spans="1:17" ht="12.75" x14ac:dyDescent="0.2">
      <c r="A22" s="159">
        <v>12</v>
      </c>
      <c r="B22" s="107" t="s">
        <v>37</v>
      </c>
      <c r="C22" s="108" t="s">
        <v>38</v>
      </c>
      <c r="D22" s="161">
        <f t="shared" si="7"/>
        <v>25322</v>
      </c>
      <c r="E22" s="161">
        <f t="shared" si="8"/>
        <v>0</v>
      </c>
      <c r="F22" s="161">
        <v>0</v>
      </c>
      <c r="G22" s="161">
        <v>0</v>
      </c>
      <c r="H22" s="161">
        <v>0</v>
      </c>
      <c r="I22" s="161">
        <v>0</v>
      </c>
      <c r="J22" s="161">
        <f t="shared" si="9"/>
        <v>25322</v>
      </c>
      <c r="K22" s="161">
        <v>850</v>
      </c>
      <c r="L22" s="161">
        <v>450</v>
      </c>
      <c r="M22" s="161">
        <v>225</v>
      </c>
      <c r="N22" s="161">
        <v>200</v>
      </c>
      <c r="O22" s="161">
        <v>12577</v>
      </c>
      <c r="P22" s="161">
        <v>11020</v>
      </c>
      <c r="Q22" s="158"/>
    </row>
    <row r="23" spans="1:17" x14ac:dyDescent="0.2">
      <c r="A23" s="159">
        <v>13</v>
      </c>
      <c r="B23" s="85" t="s">
        <v>166</v>
      </c>
      <c r="C23" s="86" t="s">
        <v>370</v>
      </c>
      <c r="D23" s="161">
        <f t="shared" si="7"/>
        <v>0</v>
      </c>
      <c r="E23" s="161">
        <f t="shared" si="8"/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f t="shared" si="9"/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58"/>
    </row>
    <row r="24" spans="1:17" x14ac:dyDescent="0.2">
      <c r="A24" s="159">
        <v>14</v>
      </c>
      <c r="B24" s="85" t="s">
        <v>167</v>
      </c>
      <c r="C24" s="82" t="s">
        <v>371</v>
      </c>
      <c r="D24" s="161">
        <f t="shared" si="7"/>
        <v>0</v>
      </c>
      <c r="E24" s="161">
        <f t="shared" si="8"/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f t="shared" si="9"/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58"/>
    </row>
    <row r="25" spans="1:17" ht="12.75" x14ac:dyDescent="0.2">
      <c r="A25" s="159">
        <v>15</v>
      </c>
      <c r="B25" s="107" t="s">
        <v>39</v>
      </c>
      <c r="C25" s="108" t="s">
        <v>40</v>
      </c>
      <c r="D25" s="161">
        <f t="shared" si="7"/>
        <v>26624</v>
      </c>
      <c r="E25" s="161">
        <f t="shared" si="8"/>
        <v>0</v>
      </c>
      <c r="F25" s="161">
        <v>0</v>
      </c>
      <c r="G25" s="161">
        <v>0</v>
      </c>
      <c r="H25" s="161">
        <v>0</v>
      </c>
      <c r="I25" s="161">
        <v>0</v>
      </c>
      <c r="J25" s="161">
        <f t="shared" si="9"/>
        <v>26624</v>
      </c>
      <c r="K25" s="161">
        <v>2910</v>
      </c>
      <c r="L25" s="161">
        <v>319</v>
      </c>
      <c r="M25" s="161">
        <v>3</v>
      </c>
      <c r="N25" s="161">
        <v>0</v>
      </c>
      <c r="O25" s="161">
        <v>21190</v>
      </c>
      <c r="P25" s="161">
        <v>2202</v>
      </c>
      <c r="Q25" s="158"/>
    </row>
    <row r="26" spans="1:17" ht="12.75" x14ac:dyDescent="0.2">
      <c r="A26" s="159">
        <v>16</v>
      </c>
      <c r="B26" s="107" t="s">
        <v>41</v>
      </c>
      <c r="C26" s="108" t="s">
        <v>42</v>
      </c>
      <c r="D26" s="161">
        <f t="shared" si="7"/>
        <v>22959</v>
      </c>
      <c r="E26" s="161">
        <f t="shared" si="8"/>
        <v>0</v>
      </c>
      <c r="F26" s="161">
        <v>0</v>
      </c>
      <c r="G26" s="161">
        <v>0</v>
      </c>
      <c r="H26" s="161">
        <v>0</v>
      </c>
      <c r="I26" s="161">
        <v>0</v>
      </c>
      <c r="J26" s="161">
        <f t="shared" si="9"/>
        <v>22959</v>
      </c>
      <c r="K26" s="161">
        <v>2037</v>
      </c>
      <c r="L26" s="161">
        <v>925</v>
      </c>
      <c r="M26" s="161">
        <v>338</v>
      </c>
      <c r="N26" s="161">
        <v>150</v>
      </c>
      <c r="O26" s="161">
        <v>8583</v>
      </c>
      <c r="P26" s="161">
        <v>10926</v>
      </c>
      <c r="Q26" s="158"/>
    </row>
    <row r="27" spans="1:17" ht="12.75" x14ac:dyDescent="0.2">
      <c r="A27" s="159">
        <v>17</v>
      </c>
      <c r="B27" s="107" t="s">
        <v>43</v>
      </c>
      <c r="C27" s="108" t="s">
        <v>372</v>
      </c>
      <c r="D27" s="161">
        <f t="shared" si="7"/>
        <v>19216</v>
      </c>
      <c r="E27" s="161">
        <f t="shared" si="8"/>
        <v>0</v>
      </c>
      <c r="F27" s="161">
        <v>0</v>
      </c>
      <c r="G27" s="161">
        <v>0</v>
      </c>
      <c r="H27" s="161">
        <v>0</v>
      </c>
      <c r="I27" s="161">
        <v>0</v>
      </c>
      <c r="J27" s="161">
        <f t="shared" si="9"/>
        <v>19216</v>
      </c>
      <c r="K27" s="161">
        <v>4570</v>
      </c>
      <c r="L27" s="161">
        <v>360</v>
      </c>
      <c r="M27" s="161">
        <v>5208</v>
      </c>
      <c r="N27" s="161">
        <v>1100</v>
      </c>
      <c r="O27" s="161">
        <v>2000</v>
      </c>
      <c r="P27" s="161">
        <v>5978</v>
      </c>
      <c r="Q27" s="158"/>
    </row>
    <row r="28" spans="1:17" ht="12.75" x14ac:dyDescent="0.2">
      <c r="A28" s="159">
        <v>18</v>
      </c>
      <c r="B28" s="107" t="s">
        <v>44</v>
      </c>
      <c r="C28" s="108" t="s">
        <v>45</v>
      </c>
      <c r="D28" s="161">
        <f t="shared" si="7"/>
        <v>58273</v>
      </c>
      <c r="E28" s="161">
        <f t="shared" si="8"/>
        <v>0</v>
      </c>
      <c r="F28" s="161">
        <v>0</v>
      </c>
      <c r="G28" s="161">
        <v>0</v>
      </c>
      <c r="H28" s="161">
        <v>0</v>
      </c>
      <c r="I28" s="161">
        <v>0</v>
      </c>
      <c r="J28" s="161">
        <f t="shared" si="9"/>
        <v>58273</v>
      </c>
      <c r="K28" s="161">
        <v>6850</v>
      </c>
      <c r="L28" s="161">
        <v>1450</v>
      </c>
      <c r="M28" s="161">
        <v>1872</v>
      </c>
      <c r="N28" s="161">
        <v>400</v>
      </c>
      <c r="O28" s="161">
        <v>15001</v>
      </c>
      <c r="P28" s="161">
        <v>32700</v>
      </c>
      <c r="Q28" s="158"/>
    </row>
    <row r="29" spans="1:17" ht="12.75" x14ac:dyDescent="0.2">
      <c r="A29" s="159">
        <v>19</v>
      </c>
      <c r="B29" s="131" t="s">
        <v>46</v>
      </c>
      <c r="C29" s="160" t="s">
        <v>47</v>
      </c>
      <c r="D29" s="161">
        <f t="shared" si="7"/>
        <v>8932</v>
      </c>
      <c r="E29" s="161">
        <f t="shared" si="8"/>
        <v>0</v>
      </c>
      <c r="F29" s="161">
        <v>0</v>
      </c>
      <c r="G29" s="161">
        <v>0</v>
      </c>
      <c r="H29" s="161">
        <v>0</v>
      </c>
      <c r="I29" s="161">
        <v>0</v>
      </c>
      <c r="J29" s="161">
        <f t="shared" si="9"/>
        <v>8932</v>
      </c>
      <c r="K29" s="161">
        <v>1955</v>
      </c>
      <c r="L29" s="161">
        <v>140</v>
      </c>
      <c r="M29" s="161">
        <v>122</v>
      </c>
      <c r="N29" s="161">
        <v>37</v>
      </c>
      <c r="O29" s="161">
        <v>2863</v>
      </c>
      <c r="P29" s="161">
        <v>3815</v>
      </c>
      <c r="Q29" s="158"/>
    </row>
    <row r="30" spans="1:17" ht="12.75" x14ac:dyDescent="0.2">
      <c r="A30" s="159">
        <v>20</v>
      </c>
      <c r="B30" s="131" t="s">
        <v>48</v>
      </c>
      <c r="C30" s="160" t="s">
        <v>373</v>
      </c>
      <c r="D30" s="161">
        <f t="shared" si="7"/>
        <v>10392</v>
      </c>
      <c r="E30" s="161">
        <f t="shared" si="8"/>
        <v>0</v>
      </c>
      <c r="F30" s="161">
        <v>0</v>
      </c>
      <c r="G30" s="161">
        <v>0</v>
      </c>
      <c r="H30" s="161">
        <v>0</v>
      </c>
      <c r="I30" s="161">
        <v>0</v>
      </c>
      <c r="J30" s="161">
        <f t="shared" si="9"/>
        <v>10392</v>
      </c>
      <c r="K30" s="161">
        <v>1463</v>
      </c>
      <c r="L30" s="161">
        <v>231</v>
      </c>
      <c r="M30" s="161">
        <v>0</v>
      </c>
      <c r="N30" s="161">
        <v>30</v>
      </c>
      <c r="O30" s="161">
        <v>6821</v>
      </c>
      <c r="P30" s="161">
        <v>1847</v>
      </c>
      <c r="Q30" s="158"/>
    </row>
    <row r="31" spans="1:17" ht="12.75" x14ac:dyDescent="0.2">
      <c r="A31" s="159">
        <v>21</v>
      </c>
      <c r="B31" s="131" t="s">
        <v>49</v>
      </c>
      <c r="C31" s="160" t="s">
        <v>50</v>
      </c>
      <c r="D31" s="161">
        <f t="shared" si="7"/>
        <v>45949</v>
      </c>
      <c r="E31" s="161">
        <f t="shared" si="8"/>
        <v>0</v>
      </c>
      <c r="F31" s="161">
        <v>0</v>
      </c>
      <c r="G31" s="161">
        <v>0</v>
      </c>
      <c r="H31" s="161">
        <v>0</v>
      </c>
      <c r="I31" s="161">
        <v>0</v>
      </c>
      <c r="J31" s="161">
        <f t="shared" si="9"/>
        <v>45949</v>
      </c>
      <c r="K31" s="161">
        <v>4806</v>
      </c>
      <c r="L31" s="161">
        <v>1490</v>
      </c>
      <c r="M31" s="161">
        <v>3543</v>
      </c>
      <c r="N31" s="161">
        <v>1614</v>
      </c>
      <c r="O31" s="161">
        <v>16141</v>
      </c>
      <c r="P31" s="161">
        <v>18355</v>
      </c>
      <c r="Q31" s="158"/>
    </row>
    <row r="32" spans="1:17" ht="12.75" x14ac:dyDescent="0.2">
      <c r="A32" s="159">
        <v>22</v>
      </c>
      <c r="B32" s="131" t="s">
        <v>51</v>
      </c>
      <c r="C32" s="160" t="s">
        <v>52</v>
      </c>
      <c r="D32" s="161">
        <f t="shared" si="7"/>
        <v>41490</v>
      </c>
      <c r="E32" s="161">
        <f t="shared" si="8"/>
        <v>0</v>
      </c>
      <c r="F32" s="161">
        <v>0</v>
      </c>
      <c r="G32" s="161">
        <v>0</v>
      </c>
      <c r="H32" s="161">
        <v>0</v>
      </c>
      <c r="I32" s="161">
        <v>0</v>
      </c>
      <c r="J32" s="161">
        <f t="shared" si="9"/>
        <v>41490</v>
      </c>
      <c r="K32" s="161">
        <v>2340</v>
      </c>
      <c r="L32" s="161">
        <v>1285</v>
      </c>
      <c r="M32" s="161">
        <v>2104</v>
      </c>
      <c r="N32" s="161">
        <v>275</v>
      </c>
      <c r="O32" s="161">
        <v>22507</v>
      </c>
      <c r="P32" s="161">
        <v>12979</v>
      </c>
      <c r="Q32" s="158"/>
    </row>
    <row r="33" spans="1:17" ht="12.75" x14ac:dyDescent="0.2">
      <c r="A33" s="159">
        <v>23</v>
      </c>
      <c r="B33" s="107" t="s">
        <v>53</v>
      </c>
      <c r="C33" s="108" t="s">
        <v>374</v>
      </c>
      <c r="D33" s="161">
        <f t="shared" si="7"/>
        <v>9488</v>
      </c>
      <c r="E33" s="161">
        <f t="shared" si="8"/>
        <v>0</v>
      </c>
      <c r="F33" s="161">
        <v>0</v>
      </c>
      <c r="G33" s="161">
        <v>0</v>
      </c>
      <c r="H33" s="161">
        <v>0</v>
      </c>
      <c r="I33" s="161">
        <v>0</v>
      </c>
      <c r="J33" s="161">
        <f t="shared" si="9"/>
        <v>9488</v>
      </c>
      <c r="K33" s="161">
        <v>440</v>
      </c>
      <c r="L33" s="161">
        <v>795</v>
      </c>
      <c r="M33" s="161">
        <v>235</v>
      </c>
      <c r="N33" s="161">
        <v>122</v>
      </c>
      <c r="O33" s="161">
        <v>2665</v>
      </c>
      <c r="P33" s="161">
        <v>5231</v>
      </c>
      <c r="Q33" s="158"/>
    </row>
    <row r="34" spans="1:17" x14ac:dyDescent="0.2">
      <c r="A34" s="159">
        <v>24</v>
      </c>
      <c r="B34" s="97" t="s">
        <v>316</v>
      </c>
      <c r="C34" s="86" t="s">
        <v>375</v>
      </c>
      <c r="D34" s="161">
        <f t="shared" si="7"/>
        <v>0</v>
      </c>
      <c r="E34" s="161">
        <f t="shared" si="8"/>
        <v>0</v>
      </c>
      <c r="F34" s="161">
        <v>0</v>
      </c>
      <c r="G34" s="161">
        <v>0</v>
      </c>
      <c r="H34" s="161">
        <v>0</v>
      </c>
      <c r="I34" s="161">
        <v>0</v>
      </c>
      <c r="J34" s="161">
        <f t="shared" si="9"/>
        <v>0</v>
      </c>
      <c r="K34" s="161">
        <v>0</v>
      </c>
      <c r="L34" s="161">
        <v>0</v>
      </c>
      <c r="M34" s="161">
        <v>0</v>
      </c>
      <c r="N34" s="161">
        <v>0</v>
      </c>
      <c r="O34" s="161">
        <v>0</v>
      </c>
      <c r="P34" s="161">
        <v>0</v>
      </c>
      <c r="Q34" s="158"/>
    </row>
    <row r="35" spans="1:17" ht="24" x14ac:dyDescent="0.2">
      <c r="A35" s="159">
        <v>25</v>
      </c>
      <c r="B35" s="97" t="s">
        <v>318</v>
      </c>
      <c r="C35" s="86" t="s">
        <v>376</v>
      </c>
      <c r="D35" s="161">
        <f t="shared" si="7"/>
        <v>0</v>
      </c>
      <c r="E35" s="161">
        <f t="shared" si="8"/>
        <v>0</v>
      </c>
      <c r="F35" s="161">
        <v>0</v>
      </c>
      <c r="G35" s="161">
        <v>0</v>
      </c>
      <c r="H35" s="161">
        <v>0</v>
      </c>
      <c r="I35" s="161">
        <v>0</v>
      </c>
      <c r="J35" s="161">
        <f t="shared" si="9"/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v>0</v>
      </c>
      <c r="Q35" s="158"/>
    </row>
    <row r="36" spans="1:17" ht="12.75" x14ac:dyDescent="0.2">
      <c r="A36" s="159">
        <v>26</v>
      </c>
      <c r="B36" s="131" t="s">
        <v>6</v>
      </c>
      <c r="C36" s="165" t="s">
        <v>377</v>
      </c>
      <c r="D36" s="161">
        <f t="shared" si="7"/>
        <v>33941</v>
      </c>
      <c r="E36" s="161">
        <f t="shared" si="8"/>
        <v>0</v>
      </c>
      <c r="F36" s="161">
        <v>0</v>
      </c>
      <c r="G36" s="161">
        <v>0</v>
      </c>
      <c r="H36" s="161">
        <v>0</v>
      </c>
      <c r="I36" s="161">
        <v>0</v>
      </c>
      <c r="J36" s="161">
        <f t="shared" si="9"/>
        <v>33941</v>
      </c>
      <c r="K36" s="161">
        <v>14046</v>
      </c>
      <c r="L36" s="161">
        <v>0</v>
      </c>
      <c r="M36" s="161">
        <v>2658</v>
      </c>
      <c r="N36" s="161">
        <v>0</v>
      </c>
      <c r="O36" s="161">
        <v>17237</v>
      </c>
      <c r="P36" s="161">
        <v>0</v>
      </c>
      <c r="Q36" s="158"/>
    </row>
    <row r="37" spans="1:17" ht="12.75" x14ac:dyDescent="0.2">
      <c r="A37" s="159">
        <v>27</v>
      </c>
      <c r="B37" s="107" t="s">
        <v>5</v>
      </c>
      <c r="C37" s="108" t="s">
        <v>378</v>
      </c>
      <c r="D37" s="161">
        <f t="shared" si="7"/>
        <v>74760</v>
      </c>
      <c r="E37" s="161">
        <f t="shared" si="8"/>
        <v>0</v>
      </c>
      <c r="F37" s="161">
        <v>0</v>
      </c>
      <c r="G37" s="161">
        <v>0</v>
      </c>
      <c r="H37" s="161">
        <v>0</v>
      </c>
      <c r="I37" s="161">
        <v>0</v>
      </c>
      <c r="J37" s="161">
        <f t="shared" si="9"/>
        <v>74760</v>
      </c>
      <c r="K37" s="161">
        <v>5719</v>
      </c>
      <c r="L37" s="161">
        <v>1980</v>
      </c>
      <c r="M37" s="161">
        <v>969</v>
      </c>
      <c r="N37" s="161">
        <v>160</v>
      </c>
      <c r="O37" s="161">
        <v>42114</v>
      </c>
      <c r="P37" s="161">
        <v>23818</v>
      </c>
      <c r="Q37" s="158"/>
    </row>
    <row r="38" spans="1:17" ht="12.75" x14ac:dyDescent="0.2">
      <c r="A38" s="159">
        <v>28</v>
      </c>
      <c r="B38" s="107" t="s">
        <v>54</v>
      </c>
      <c r="C38" s="108" t="s">
        <v>379</v>
      </c>
      <c r="D38" s="161">
        <f t="shared" si="7"/>
        <v>87308</v>
      </c>
      <c r="E38" s="161">
        <f t="shared" si="8"/>
        <v>0</v>
      </c>
      <c r="F38" s="161">
        <v>0</v>
      </c>
      <c r="G38" s="161">
        <v>0</v>
      </c>
      <c r="H38" s="161">
        <v>0</v>
      </c>
      <c r="I38" s="161">
        <v>0</v>
      </c>
      <c r="J38" s="161">
        <f t="shared" si="9"/>
        <v>87308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v>87308</v>
      </c>
      <c r="Q38" s="158"/>
    </row>
    <row r="39" spans="1:17" ht="12.75" x14ac:dyDescent="0.2">
      <c r="A39" s="159">
        <v>29</v>
      </c>
      <c r="B39" s="131" t="s">
        <v>168</v>
      </c>
      <c r="C39" s="160" t="s">
        <v>169</v>
      </c>
      <c r="D39" s="161">
        <f t="shared" si="7"/>
        <v>1980</v>
      </c>
      <c r="E39" s="161">
        <f t="shared" si="8"/>
        <v>1980</v>
      </c>
      <c r="F39" s="161">
        <v>0</v>
      </c>
      <c r="G39" s="161">
        <v>1980</v>
      </c>
      <c r="H39" s="161">
        <v>0</v>
      </c>
      <c r="I39" s="161">
        <v>0</v>
      </c>
      <c r="J39" s="161">
        <f t="shared" si="9"/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58"/>
    </row>
    <row r="40" spans="1:17" ht="12.75" x14ac:dyDescent="0.2">
      <c r="A40" s="159">
        <v>30</v>
      </c>
      <c r="B40" s="163" t="s">
        <v>170</v>
      </c>
      <c r="C40" s="165" t="s">
        <v>171</v>
      </c>
      <c r="D40" s="161">
        <f t="shared" si="7"/>
        <v>23</v>
      </c>
      <c r="E40" s="161">
        <f t="shared" si="8"/>
        <v>23</v>
      </c>
      <c r="F40" s="161">
        <v>0</v>
      </c>
      <c r="G40" s="161">
        <v>0</v>
      </c>
      <c r="H40" s="161">
        <v>0</v>
      </c>
      <c r="I40" s="161">
        <v>23</v>
      </c>
      <c r="J40" s="161">
        <f t="shared" si="9"/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v>0</v>
      </c>
      <c r="Q40" s="158"/>
    </row>
    <row r="41" spans="1:17" ht="24" x14ac:dyDescent="0.2">
      <c r="A41" s="159">
        <v>31</v>
      </c>
      <c r="B41" s="85" t="s">
        <v>320</v>
      </c>
      <c r="C41" s="82" t="s">
        <v>380</v>
      </c>
      <c r="D41" s="161">
        <f t="shared" si="7"/>
        <v>0</v>
      </c>
      <c r="E41" s="161">
        <f t="shared" si="8"/>
        <v>0</v>
      </c>
      <c r="F41" s="161">
        <v>0</v>
      </c>
      <c r="G41" s="161">
        <v>0</v>
      </c>
      <c r="H41" s="161">
        <v>0</v>
      </c>
      <c r="I41" s="161">
        <v>0</v>
      </c>
      <c r="J41" s="161">
        <f t="shared" si="9"/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58"/>
    </row>
    <row r="42" spans="1:17" ht="25.5" x14ac:dyDescent="0.2">
      <c r="A42" s="159">
        <v>32</v>
      </c>
      <c r="B42" s="107" t="s">
        <v>55</v>
      </c>
      <c r="C42" s="108" t="s">
        <v>381</v>
      </c>
      <c r="D42" s="161">
        <f t="shared" si="7"/>
        <v>3952</v>
      </c>
      <c r="E42" s="161">
        <f t="shared" si="8"/>
        <v>0</v>
      </c>
      <c r="F42" s="161">
        <v>0</v>
      </c>
      <c r="G42" s="161">
        <v>0</v>
      </c>
      <c r="H42" s="161">
        <v>0</v>
      </c>
      <c r="I42" s="161">
        <v>0</v>
      </c>
      <c r="J42" s="161">
        <f t="shared" si="9"/>
        <v>3952</v>
      </c>
      <c r="K42" s="161">
        <v>270</v>
      </c>
      <c r="L42" s="161">
        <v>0</v>
      </c>
      <c r="M42" s="161">
        <v>30</v>
      </c>
      <c r="N42" s="161">
        <v>0</v>
      </c>
      <c r="O42" s="161">
        <v>3652</v>
      </c>
      <c r="P42" s="161">
        <v>0</v>
      </c>
      <c r="Q42" s="158"/>
    </row>
    <row r="43" spans="1:17" ht="12.75" x14ac:dyDescent="0.2">
      <c r="A43" s="159">
        <v>33</v>
      </c>
      <c r="B43" s="163" t="s">
        <v>56</v>
      </c>
      <c r="C43" s="160" t="s">
        <v>57</v>
      </c>
      <c r="D43" s="161">
        <f t="shared" si="7"/>
        <v>49737</v>
      </c>
      <c r="E43" s="161">
        <f t="shared" si="8"/>
        <v>0</v>
      </c>
      <c r="F43" s="161">
        <v>0</v>
      </c>
      <c r="G43" s="161">
        <v>0</v>
      </c>
      <c r="H43" s="161">
        <v>0</v>
      </c>
      <c r="I43" s="161">
        <v>0</v>
      </c>
      <c r="J43" s="161">
        <f t="shared" si="9"/>
        <v>49737</v>
      </c>
      <c r="K43" s="161">
        <v>8785</v>
      </c>
      <c r="L43" s="161">
        <v>1112</v>
      </c>
      <c r="M43" s="161">
        <v>1650</v>
      </c>
      <c r="N43" s="161">
        <v>516</v>
      </c>
      <c r="O43" s="161">
        <v>26758</v>
      </c>
      <c r="P43" s="161">
        <v>10916</v>
      </c>
      <c r="Q43" s="158"/>
    </row>
    <row r="44" spans="1:17" ht="12.75" x14ac:dyDescent="0.2">
      <c r="A44" s="159">
        <v>34</v>
      </c>
      <c r="B44" s="164" t="s">
        <v>58</v>
      </c>
      <c r="C44" s="165" t="s">
        <v>59</v>
      </c>
      <c r="D44" s="161">
        <f t="shared" si="7"/>
        <v>58079</v>
      </c>
      <c r="E44" s="161">
        <f t="shared" si="8"/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f t="shared" si="9"/>
        <v>58079</v>
      </c>
      <c r="K44" s="161">
        <v>8254</v>
      </c>
      <c r="L44" s="161">
        <v>2550</v>
      </c>
      <c r="M44" s="161">
        <v>0</v>
      </c>
      <c r="N44" s="161">
        <v>1550</v>
      </c>
      <c r="O44" s="161">
        <v>10781</v>
      </c>
      <c r="P44" s="161">
        <v>34944</v>
      </c>
      <c r="Q44" s="158"/>
    </row>
    <row r="45" spans="1:17" ht="12.75" x14ac:dyDescent="0.2">
      <c r="A45" s="159">
        <v>35</v>
      </c>
      <c r="B45" s="131" t="s">
        <v>172</v>
      </c>
      <c r="C45" s="160" t="s">
        <v>173</v>
      </c>
      <c r="D45" s="161">
        <f t="shared" si="7"/>
        <v>10193</v>
      </c>
      <c r="E45" s="161">
        <f t="shared" si="8"/>
        <v>10193</v>
      </c>
      <c r="F45" s="161">
        <v>0</v>
      </c>
      <c r="G45" s="161">
        <v>10193</v>
      </c>
      <c r="H45" s="161">
        <v>0</v>
      </c>
      <c r="I45" s="161">
        <v>0</v>
      </c>
      <c r="J45" s="161">
        <f t="shared" si="9"/>
        <v>0</v>
      </c>
      <c r="K45" s="161">
        <v>0</v>
      </c>
      <c r="L45" s="161">
        <v>0</v>
      </c>
      <c r="M45" s="161">
        <v>0</v>
      </c>
      <c r="N45" s="161">
        <v>0</v>
      </c>
      <c r="O45" s="161">
        <v>0</v>
      </c>
      <c r="P45" s="161">
        <v>0</v>
      </c>
      <c r="Q45" s="158"/>
    </row>
    <row r="46" spans="1:17" ht="12.75" x14ac:dyDescent="0.2">
      <c r="A46" s="159">
        <v>36</v>
      </c>
      <c r="B46" s="163" t="s">
        <v>60</v>
      </c>
      <c r="C46" s="160" t="s">
        <v>61</v>
      </c>
      <c r="D46" s="161">
        <f t="shared" si="7"/>
        <v>13231</v>
      </c>
      <c r="E46" s="161">
        <f t="shared" si="8"/>
        <v>0</v>
      </c>
      <c r="F46" s="161">
        <v>0</v>
      </c>
      <c r="G46" s="161">
        <v>0</v>
      </c>
      <c r="H46" s="161">
        <v>0</v>
      </c>
      <c r="I46" s="161">
        <v>0</v>
      </c>
      <c r="J46" s="161">
        <f t="shared" si="9"/>
        <v>13231</v>
      </c>
      <c r="K46" s="161">
        <v>1200</v>
      </c>
      <c r="L46" s="161">
        <v>150</v>
      </c>
      <c r="M46" s="161">
        <v>4365</v>
      </c>
      <c r="N46" s="161">
        <v>150</v>
      </c>
      <c r="O46" s="161">
        <v>4825</v>
      </c>
      <c r="P46" s="161">
        <v>2541</v>
      </c>
      <c r="Q46" s="158"/>
    </row>
    <row r="47" spans="1:17" ht="12.75" x14ac:dyDescent="0.2">
      <c r="A47" s="159">
        <v>37</v>
      </c>
      <c r="B47" s="107" t="s">
        <v>62</v>
      </c>
      <c r="C47" s="108" t="s">
        <v>63</v>
      </c>
      <c r="D47" s="161">
        <f t="shared" si="7"/>
        <v>36929</v>
      </c>
      <c r="E47" s="161">
        <f t="shared" si="8"/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f t="shared" si="9"/>
        <v>36929</v>
      </c>
      <c r="K47" s="161">
        <v>5896</v>
      </c>
      <c r="L47" s="161">
        <v>1152</v>
      </c>
      <c r="M47" s="161">
        <v>1151</v>
      </c>
      <c r="N47" s="161">
        <v>2300</v>
      </c>
      <c r="O47" s="161">
        <v>16957</v>
      </c>
      <c r="P47" s="161">
        <v>9473</v>
      </c>
      <c r="Q47" s="158"/>
    </row>
    <row r="48" spans="1:17" ht="12.75" x14ac:dyDescent="0.2">
      <c r="A48" s="159">
        <v>38</v>
      </c>
      <c r="B48" s="163" t="s">
        <v>64</v>
      </c>
      <c r="C48" s="160" t="s">
        <v>65</v>
      </c>
      <c r="D48" s="161">
        <f t="shared" si="7"/>
        <v>23224</v>
      </c>
      <c r="E48" s="161">
        <f t="shared" si="8"/>
        <v>0</v>
      </c>
      <c r="F48" s="161">
        <v>0</v>
      </c>
      <c r="G48" s="161">
        <v>0</v>
      </c>
      <c r="H48" s="161">
        <v>0</v>
      </c>
      <c r="I48" s="161">
        <v>0</v>
      </c>
      <c r="J48" s="161">
        <f t="shared" si="9"/>
        <v>23224</v>
      </c>
      <c r="K48" s="161">
        <v>810</v>
      </c>
      <c r="L48" s="161">
        <v>891</v>
      </c>
      <c r="M48" s="161">
        <v>118</v>
      </c>
      <c r="N48" s="161">
        <v>0</v>
      </c>
      <c r="O48" s="161">
        <v>9326</v>
      </c>
      <c r="P48" s="161">
        <v>12079</v>
      </c>
      <c r="Q48" s="158"/>
    </row>
    <row r="49" spans="1:17" ht="12.75" x14ac:dyDescent="0.2">
      <c r="A49" s="159">
        <v>39</v>
      </c>
      <c r="B49" s="131" t="s">
        <v>66</v>
      </c>
      <c r="C49" s="160" t="s">
        <v>382</v>
      </c>
      <c r="D49" s="161">
        <f t="shared" si="7"/>
        <v>38053</v>
      </c>
      <c r="E49" s="161">
        <f t="shared" si="8"/>
        <v>0</v>
      </c>
      <c r="F49" s="161">
        <v>0</v>
      </c>
      <c r="G49" s="161">
        <v>0</v>
      </c>
      <c r="H49" s="161">
        <v>0</v>
      </c>
      <c r="I49" s="161">
        <v>0</v>
      </c>
      <c r="J49" s="161">
        <f t="shared" si="9"/>
        <v>38053</v>
      </c>
      <c r="K49" s="161">
        <v>670</v>
      </c>
      <c r="L49" s="161">
        <v>1712</v>
      </c>
      <c r="M49" s="161">
        <v>535</v>
      </c>
      <c r="N49" s="161">
        <v>15</v>
      </c>
      <c r="O49" s="161">
        <v>4977</v>
      </c>
      <c r="P49" s="161">
        <v>30144</v>
      </c>
      <c r="Q49" s="158"/>
    </row>
    <row r="50" spans="1:17" ht="12.75" x14ac:dyDescent="0.2">
      <c r="A50" s="159">
        <v>40</v>
      </c>
      <c r="B50" s="166" t="s">
        <v>67</v>
      </c>
      <c r="C50" s="167" t="s">
        <v>383</v>
      </c>
      <c r="D50" s="161">
        <f t="shared" si="7"/>
        <v>12378</v>
      </c>
      <c r="E50" s="161">
        <f t="shared" si="8"/>
        <v>0</v>
      </c>
      <c r="F50" s="161">
        <v>0</v>
      </c>
      <c r="G50" s="161">
        <v>0</v>
      </c>
      <c r="H50" s="161">
        <v>0</v>
      </c>
      <c r="I50" s="161">
        <v>0</v>
      </c>
      <c r="J50" s="161">
        <f t="shared" si="9"/>
        <v>12378</v>
      </c>
      <c r="K50" s="161">
        <v>510</v>
      </c>
      <c r="L50" s="161">
        <v>210</v>
      </c>
      <c r="M50" s="161">
        <v>88</v>
      </c>
      <c r="N50" s="161">
        <v>820</v>
      </c>
      <c r="O50" s="161">
        <v>7637</v>
      </c>
      <c r="P50" s="161">
        <v>3113</v>
      </c>
      <c r="Q50" s="158"/>
    </row>
    <row r="51" spans="1:17" ht="12.75" x14ac:dyDescent="0.2">
      <c r="A51" s="159">
        <v>41</v>
      </c>
      <c r="B51" s="131" t="s">
        <v>68</v>
      </c>
      <c r="C51" s="160" t="s">
        <v>384</v>
      </c>
      <c r="D51" s="161">
        <f t="shared" si="7"/>
        <v>6807</v>
      </c>
      <c r="E51" s="161">
        <f t="shared" si="8"/>
        <v>0</v>
      </c>
      <c r="F51" s="161">
        <v>0</v>
      </c>
      <c r="G51" s="161">
        <v>0</v>
      </c>
      <c r="H51" s="161">
        <v>0</v>
      </c>
      <c r="I51" s="161">
        <v>0</v>
      </c>
      <c r="J51" s="161">
        <f t="shared" si="9"/>
        <v>6807</v>
      </c>
      <c r="K51" s="161">
        <v>0</v>
      </c>
      <c r="L51" s="161">
        <v>0</v>
      </c>
      <c r="M51" s="161">
        <v>0</v>
      </c>
      <c r="N51" s="161">
        <v>0</v>
      </c>
      <c r="O51" s="161">
        <v>6394</v>
      </c>
      <c r="P51" s="161">
        <v>413</v>
      </c>
      <c r="Q51" s="158"/>
    </row>
    <row r="52" spans="1:17" ht="12.75" x14ac:dyDescent="0.2">
      <c r="A52" s="159">
        <v>42</v>
      </c>
      <c r="B52" s="164" t="s">
        <v>69</v>
      </c>
      <c r="C52" s="165" t="s">
        <v>70</v>
      </c>
      <c r="D52" s="161">
        <f t="shared" si="7"/>
        <v>20210</v>
      </c>
      <c r="E52" s="161">
        <f t="shared" si="8"/>
        <v>0</v>
      </c>
      <c r="F52" s="161">
        <v>0</v>
      </c>
      <c r="G52" s="161">
        <v>0</v>
      </c>
      <c r="H52" s="161">
        <v>0</v>
      </c>
      <c r="I52" s="161">
        <v>0</v>
      </c>
      <c r="J52" s="161">
        <f t="shared" si="9"/>
        <v>20210</v>
      </c>
      <c r="K52" s="161">
        <v>421</v>
      </c>
      <c r="L52" s="161">
        <v>107</v>
      </c>
      <c r="M52" s="161">
        <v>475</v>
      </c>
      <c r="N52" s="161">
        <v>80</v>
      </c>
      <c r="O52" s="161">
        <v>11515</v>
      </c>
      <c r="P52" s="161">
        <v>7612</v>
      </c>
      <c r="Q52" s="158"/>
    </row>
    <row r="53" spans="1:17" ht="12.75" x14ac:dyDescent="0.2">
      <c r="A53" s="159">
        <v>43</v>
      </c>
      <c r="B53" s="107" t="s">
        <v>174</v>
      </c>
      <c r="C53" s="108" t="s">
        <v>175</v>
      </c>
      <c r="D53" s="161">
        <f t="shared" si="7"/>
        <v>5850</v>
      </c>
      <c r="E53" s="161">
        <f t="shared" si="8"/>
        <v>0</v>
      </c>
      <c r="F53" s="161">
        <v>0</v>
      </c>
      <c r="G53" s="161">
        <v>0</v>
      </c>
      <c r="H53" s="161">
        <v>0</v>
      </c>
      <c r="I53" s="161">
        <v>0</v>
      </c>
      <c r="J53" s="161">
        <f t="shared" si="9"/>
        <v>5850</v>
      </c>
      <c r="K53" s="161">
        <v>1060</v>
      </c>
      <c r="L53" s="161">
        <v>1110</v>
      </c>
      <c r="M53" s="161">
        <v>340</v>
      </c>
      <c r="N53" s="161">
        <v>74</v>
      </c>
      <c r="O53" s="161">
        <v>1515</v>
      </c>
      <c r="P53" s="161">
        <v>1751</v>
      </c>
      <c r="Q53" s="158"/>
    </row>
    <row r="54" spans="1:17" ht="12.75" x14ac:dyDescent="0.2">
      <c r="A54" s="159">
        <v>44</v>
      </c>
      <c r="B54" s="163" t="s">
        <v>71</v>
      </c>
      <c r="C54" s="160" t="s">
        <v>385</v>
      </c>
      <c r="D54" s="161">
        <f t="shared" si="7"/>
        <v>2724</v>
      </c>
      <c r="E54" s="161">
        <f t="shared" si="8"/>
        <v>0</v>
      </c>
      <c r="F54" s="161">
        <v>0</v>
      </c>
      <c r="G54" s="161">
        <v>0</v>
      </c>
      <c r="H54" s="161">
        <v>0</v>
      </c>
      <c r="I54" s="161">
        <v>0</v>
      </c>
      <c r="J54" s="161">
        <f t="shared" si="9"/>
        <v>2724</v>
      </c>
      <c r="K54" s="161">
        <v>2036</v>
      </c>
      <c r="L54" s="161">
        <v>0</v>
      </c>
      <c r="M54" s="161">
        <v>68</v>
      </c>
      <c r="N54" s="161">
        <v>0</v>
      </c>
      <c r="O54" s="161">
        <v>620</v>
      </c>
      <c r="P54" s="161">
        <v>0</v>
      </c>
      <c r="Q54" s="158"/>
    </row>
    <row r="55" spans="1:17" ht="12.75" x14ac:dyDescent="0.2">
      <c r="A55" s="159">
        <v>45</v>
      </c>
      <c r="B55" s="107" t="s">
        <v>72</v>
      </c>
      <c r="C55" s="108" t="s">
        <v>73</v>
      </c>
      <c r="D55" s="161">
        <f t="shared" si="7"/>
        <v>70148</v>
      </c>
      <c r="E55" s="161">
        <f t="shared" si="8"/>
        <v>0</v>
      </c>
      <c r="F55" s="161">
        <v>0</v>
      </c>
      <c r="G55" s="161">
        <v>0</v>
      </c>
      <c r="H55" s="161">
        <v>0</v>
      </c>
      <c r="I55" s="161">
        <v>0</v>
      </c>
      <c r="J55" s="161">
        <f t="shared" si="9"/>
        <v>70148</v>
      </c>
      <c r="K55" s="161">
        <v>18303</v>
      </c>
      <c r="L55" s="161">
        <v>3816</v>
      </c>
      <c r="M55" s="161">
        <v>11</v>
      </c>
      <c r="N55" s="161">
        <v>0</v>
      </c>
      <c r="O55" s="161">
        <v>22400</v>
      </c>
      <c r="P55" s="161">
        <v>25618</v>
      </c>
      <c r="Q55" s="158"/>
    </row>
    <row r="56" spans="1:17" ht="12.75" x14ac:dyDescent="0.2">
      <c r="A56" s="159">
        <v>46</v>
      </c>
      <c r="B56" s="131" t="s">
        <v>74</v>
      </c>
      <c r="C56" s="160" t="s">
        <v>386</v>
      </c>
      <c r="D56" s="161">
        <f t="shared" si="7"/>
        <v>6673</v>
      </c>
      <c r="E56" s="161">
        <f t="shared" si="8"/>
        <v>0</v>
      </c>
      <c r="F56" s="161">
        <v>0</v>
      </c>
      <c r="G56" s="161">
        <v>0</v>
      </c>
      <c r="H56" s="161">
        <v>0</v>
      </c>
      <c r="I56" s="161">
        <v>0</v>
      </c>
      <c r="J56" s="161">
        <f t="shared" si="9"/>
        <v>6673</v>
      </c>
      <c r="K56" s="161">
        <v>2663</v>
      </c>
      <c r="L56" s="161">
        <v>91</v>
      </c>
      <c r="M56" s="161">
        <v>182</v>
      </c>
      <c r="N56" s="161">
        <v>54</v>
      </c>
      <c r="O56" s="161">
        <v>2833</v>
      </c>
      <c r="P56" s="161">
        <v>850</v>
      </c>
      <c r="Q56" s="158"/>
    </row>
    <row r="57" spans="1:17" ht="12.75" x14ac:dyDescent="0.2">
      <c r="A57" s="159">
        <v>47</v>
      </c>
      <c r="B57" s="131" t="s">
        <v>75</v>
      </c>
      <c r="C57" s="160" t="s">
        <v>76</v>
      </c>
      <c r="D57" s="161">
        <f t="shared" si="7"/>
        <v>61008</v>
      </c>
      <c r="E57" s="161">
        <f t="shared" si="8"/>
        <v>0</v>
      </c>
      <c r="F57" s="161">
        <v>0</v>
      </c>
      <c r="G57" s="161">
        <v>0</v>
      </c>
      <c r="H57" s="161">
        <v>0</v>
      </c>
      <c r="I57" s="161">
        <v>0</v>
      </c>
      <c r="J57" s="161">
        <f t="shared" si="9"/>
        <v>61008</v>
      </c>
      <c r="K57" s="161">
        <v>4975</v>
      </c>
      <c r="L57" s="161">
        <v>1629</v>
      </c>
      <c r="M57" s="161">
        <v>202</v>
      </c>
      <c r="N57" s="161">
        <v>202</v>
      </c>
      <c r="O57" s="161">
        <v>17137</v>
      </c>
      <c r="P57" s="161">
        <v>36863</v>
      </c>
      <c r="Q57" s="158"/>
    </row>
    <row r="58" spans="1:17" ht="12.75" x14ac:dyDescent="0.2">
      <c r="A58" s="159">
        <v>48</v>
      </c>
      <c r="B58" s="168" t="s">
        <v>77</v>
      </c>
      <c r="C58" s="169" t="s">
        <v>78</v>
      </c>
      <c r="D58" s="161">
        <f t="shared" si="7"/>
        <v>9173</v>
      </c>
      <c r="E58" s="161">
        <f t="shared" si="8"/>
        <v>0</v>
      </c>
      <c r="F58" s="161">
        <v>0</v>
      </c>
      <c r="G58" s="161">
        <v>0</v>
      </c>
      <c r="H58" s="161">
        <v>0</v>
      </c>
      <c r="I58" s="161">
        <v>0</v>
      </c>
      <c r="J58" s="161">
        <f t="shared" si="9"/>
        <v>9173</v>
      </c>
      <c r="K58" s="161">
        <v>3025</v>
      </c>
      <c r="L58" s="161">
        <v>410</v>
      </c>
      <c r="M58" s="161">
        <v>500</v>
      </c>
      <c r="N58" s="161">
        <v>150</v>
      </c>
      <c r="O58" s="161">
        <v>2958</v>
      </c>
      <c r="P58" s="161">
        <v>2130</v>
      </c>
      <c r="Q58" s="158"/>
    </row>
    <row r="59" spans="1:17" ht="12.75" x14ac:dyDescent="0.2">
      <c r="A59" s="159">
        <v>49</v>
      </c>
      <c r="B59" s="107" t="s">
        <v>79</v>
      </c>
      <c r="C59" s="108" t="s">
        <v>387</v>
      </c>
      <c r="D59" s="161">
        <f t="shared" si="7"/>
        <v>17234</v>
      </c>
      <c r="E59" s="161">
        <f t="shared" si="8"/>
        <v>0</v>
      </c>
      <c r="F59" s="161">
        <v>0</v>
      </c>
      <c r="G59" s="161">
        <v>0</v>
      </c>
      <c r="H59" s="161">
        <v>0</v>
      </c>
      <c r="I59" s="161">
        <v>0</v>
      </c>
      <c r="J59" s="161">
        <f t="shared" si="9"/>
        <v>17234</v>
      </c>
      <c r="K59" s="161">
        <v>2324</v>
      </c>
      <c r="L59" s="161">
        <v>1170</v>
      </c>
      <c r="M59" s="161">
        <v>434</v>
      </c>
      <c r="N59" s="161">
        <v>700</v>
      </c>
      <c r="O59" s="161">
        <v>4582</v>
      </c>
      <c r="P59" s="161">
        <v>8024</v>
      </c>
      <c r="Q59" s="158"/>
    </row>
    <row r="60" spans="1:17" ht="12.75" x14ac:dyDescent="0.2">
      <c r="A60" s="159">
        <v>50</v>
      </c>
      <c r="B60" s="163" t="s">
        <v>80</v>
      </c>
      <c r="C60" s="160" t="s">
        <v>81</v>
      </c>
      <c r="D60" s="161">
        <f t="shared" si="7"/>
        <v>19830</v>
      </c>
      <c r="E60" s="161">
        <f t="shared" si="8"/>
        <v>0</v>
      </c>
      <c r="F60" s="161">
        <v>0</v>
      </c>
      <c r="G60" s="161">
        <v>0</v>
      </c>
      <c r="H60" s="161">
        <v>0</v>
      </c>
      <c r="I60" s="161">
        <v>0</v>
      </c>
      <c r="J60" s="161">
        <f t="shared" si="9"/>
        <v>19830</v>
      </c>
      <c r="K60" s="161">
        <v>500</v>
      </c>
      <c r="L60" s="161">
        <v>500</v>
      </c>
      <c r="M60" s="161">
        <v>0</v>
      </c>
      <c r="N60" s="161">
        <v>0</v>
      </c>
      <c r="O60" s="161">
        <v>9470</v>
      </c>
      <c r="P60" s="161">
        <v>9360</v>
      </c>
      <c r="Q60" s="158"/>
    </row>
    <row r="61" spans="1:17" ht="12.75" x14ac:dyDescent="0.2">
      <c r="A61" s="159">
        <v>51</v>
      </c>
      <c r="B61" s="107" t="s">
        <v>82</v>
      </c>
      <c r="C61" s="108" t="s">
        <v>83</v>
      </c>
      <c r="D61" s="161">
        <f t="shared" si="7"/>
        <v>3352</v>
      </c>
      <c r="E61" s="161">
        <f t="shared" si="8"/>
        <v>0</v>
      </c>
      <c r="F61" s="161">
        <v>0</v>
      </c>
      <c r="G61" s="161">
        <v>0</v>
      </c>
      <c r="H61" s="161">
        <v>0</v>
      </c>
      <c r="I61" s="161">
        <v>0</v>
      </c>
      <c r="J61" s="161">
        <f t="shared" si="9"/>
        <v>3352</v>
      </c>
      <c r="K61" s="161">
        <v>372</v>
      </c>
      <c r="L61" s="161">
        <v>125</v>
      </c>
      <c r="M61" s="161">
        <v>102</v>
      </c>
      <c r="N61" s="161">
        <v>3</v>
      </c>
      <c r="O61" s="161">
        <v>2395</v>
      </c>
      <c r="P61" s="161">
        <v>355</v>
      </c>
      <c r="Q61" s="158"/>
    </row>
    <row r="62" spans="1:17" ht="12.75" x14ac:dyDescent="0.2">
      <c r="A62" s="159">
        <v>52</v>
      </c>
      <c r="B62" s="163" t="s">
        <v>84</v>
      </c>
      <c r="C62" s="160" t="s">
        <v>85</v>
      </c>
      <c r="D62" s="161">
        <f t="shared" si="7"/>
        <v>14729</v>
      </c>
      <c r="E62" s="161">
        <f t="shared" si="8"/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f t="shared" si="9"/>
        <v>14729</v>
      </c>
      <c r="K62" s="161">
        <v>2795</v>
      </c>
      <c r="L62" s="161">
        <v>935</v>
      </c>
      <c r="M62" s="161">
        <v>156</v>
      </c>
      <c r="N62" s="161">
        <v>50</v>
      </c>
      <c r="O62" s="161">
        <v>2530</v>
      </c>
      <c r="P62" s="161">
        <v>8263</v>
      </c>
      <c r="Q62" s="158"/>
    </row>
    <row r="63" spans="1:17" ht="12.75" x14ac:dyDescent="0.2">
      <c r="A63" s="159">
        <v>53</v>
      </c>
      <c r="B63" s="107" t="s">
        <v>86</v>
      </c>
      <c r="C63" s="108" t="s">
        <v>388</v>
      </c>
      <c r="D63" s="161">
        <f t="shared" si="7"/>
        <v>23832</v>
      </c>
      <c r="E63" s="161">
        <f t="shared" si="8"/>
        <v>0</v>
      </c>
      <c r="F63" s="161">
        <v>0</v>
      </c>
      <c r="G63" s="161">
        <v>0</v>
      </c>
      <c r="H63" s="161">
        <v>0</v>
      </c>
      <c r="I63" s="161">
        <v>0</v>
      </c>
      <c r="J63" s="161">
        <f t="shared" si="9"/>
        <v>23832</v>
      </c>
      <c r="K63" s="161">
        <v>2400</v>
      </c>
      <c r="L63" s="161">
        <v>690</v>
      </c>
      <c r="M63" s="161">
        <v>412</v>
      </c>
      <c r="N63" s="161">
        <v>20</v>
      </c>
      <c r="O63" s="161">
        <v>12596</v>
      </c>
      <c r="P63" s="161">
        <v>7714</v>
      </c>
      <c r="Q63" s="158"/>
    </row>
    <row r="64" spans="1:17" ht="12.75" x14ac:dyDescent="0.2">
      <c r="A64" s="159">
        <v>54</v>
      </c>
      <c r="B64" s="107" t="s">
        <v>87</v>
      </c>
      <c r="C64" s="108" t="s">
        <v>88</v>
      </c>
      <c r="D64" s="161">
        <f t="shared" si="7"/>
        <v>60790</v>
      </c>
      <c r="E64" s="161">
        <f t="shared" si="8"/>
        <v>0</v>
      </c>
      <c r="F64" s="161">
        <v>0</v>
      </c>
      <c r="G64" s="161">
        <v>0</v>
      </c>
      <c r="H64" s="161">
        <v>0</v>
      </c>
      <c r="I64" s="161">
        <v>0</v>
      </c>
      <c r="J64" s="161">
        <f t="shared" si="9"/>
        <v>60790</v>
      </c>
      <c r="K64" s="161">
        <v>13994</v>
      </c>
      <c r="L64" s="161">
        <v>2000</v>
      </c>
      <c r="M64" s="161">
        <v>3439</v>
      </c>
      <c r="N64" s="161">
        <v>1450</v>
      </c>
      <c r="O64" s="161">
        <v>18610</v>
      </c>
      <c r="P64" s="161">
        <v>21297</v>
      </c>
      <c r="Q64" s="158"/>
    </row>
    <row r="65" spans="1:17" ht="12.75" x14ac:dyDescent="0.2">
      <c r="A65" s="159">
        <v>55</v>
      </c>
      <c r="B65" s="107" t="s">
        <v>89</v>
      </c>
      <c r="C65" s="108" t="s">
        <v>389</v>
      </c>
      <c r="D65" s="161">
        <f t="shared" si="7"/>
        <v>17826</v>
      </c>
      <c r="E65" s="161">
        <f t="shared" si="8"/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f t="shared" si="9"/>
        <v>17826</v>
      </c>
      <c r="K65" s="161">
        <v>190</v>
      </c>
      <c r="L65" s="161">
        <v>0</v>
      </c>
      <c r="M65" s="161">
        <v>1533</v>
      </c>
      <c r="N65" s="161">
        <v>0</v>
      </c>
      <c r="O65" s="161">
        <v>5443</v>
      </c>
      <c r="P65" s="161">
        <v>10660</v>
      </c>
      <c r="Q65" s="158"/>
    </row>
    <row r="66" spans="1:17" x14ac:dyDescent="0.2">
      <c r="A66" s="159">
        <v>56</v>
      </c>
      <c r="B66" s="97" t="s">
        <v>176</v>
      </c>
      <c r="C66" s="86" t="s">
        <v>390</v>
      </c>
      <c r="D66" s="161">
        <f t="shared" si="7"/>
        <v>0</v>
      </c>
      <c r="E66" s="161">
        <f t="shared" si="8"/>
        <v>0</v>
      </c>
      <c r="F66" s="161">
        <v>0</v>
      </c>
      <c r="G66" s="161">
        <v>0</v>
      </c>
      <c r="H66" s="161">
        <v>0</v>
      </c>
      <c r="I66" s="161">
        <v>0</v>
      </c>
      <c r="J66" s="161">
        <f t="shared" si="9"/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1">
        <v>0</v>
      </c>
      <c r="Q66" s="158"/>
    </row>
    <row r="67" spans="1:17" x14ac:dyDescent="0.2">
      <c r="A67" s="159">
        <v>57</v>
      </c>
      <c r="B67" s="97" t="s">
        <v>322</v>
      </c>
      <c r="C67" s="86" t="s">
        <v>323</v>
      </c>
      <c r="D67" s="161">
        <f t="shared" si="7"/>
        <v>0</v>
      </c>
      <c r="E67" s="161">
        <f t="shared" si="8"/>
        <v>0</v>
      </c>
      <c r="F67" s="161">
        <v>0</v>
      </c>
      <c r="G67" s="161">
        <v>0</v>
      </c>
      <c r="H67" s="161">
        <v>0</v>
      </c>
      <c r="I67" s="161">
        <v>0</v>
      </c>
      <c r="J67" s="161">
        <f t="shared" si="9"/>
        <v>0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1">
        <v>0</v>
      </c>
      <c r="Q67" s="158"/>
    </row>
    <row r="68" spans="1:17" ht="25.5" x14ac:dyDescent="0.2">
      <c r="A68" s="159">
        <v>58</v>
      </c>
      <c r="B68" s="107" t="s">
        <v>90</v>
      </c>
      <c r="C68" s="108" t="s">
        <v>391</v>
      </c>
      <c r="D68" s="161">
        <f t="shared" si="7"/>
        <v>82685</v>
      </c>
      <c r="E68" s="161">
        <f t="shared" si="8"/>
        <v>0</v>
      </c>
      <c r="F68" s="161">
        <v>0</v>
      </c>
      <c r="G68" s="161">
        <v>0</v>
      </c>
      <c r="H68" s="161">
        <v>0</v>
      </c>
      <c r="I68" s="161">
        <v>0</v>
      </c>
      <c r="J68" s="161">
        <f t="shared" si="9"/>
        <v>82685</v>
      </c>
      <c r="K68" s="161">
        <v>0</v>
      </c>
      <c r="L68" s="161">
        <v>4455</v>
      </c>
      <c r="M68" s="161">
        <v>0</v>
      </c>
      <c r="N68" s="161">
        <v>0</v>
      </c>
      <c r="O68" s="161">
        <v>0</v>
      </c>
      <c r="P68" s="161">
        <v>78230</v>
      </c>
      <c r="Q68" s="158"/>
    </row>
    <row r="69" spans="1:17" ht="25.5" x14ac:dyDescent="0.2">
      <c r="A69" s="159">
        <v>59</v>
      </c>
      <c r="B69" s="163" t="s">
        <v>91</v>
      </c>
      <c r="C69" s="108" t="s">
        <v>392</v>
      </c>
      <c r="D69" s="161">
        <f t="shared" si="7"/>
        <v>65932</v>
      </c>
      <c r="E69" s="161">
        <f t="shared" si="8"/>
        <v>0</v>
      </c>
      <c r="F69" s="161">
        <v>0</v>
      </c>
      <c r="G69" s="161">
        <v>0</v>
      </c>
      <c r="H69" s="161">
        <v>0</v>
      </c>
      <c r="I69" s="161">
        <v>0</v>
      </c>
      <c r="J69" s="161">
        <f t="shared" si="9"/>
        <v>65932</v>
      </c>
      <c r="K69" s="161">
        <v>0</v>
      </c>
      <c r="L69" s="161">
        <v>1360</v>
      </c>
      <c r="M69" s="161">
        <v>0</v>
      </c>
      <c r="N69" s="161">
        <v>0</v>
      </c>
      <c r="O69" s="161">
        <v>0</v>
      </c>
      <c r="P69" s="161">
        <v>64572</v>
      </c>
      <c r="Q69" s="158"/>
    </row>
    <row r="70" spans="1:17" ht="25.5" x14ac:dyDescent="0.2">
      <c r="A70" s="159">
        <v>60</v>
      </c>
      <c r="B70" s="164" t="s">
        <v>92</v>
      </c>
      <c r="C70" s="165" t="s">
        <v>393</v>
      </c>
      <c r="D70" s="161">
        <f t="shared" si="7"/>
        <v>83481</v>
      </c>
      <c r="E70" s="161">
        <f t="shared" si="8"/>
        <v>0</v>
      </c>
      <c r="F70" s="161">
        <v>0</v>
      </c>
      <c r="G70" s="161">
        <v>0</v>
      </c>
      <c r="H70" s="161">
        <v>0</v>
      </c>
      <c r="I70" s="161">
        <v>0</v>
      </c>
      <c r="J70" s="161">
        <f t="shared" si="9"/>
        <v>83481</v>
      </c>
      <c r="K70" s="161">
        <v>0</v>
      </c>
      <c r="L70" s="161">
        <v>0</v>
      </c>
      <c r="M70" s="161">
        <v>0</v>
      </c>
      <c r="N70" s="161">
        <v>1000</v>
      </c>
      <c r="O70" s="161">
        <v>0</v>
      </c>
      <c r="P70" s="161">
        <v>82481</v>
      </c>
      <c r="Q70" s="158"/>
    </row>
    <row r="71" spans="1:17" ht="25.5" x14ac:dyDescent="0.2">
      <c r="A71" s="159">
        <v>61</v>
      </c>
      <c r="B71" s="163" t="s">
        <v>93</v>
      </c>
      <c r="C71" s="108" t="s">
        <v>394</v>
      </c>
      <c r="D71" s="161">
        <f t="shared" si="7"/>
        <v>134379</v>
      </c>
      <c r="E71" s="161">
        <f t="shared" si="8"/>
        <v>0</v>
      </c>
      <c r="F71" s="161">
        <v>0</v>
      </c>
      <c r="G71" s="161">
        <v>0</v>
      </c>
      <c r="H71" s="161">
        <v>0</v>
      </c>
      <c r="I71" s="161">
        <v>0</v>
      </c>
      <c r="J71" s="161">
        <f t="shared" si="9"/>
        <v>134379</v>
      </c>
      <c r="K71" s="161">
        <v>0</v>
      </c>
      <c r="L71" s="161">
        <v>17250</v>
      </c>
      <c r="M71" s="161">
        <v>0</v>
      </c>
      <c r="N71" s="161">
        <v>0</v>
      </c>
      <c r="O71" s="161">
        <v>0</v>
      </c>
      <c r="P71" s="161">
        <v>117129</v>
      </c>
      <c r="Q71" s="158"/>
    </row>
    <row r="72" spans="1:17" ht="25.5" x14ac:dyDescent="0.2">
      <c r="A72" s="159">
        <v>62</v>
      </c>
      <c r="B72" s="107" t="s">
        <v>94</v>
      </c>
      <c r="C72" s="108" t="s">
        <v>395</v>
      </c>
      <c r="D72" s="161">
        <f t="shared" si="7"/>
        <v>46720</v>
      </c>
      <c r="E72" s="161">
        <f t="shared" si="8"/>
        <v>0</v>
      </c>
      <c r="F72" s="161">
        <v>0</v>
      </c>
      <c r="G72" s="161">
        <v>0</v>
      </c>
      <c r="H72" s="161">
        <v>0</v>
      </c>
      <c r="I72" s="161">
        <v>0</v>
      </c>
      <c r="J72" s="161">
        <f t="shared" si="9"/>
        <v>46720</v>
      </c>
      <c r="K72" s="161">
        <v>0</v>
      </c>
      <c r="L72" s="161">
        <v>575</v>
      </c>
      <c r="M72" s="161">
        <v>0</v>
      </c>
      <c r="N72" s="161">
        <v>1800</v>
      </c>
      <c r="O72" s="161">
        <v>0</v>
      </c>
      <c r="P72" s="161">
        <v>44345</v>
      </c>
      <c r="Q72" s="158"/>
    </row>
    <row r="73" spans="1:17" ht="38.25" x14ac:dyDescent="0.2">
      <c r="A73" s="159">
        <v>63</v>
      </c>
      <c r="B73" s="131" t="s">
        <v>177</v>
      </c>
      <c r="C73" s="108" t="s">
        <v>396</v>
      </c>
      <c r="D73" s="161">
        <f t="shared" si="7"/>
        <v>12</v>
      </c>
      <c r="E73" s="161">
        <f t="shared" si="8"/>
        <v>12</v>
      </c>
      <c r="F73" s="161">
        <v>0</v>
      </c>
      <c r="G73" s="161">
        <v>0</v>
      </c>
      <c r="H73" s="161">
        <v>0</v>
      </c>
      <c r="I73" s="161">
        <v>12</v>
      </c>
      <c r="J73" s="161">
        <f t="shared" si="9"/>
        <v>0</v>
      </c>
      <c r="K73" s="161">
        <v>0</v>
      </c>
      <c r="L73" s="161">
        <v>0</v>
      </c>
      <c r="M73" s="161">
        <v>0</v>
      </c>
      <c r="N73" s="161">
        <v>0</v>
      </c>
      <c r="O73" s="161">
        <v>0</v>
      </c>
      <c r="P73" s="161">
        <v>0</v>
      </c>
      <c r="Q73" s="158"/>
    </row>
    <row r="74" spans="1:17" ht="38.25" x14ac:dyDescent="0.2">
      <c r="A74" s="159">
        <v>64</v>
      </c>
      <c r="B74" s="131" t="s">
        <v>178</v>
      </c>
      <c r="C74" s="108" t="s">
        <v>397</v>
      </c>
      <c r="D74" s="161">
        <f t="shared" si="7"/>
        <v>30</v>
      </c>
      <c r="E74" s="161">
        <f t="shared" si="8"/>
        <v>30</v>
      </c>
      <c r="F74" s="161">
        <v>0</v>
      </c>
      <c r="G74" s="161">
        <v>0</v>
      </c>
      <c r="H74" s="161">
        <v>0</v>
      </c>
      <c r="I74" s="161">
        <v>30</v>
      </c>
      <c r="J74" s="161">
        <f t="shared" si="9"/>
        <v>0</v>
      </c>
      <c r="K74" s="161">
        <v>0</v>
      </c>
      <c r="L74" s="161">
        <v>0</v>
      </c>
      <c r="M74" s="161">
        <v>0</v>
      </c>
      <c r="N74" s="161">
        <v>0</v>
      </c>
      <c r="O74" s="161">
        <v>0</v>
      </c>
      <c r="P74" s="161">
        <v>0</v>
      </c>
      <c r="Q74" s="158"/>
    </row>
    <row r="75" spans="1:17" ht="12.75" x14ac:dyDescent="0.2">
      <c r="A75" s="159">
        <v>65</v>
      </c>
      <c r="B75" s="163" t="s">
        <v>95</v>
      </c>
      <c r="C75" s="108" t="s">
        <v>398</v>
      </c>
      <c r="D75" s="161">
        <f t="shared" si="7"/>
        <v>20701</v>
      </c>
      <c r="E75" s="161">
        <f t="shared" si="8"/>
        <v>0</v>
      </c>
      <c r="F75" s="161">
        <v>0</v>
      </c>
      <c r="G75" s="161">
        <v>0</v>
      </c>
      <c r="H75" s="161">
        <v>0</v>
      </c>
      <c r="I75" s="161">
        <v>0</v>
      </c>
      <c r="J75" s="161">
        <f t="shared" si="9"/>
        <v>20701</v>
      </c>
      <c r="K75" s="161">
        <v>1740</v>
      </c>
      <c r="L75" s="161">
        <v>83</v>
      </c>
      <c r="M75" s="161">
        <v>0</v>
      </c>
      <c r="N75" s="161">
        <v>0</v>
      </c>
      <c r="O75" s="161">
        <v>18173</v>
      </c>
      <c r="P75" s="161">
        <v>705</v>
      </c>
      <c r="Q75" s="158"/>
    </row>
    <row r="76" spans="1:17" ht="12.75" x14ac:dyDescent="0.2">
      <c r="A76" s="159">
        <v>66</v>
      </c>
      <c r="B76" s="131" t="s">
        <v>96</v>
      </c>
      <c r="C76" s="108" t="s">
        <v>399</v>
      </c>
      <c r="D76" s="161">
        <f t="shared" si="7"/>
        <v>2425</v>
      </c>
      <c r="E76" s="161">
        <f t="shared" si="8"/>
        <v>0</v>
      </c>
      <c r="F76" s="161">
        <v>0</v>
      </c>
      <c r="G76" s="161">
        <v>0</v>
      </c>
      <c r="H76" s="161">
        <v>0</v>
      </c>
      <c r="I76" s="161">
        <v>0</v>
      </c>
      <c r="J76" s="161">
        <f t="shared" si="9"/>
        <v>2425</v>
      </c>
      <c r="K76" s="161">
        <v>1450</v>
      </c>
      <c r="L76" s="161">
        <v>0</v>
      </c>
      <c r="M76" s="161">
        <v>0</v>
      </c>
      <c r="N76" s="161">
        <v>0</v>
      </c>
      <c r="O76" s="161">
        <v>975</v>
      </c>
      <c r="P76" s="161">
        <v>0</v>
      </c>
      <c r="Q76" s="158"/>
    </row>
    <row r="77" spans="1:17" ht="12.75" x14ac:dyDescent="0.2">
      <c r="A77" s="159">
        <v>67</v>
      </c>
      <c r="B77" s="163" t="s">
        <v>97</v>
      </c>
      <c r="C77" s="108" t="s">
        <v>400</v>
      </c>
      <c r="D77" s="161">
        <f t="shared" si="7"/>
        <v>9732</v>
      </c>
      <c r="E77" s="161">
        <f t="shared" si="8"/>
        <v>0</v>
      </c>
      <c r="F77" s="161">
        <v>0</v>
      </c>
      <c r="G77" s="161">
        <v>0</v>
      </c>
      <c r="H77" s="161">
        <v>0</v>
      </c>
      <c r="I77" s="161">
        <v>0</v>
      </c>
      <c r="J77" s="161">
        <f t="shared" si="9"/>
        <v>9732</v>
      </c>
      <c r="K77" s="161">
        <v>1175</v>
      </c>
      <c r="L77" s="161">
        <v>0</v>
      </c>
      <c r="M77" s="161">
        <v>245</v>
      </c>
      <c r="N77" s="161">
        <v>0</v>
      </c>
      <c r="O77" s="161">
        <v>8312</v>
      </c>
      <c r="P77" s="161">
        <v>0</v>
      </c>
      <c r="Q77" s="158"/>
    </row>
    <row r="78" spans="1:17" ht="12.75" x14ac:dyDescent="0.2">
      <c r="A78" s="159">
        <v>68</v>
      </c>
      <c r="B78" s="163" t="s">
        <v>98</v>
      </c>
      <c r="C78" s="108" t="s">
        <v>401</v>
      </c>
      <c r="D78" s="161">
        <f t="shared" si="7"/>
        <v>8849</v>
      </c>
      <c r="E78" s="161">
        <f t="shared" si="8"/>
        <v>0</v>
      </c>
      <c r="F78" s="161">
        <v>0</v>
      </c>
      <c r="G78" s="161">
        <v>0</v>
      </c>
      <c r="H78" s="161">
        <v>0</v>
      </c>
      <c r="I78" s="161">
        <v>0</v>
      </c>
      <c r="J78" s="161">
        <f t="shared" si="9"/>
        <v>8849</v>
      </c>
      <c r="K78" s="161">
        <v>0</v>
      </c>
      <c r="L78" s="161">
        <v>0</v>
      </c>
      <c r="M78" s="161">
        <v>0</v>
      </c>
      <c r="N78" s="161">
        <v>0</v>
      </c>
      <c r="O78" s="161">
        <v>8849</v>
      </c>
      <c r="P78" s="161">
        <v>0</v>
      </c>
      <c r="Q78" s="158"/>
    </row>
    <row r="79" spans="1:17" ht="12.75" x14ac:dyDescent="0.2">
      <c r="A79" s="159">
        <v>69</v>
      </c>
      <c r="B79" s="163" t="s">
        <v>99</v>
      </c>
      <c r="C79" s="108" t="s">
        <v>402</v>
      </c>
      <c r="D79" s="161">
        <f t="shared" si="7"/>
        <v>22362</v>
      </c>
      <c r="E79" s="161">
        <f t="shared" si="8"/>
        <v>0</v>
      </c>
      <c r="F79" s="161">
        <v>0</v>
      </c>
      <c r="G79" s="161">
        <v>0</v>
      </c>
      <c r="H79" s="161">
        <v>0</v>
      </c>
      <c r="I79" s="161">
        <v>0</v>
      </c>
      <c r="J79" s="161">
        <f t="shared" si="9"/>
        <v>22362</v>
      </c>
      <c r="K79" s="161">
        <v>7356</v>
      </c>
      <c r="L79" s="161">
        <v>0</v>
      </c>
      <c r="M79" s="161">
        <v>0</v>
      </c>
      <c r="N79" s="161">
        <v>0</v>
      </c>
      <c r="O79" s="161">
        <v>15006</v>
      </c>
      <c r="P79" s="161">
        <v>0</v>
      </c>
      <c r="Q79" s="158"/>
    </row>
    <row r="80" spans="1:17" ht="12.75" x14ac:dyDescent="0.2">
      <c r="A80" s="159">
        <v>70</v>
      </c>
      <c r="B80" s="107" t="s">
        <v>100</v>
      </c>
      <c r="C80" s="108" t="s">
        <v>403</v>
      </c>
      <c r="D80" s="161">
        <f t="shared" si="7"/>
        <v>11585</v>
      </c>
      <c r="E80" s="161">
        <f t="shared" si="8"/>
        <v>0</v>
      </c>
      <c r="F80" s="161">
        <v>0</v>
      </c>
      <c r="G80" s="161">
        <v>0</v>
      </c>
      <c r="H80" s="161">
        <v>0</v>
      </c>
      <c r="I80" s="161">
        <v>0</v>
      </c>
      <c r="J80" s="161">
        <f t="shared" si="9"/>
        <v>11585</v>
      </c>
      <c r="K80" s="161">
        <v>3100</v>
      </c>
      <c r="L80" s="161">
        <v>0</v>
      </c>
      <c r="M80" s="161">
        <v>0</v>
      </c>
      <c r="N80" s="161">
        <v>0</v>
      </c>
      <c r="O80" s="161">
        <v>8485</v>
      </c>
      <c r="P80" s="161">
        <v>0</v>
      </c>
      <c r="Q80" s="158"/>
    </row>
    <row r="81" spans="1:17" ht="12.75" x14ac:dyDescent="0.2">
      <c r="A81" s="159">
        <v>71</v>
      </c>
      <c r="B81" s="163" t="s">
        <v>101</v>
      </c>
      <c r="C81" s="160" t="s">
        <v>404</v>
      </c>
      <c r="D81" s="161">
        <f t="shared" si="7"/>
        <v>13614</v>
      </c>
      <c r="E81" s="161">
        <f t="shared" si="8"/>
        <v>0</v>
      </c>
      <c r="F81" s="161">
        <v>0</v>
      </c>
      <c r="G81" s="161">
        <v>0</v>
      </c>
      <c r="H81" s="161">
        <v>0</v>
      </c>
      <c r="I81" s="161">
        <v>0</v>
      </c>
      <c r="J81" s="161">
        <f t="shared" si="9"/>
        <v>13614</v>
      </c>
      <c r="K81" s="161">
        <v>3290</v>
      </c>
      <c r="L81" s="161">
        <v>0</v>
      </c>
      <c r="M81" s="161">
        <v>0</v>
      </c>
      <c r="N81" s="161">
        <v>0</v>
      </c>
      <c r="O81" s="161">
        <v>10324</v>
      </c>
      <c r="P81" s="161">
        <v>0</v>
      </c>
      <c r="Q81" s="158"/>
    </row>
    <row r="82" spans="1:17" ht="12.75" x14ac:dyDescent="0.2">
      <c r="A82" s="159">
        <v>72</v>
      </c>
      <c r="B82" s="107" t="s">
        <v>102</v>
      </c>
      <c r="C82" s="108" t="s">
        <v>405</v>
      </c>
      <c r="D82" s="161">
        <f t="shared" ref="D82:D158" si="10">E82+J82</f>
        <v>8028</v>
      </c>
      <c r="E82" s="161">
        <f t="shared" ref="E82:E158" si="11">F82+G82+H82+I82</f>
        <v>0</v>
      </c>
      <c r="F82" s="161">
        <v>0</v>
      </c>
      <c r="G82" s="161">
        <v>0</v>
      </c>
      <c r="H82" s="161">
        <v>0</v>
      </c>
      <c r="I82" s="161">
        <v>0</v>
      </c>
      <c r="J82" s="161">
        <f t="shared" ref="J82:J158" si="12">O82+P82+N82+M82+L82+K82</f>
        <v>8028</v>
      </c>
      <c r="K82" s="161">
        <v>1637</v>
      </c>
      <c r="L82" s="161">
        <v>0</v>
      </c>
      <c r="M82" s="161">
        <v>0</v>
      </c>
      <c r="N82" s="161">
        <v>0</v>
      </c>
      <c r="O82" s="161">
        <v>6391</v>
      </c>
      <c r="P82" s="161">
        <v>0</v>
      </c>
      <c r="Q82" s="158"/>
    </row>
    <row r="83" spans="1:17" ht="12.75" x14ac:dyDescent="0.2">
      <c r="A83" s="159">
        <v>73</v>
      </c>
      <c r="B83" s="163" t="s">
        <v>103</v>
      </c>
      <c r="C83" s="108" t="s">
        <v>406</v>
      </c>
      <c r="D83" s="161">
        <f t="shared" si="10"/>
        <v>22690</v>
      </c>
      <c r="E83" s="161">
        <f t="shared" si="11"/>
        <v>0</v>
      </c>
      <c r="F83" s="161">
        <v>0</v>
      </c>
      <c r="G83" s="161">
        <v>0</v>
      </c>
      <c r="H83" s="161">
        <v>0</v>
      </c>
      <c r="I83" s="161">
        <v>0</v>
      </c>
      <c r="J83" s="161">
        <f t="shared" si="12"/>
        <v>22690</v>
      </c>
      <c r="K83" s="161">
        <v>8176</v>
      </c>
      <c r="L83" s="161">
        <v>0</v>
      </c>
      <c r="M83" s="161">
        <v>0</v>
      </c>
      <c r="N83" s="161">
        <v>0</v>
      </c>
      <c r="O83" s="161">
        <v>14514</v>
      </c>
      <c r="P83" s="161">
        <v>0</v>
      </c>
      <c r="Q83" s="158"/>
    </row>
    <row r="84" spans="1:17" ht="12.75" x14ac:dyDescent="0.2">
      <c r="A84" s="159">
        <v>74</v>
      </c>
      <c r="B84" s="107" t="s">
        <v>104</v>
      </c>
      <c r="C84" s="108" t="s">
        <v>407</v>
      </c>
      <c r="D84" s="161">
        <f t="shared" si="10"/>
        <v>9938</v>
      </c>
      <c r="E84" s="161">
        <f t="shared" si="11"/>
        <v>0</v>
      </c>
      <c r="F84" s="161">
        <v>0</v>
      </c>
      <c r="G84" s="161">
        <v>0</v>
      </c>
      <c r="H84" s="161">
        <v>0</v>
      </c>
      <c r="I84" s="161">
        <v>0</v>
      </c>
      <c r="J84" s="161">
        <f t="shared" si="12"/>
        <v>9938</v>
      </c>
      <c r="K84" s="161">
        <v>1351</v>
      </c>
      <c r="L84" s="161">
        <v>0</v>
      </c>
      <c r="M84" s="161">
        <v>0</v>
      </c>
      <c r="N84" s="161">
        <v>0</v>
      </c>
      <c r="O84" s="161">
        <v>8587</v>
      </c>
      <c r="P84" s="161">
        <v>0</v>
      </c>
      <c r="Q84" s="158"/>
    </row>
    <row r="85" spans="1:17" ht="12.75" x14ac:dyDescent="0.2">
      <c r="A85" s="159">
        <v>75</v>
      </c>
      <c r="B85" s="107" t="s">
        <v>105</v>
      </c>
      <c r="C85" s="108" t="s">
        <v>408</v>
      </c>
      <c r="D85" s="161">
        <f t="shared" si="10"/>
        <v>9429</v>
      </c>
      <c r="E85" s="161">
        <f t="shared" si="11"/>
        <v>0</v>
      </c>
      <c r="F85" s="161">
        <v>0</v>
      </c>
      <c r="G85" s="161">
        <v>0</v>
      </c>
      <c r="H85" s="161">
        <v>0</v>
      </c>
      <c r="I85" s="161">
        <v>0</v>
      </c>
      <c r="J85" s="161">
        <f t="shared" si="12"/>
        <v>9429</v>
      </c>
      <c r="K85" s="161">
        <v>2070</v>
      </c>
      <c r="L85" s="161">
        <v>0</v>
      </c>
      <c r="M85" s="161">
        <v>0</v>
      </c>
      <c r="N85" s="161">
        <v>0</v>
      </c>
      <c r="O85" s="161">
        <v>7359</v>
      </c>
      <c r="P85" s="161">
        <v>0</v>
      </c>
      <c r="Q85" s="158"/>
    </row>
    <row r="86" spans="1:17" ht="25.5" x14ac:dyDescent="0.2">
      <c r="A86" s="159">
        <v>76</v>
      </c>
      <c r="B86" s="170" t="s">
        <v>179</v>
      </c>
      <c r="C86" s="169" t="s">
        <v>409</v>
      </c>
      <c r="D86" s="161">
        <f t="shared" si="10"/>
        <v>328</v>
      </c>
      <c r="E86" s="161">
        <f t="shared" si="11"/>
        <v>328</v>
      </c>
      <c r="F86" s="161">
        <v>0</v>
      </c>
      <c r="G86" s="161">
        <v>0</v>
      </c>
      <c r="H86" s="161">
        <v>328</v>
      </c>
      <c r="I86" s="161">
        <v>0</v>
      </c>
      <c r="J86" s="161">
        <f t="shared" si="12"/>
        <v>0</v>
      </c>
      <c r="K86" s="161">
        <v>0</v>
      </c>
      <c r="L86" s="161">
        <v>0</v>
      </c>
      <c r="M86" s="161">
        <v>0</v>
      </c>
      <c r="N86" s="161">
        <v>0</v>
      </c>
      <c r="O86" s="161">
        <v>0</v>
      </c>
      <c r="P86" s="161">
        <v>0</v>
      </c>
      <c r="Q86" s="158"/>
    </row>
    <row r="87" spans="1:17" ht="25.5" x14ac:dyDescent="0.2">
      <c r="A87" s="159">
        <v>77</v>
      </c>
      <c r="B87" s="131" t="s">
        <v>180</v>
      </c>
      <c r="C87" s="108" t="s">
        <v>410</v>
      </c>
      <c r="D87" s="161">
        <f t="shared" si="10"/>
        <v>95</v>
      </c>
      <c r="E87" s="161">
        <f t="shared" si="11"/>
        <v>95</v>
      </c>
      <c r="F87" s="161">
        <v>0</v>
      </c>
      <c r="G87" s="161">
        <v>0</v>
      </c>
      <c r="H87" s="161">
        <v>95</v>
      </c>
      <c r="I87" s="161">
        <v>0</v>
      </c>
      <c r="J87" s="161">
        <f t="shared" si="12"/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v>0</v>
      </c>
      <c r="Q87" s="158"/>
    </row>
    <row r="88" spans="1:17" ht="25.5" x14ac:dyDescent="0.2">
      <c r="A88" s="159">
        <v>78</v>
      </c>
      <c r="B88" s="163" t="s">
        <v>181</v>
      </c>
      <c r="C88" s="108" t="s">
        <v>411</v>
      </c>
      <c r="D88" s="161">
        <f t="shared" si="10"/>
        <v>96</v>
      </c>
      <c r="E88" s="161">
        <f t="shared" si="11"/>
        <v>96</v>
      </c>
      <c r="F88" s="161">
        <v>0</v>
      </c>
      <c r="G88" s="161">
        <v>0</v>
      </c>
      <c r="H88" s="161">
        <v>96</v>
      </c>
      <c r="I88" s="161">
        <v>0</v>
      </c>
      <c r="J88" s="161">
        <f t="shared" si="12"/>
        <v>0</v>
      </c>
      <c r="K88" s="161">
        <v>0</v>
      </c>
      <c r="L88" s="161">
        <v>0</v>
      </c>
      <c r="M88" s="161">
        <v>0</v>
      </c>
      <c r="N88" s="161">
        <v>0</v>
      </c>
      <c r="O88" s="161">
        <v>0</v>
      </c>
      <c r="P88" s="161">
        <v>0</v>
      </c>
      <c r="Q88" s="158"/>
    </row>
    <row r="89" spans="1:17" ht="25.5" x14ac:dyDescent="0.2">
      <c r="A89" s="159">
        <v>79</v>
      </c>
      <c r="B89" s="163" t="s">
        <v>182</v>
      </c>
      <c r="C89" s="108" t="s">
        <v>412</v>
      </c>
      <c r="D89" s="161">
        <f t="shared" si="10"/>
        <v>270</v>
      </c>
      <c r="E89" s="161">
        <f t="shared" si="11"/>
        <v>270</v>
      </c>
      <c r="F89" s="161">
        <v>0</v>
      </c>
      <c r="G89" s="161">
        <v>0</v>
      </c>
      <c r="H89" s="161">
        <v>270</v>
      </c>
      <c r="I89" s="161">
        <v>0</v>
      </c>
      <c r="J89" s="161">
        <f t="shared" si="12"/>
        <v>0</v>
      </c>
      <c r="K89" s="161">
        <v>0</v>
      </c>
      <c r="L89" s="161">
        <v>0</v>
      </c>
      <c r="M89" s="161">
        <v>0</v>
      </c>
      <c r="N89" s="161">
        <v>0</v>
      </c>
      <c r="O89" s="161">
        <v>0</v>
      </c>
      <c r="P89" s="161">
        <v>0</v>
      </c>
      <c r="Q89" s="158"/>
    </row>
    <row r="90" spans="1:17" ht="25.5" x14ac:dyDescent="0.2">
      <c r="A90" s="159">
        <v>80</v>
      </c>
      <c r="B90" s="131" t="s">
        <v>183</v>
      </c>
      <c r="C90" s="108" t="s">
        <v>413</v>
      </c>
      <c r="D90" s="161">
        <f t="shared" si="10"/>
        <v>584</v>
      </c>
      <c r="E90" s="161">
        <f t="shared" si="11"/>
        <v>584</v>
      </c>
      <c r="F90" s="161">
        <v>0</v>
      </c>
      <c r="G90" s="161">
        <v>0</v>
      </c>
      <c r="H90" s="161">
        <v>303</v>
      </c>
      <c r="I90" s="161">
        <v>281</v>
      </c>
      <c r="J90" s="161">
        <f t="shared" si="12"/>
        <v>0</v>
      </c>
      <c r="K90" s="161">
        <v>0</v>
      </c>
      <c r="L90" s="161">
        <v>0</v>
      </c>
      <c r="M90" s="161">
        <v>0</v>
      </c>
      <c r="N90" s="161">
        <v>0</v>
      </c>
      <c r="O90" s="161">
        <v>0</v>
      </c>
      <c r="P90" s="161">
        <v>0</v>
      </c>
      <c r="Q90" s="158"/>
    </row>
    <row r="91" spans="1:17" ht="25.5" x14ac:dyDescent="0.2">
      <c r="A91" s="159">
        <v>81</v>
      </c>
      <c r="B91" s="131" t="s">
        <v>184</v>
      </c>
      <c r="C91" s="108" t="s">
        <v>414</v>
      </c>
      <c r="D91" s="161">
        <f t="shared" si="10"/>
        <v>140</v>
      </c>
      <c r="E91" s="161">
        <f t="shared" si="11"/>
        <v>140</v>
      </c>
      <c r="F91" s="161">
        <v>0</v>
      </c>
      <c r="G91" s="161">
        <v>0</v>
      </c>
      <c r="H91" s="161">
        <v>140</v>
      </c>
      <c r="I91" s="161">
        <v>0</v>
      </c>
      <c r="J91" s="161">
        <f t="shared" si="12"/>
        <v>0</v>
      </c>
      <c r="K91" s="161">
        <v>0</v>
      </c>
      <c r="L91" s="161">
        <v>0</v>
      </c>
      <c r="M91" s="161">
        <v>0</v>
      </c>
      <c r="N91" s="161">
        <v>0</v>
      </c>
      <c r="O91" s="161">
        <v>0</v>
      </c>
      <c r="P91" s="161">
        <v>0</v>
      </c>
      <c r="Q91" s="158"/>
    </row>
    <row r="92" spans="1:17" ht="25.5" x14ac:dyDescent="0.2">
      <c r="A92" s="159">
        <v>82</v>
      </c>
      <c r="B92" s="131" t="s">
        <v>185</v>
      </c>
      <c r="C92" s="108" t="s">
        <v>415</v>
      </c>
      <c r="D92" s="161">
        <f t="shared" si="10"/>
        <v>0</v>
      </c>
      <c r="E92" s="161">
        <f t="shared" si="11"/>
        <v>0</v>
      </c>
      <c r="F92" s="161">
        <v>0</v>
      </c>
      <c r="G92" s="161">
        <v>0</v>
      </c>
      <c r="H92" s="161">
        <v>0</v>
      </c>
      <c r="I92" s="161">
        <v>0</v>
      </c>
      <c r="J92" s="161">
        <f t="shared" si="12"/>
        <v>0</v>
      </c>
      <c r="K92" s="161">
        <v>0</v>
      </c>
      <c r="L92" s="161">
        <v>0</v>
      </c>
      <c r="M92" s="161">
        <v>0</v>
      </c>
      <c r="N92" s="161">
        <v>0</v>
      </c>
      <c r="O92" s="161">
        <v>0</v>
      </c>
      <c r="P92" s="161">
        <v>0</v>
      </c>
      <c r="Q92" s="158"/>
    </row>
    <row r="93" spans="1:17" ht="25.5" x14ac:dyDescent="0.2">
      <c r="A93" s="159">
        <v>83</v>
      </c>
      <c r="B93" s="107" t="s">
        <v>106</v>
      </c>
      <c r="C93" s="108" t="s">
        <v>107</v>
      </c>
      <c r="D93" s="161">
        <f t="shared" si="10"/>
        <v>56585</v>
      </c>
      <c r="E93" s="161">
        <f t="shared" si="11"/>
        <v>0</v>
      </c>
      <c r="F93" s="161">
        <v>0</v>
      </c>
      <c r="G93" s="161">
        <v>0</v>
      </c>
      <c r="H93" s="161">
        <v>0</v>
      </c>
      <c r="I93" s="161">
        <v>0</v>
      </c>
      <c r="J93" s="161">
        <f t="shared" si="12"/>
        <v>56585</v>
      </c>
      <c r="K93" s="161">
        <v>8429</v>
      </c>
      <c r="L93" s="161">
        <v>120</v>
      </c>
      <c r="M93" s="161">
        <v>0</v>
      </c>
      <c r="N93" s="161">
        <v>380</v>
      </c>
      <c r="O93" s="161">
        <v>16072</v>
      </c>
      <c r="P93" s="161">
        <v>31584</v>
      </c>
      <c r="Q93" s="158"/>
    </row>
    <row r="94" spans="1:17" ht="12.75" x14ac:dyDescent="0.2">
      <c r="A94" s="159">
        <v>84</v>
      </c>
      <c r="B94" s="131" t="s">
        <v>108</v>
      </c>
      <c r="C94" s="108" t="s">
        <v>416</v>
      </c>
      <c r="D94" s="161">
        <f t="shared" si="10"/>
        <v>9032</v>
      </c>
      <c r="E94" s="161">
        <f t="shared" si="11"/>
        <v>0</v>
      </c>
      <c r="F94" s="161">
        <v>0</v>
      </c>
      <c r="G94" s="161">
        <v>0</v>
      </c>
      <c r="H94" s="161">
        <v>0</v>
      </c>
      <c r="I94" s="161">
        <v>0</v>
      </c>
      <c r="J94" s="161">
        <f t="shared" si="12"/>
        <v>9032</v>
      </c>
      <c r="K94" s="161">
        <v>3760</v>
      </c>
      <c r="L94" s="161">
        <v>0</v>
      </c>
      <c r="M94" s="161">
        <v>0</v>
      </c>
      <c r="N94" s="161">
        <v>0</v>
      </c>
      <c r="O94" s="161">
        <v>5272</v>
      </c>
      <c r="P94" s="161">
        <v>0</v>
      </c>
      <c r="Q94" s="158"/>
    </row>
    <row r="95" spans="1:17" ht="12.75" x14ac:dyDescent="0.2">
      <c r="A95" s="159">
        <v>85</v>
      </c>
      <c r="B95" s="107" t="s">
        <v>109</v>
      </c>
      <c r="C95" s="108" t="s">
        <v>417</v>
      </c>
      <c r="D95" s="161">
        <f t="shared" si="10"/>
        <v>14350</v>
      </c>
      <c r="E95" s="161">
        <f t="shared" si="11"/>
        <v>0</v>
      </c>
      <c r="F95" s="161">
        <v>0</v>
      </c>
      <c r="G95" s="161">
        <v>0</v>
      </c>
      <c r="H95" s="161">
        <v>0</v>
      </c>
      <c r="I95" s="161">
        <v>0</v>
      </c>
      <c r="J95" s="161">
        <f t="shared" si="12"/>
        <v>14350</v>
      </c>
      <c r="K95" s="161">
        <v>2930</v>
      </c>
      <c r="L95" s="161">
        <v>0</v>
      </c>
      <c r="M95" s="161">
        <v>1750</v>
      </c>
      <c r="N95" s="161">
        <v>0</v>
      </c>
      <c r="O95" s="161">
        <v>9670</v>
      </c>
      <c r="P95" s="161">
        <v>0</v>
      </c>
      <c r="Q95" s="158"/>
    </row>
    <row r="96" spans="1:17" ht="12.75" x14ac:dyDescent="0.2">
      <c r="A96" s="159">
        <v>86</v>
      </c>
      <c r="B96" s="164" t="s">
        <v>110</v>
      </c>
      <c r="C96" s="165" t="s">
        <v>418</v>
      </c>
      <c r="D96" s="161">
        <f t="shared" si="10"/>
        <v>9931</v>
      </c>
      <c r="E96" s="161">
        <f t="shared" si="11"/>
        <v>0</v>
      </c>
      <c r="F96" s="161">
        <v>0</v>
      </c>
      <c r="G96" s="161">
        <v>0</v>
      </c>
      <c r="H96" s="161">
        <v>0</v>
      </c>
      <c r="I96" s="161">
        <v>0</v>
      </c>
      <c r="J96" s="161">
        <f t="shared" si="12"/>
        <v>9931</v>
      </c>
      <c r="K96" s="161">
        <v>760</v>
      </c>
      <c r="L96" s="161">
        <v>0</v>
      </c>
      <c r="M96" s="161">
        <v>735</v>
      </c>
      <c r="N96" s="161">
        <v>0</v>
      </c>
      <c r="O96" s="161">
        <v>8436</v>
      </c>
      <c r="P96" s="161">
        <v>0</v>
      </c>
      <c r="Q96" s="158"/>
    </row>
    <row r="97" spans="1:17" ht="12.75" x14ac:dyDescent="0.2">
      <c r="A97" s="159">
        <v>87</v>
      </c>
      <c r="B97" s="131" t="s">
        <v>111</v>
      </c>
      <c r="C97" s="108" t="s">
        <v>419</v>
      </c>
      <c r="D97" s="161">
        <f t="shared" si="10"/>
        <v>2698</v>
      </c>
      <c r="E97" s="161">
        <f t="shared" si="11"/>
        <v>0</v>
      </c>
      <c r="F97" s="161">
        <v>0</v>
      </c>
      <c r="G97" s="161">
        <v>0</v>
      </c>
      <c r="H97" s="161">
        <v>0</v>
      </c>
      <c r="I97" s="161">
        <v>0</v>
      </c>
      <c r="J97" s="161">
        <f t="shared" si="12"/>
        <v>2698</v>
      </c>
      <c r="K97" s="161">
        <v>103</v>
      </c>
      <c r="L97" s="161">
        <v>0</v>
      </c>
      <c r="M97" s="161">
        <v>0</v>
      </c>
      <c r="N97" s="161">
        <v>0</v>
      </c>
      <c r="O97" s="161">
        <v>2595</v>
      </c>
      <c r="P97" s="161">
        <v>0</v>
      </c>
      <c r="Q97" s="158"/>
    </row>
    <row r="98" spans="1:17" ht="12.75" x14ac:dyDescent="0.2">
      <c r="A98" s="159">
        <v>88</v>
      </c>
      <c r="B98" s="131" t="s">
        <v>112</v>
      </c>
      <c r="C98" s="108" t="s">
        <v>420</v>
      </c>
      <c r="D98" s="161">
        <f t="shared" si="10"/>
        <v>58409</v>
      </c>
      <c r="E98" s="161">
        <f t="shared" si="11"/>
        <v>0</v>
      </c>
      <c r="F98" s="161">
        <v>0</v>
      </c>
      <c r="G98" s="161">
        <v>0</v>
      </c>
      <c r="H98" s="161">
        <v>0</v>
      </c>
      <c r="I98" s="161">
        <v>0</v>
      </c>
      <c r="J98" s="161">
        <f t="shared" si="12"/>
        <v>58409</v>
      </c>
      <c r="K98" s="161">
        <v>16737</v>
      </c>
      <c r="L98" s="161">
        <v>0</v>
      </c>
      <c r="M98" s="161">
        <v>273</v>
      </c>
      <c r="N98" s="161">
        <v>0</v>
      </c>
      <c r="O98" s="161">
        <v>41399</v>
      </c>
      <c r="P98" s="161">
        <v>0</v>
      </c>
      <c r="Q98" s="158"/>
    </row>
    <row r="99" spans="1:17" ht="12.75" x14ac:dyDescent="0.2">
      <c r="A99" s="159">
        <v>89</v>
      </c>
      <c r="B99" s="164" t="s">
        <v>113</v>
      </c>
      <c r="C99" s="165" t="s">
        <v>421</v>
      </c>
      <c r="D99" s="161">
        <f t="shared" si="10"/>
        <v>83914</v>
      </c>
      <c r="E99" s="161">
        <f t="shared" si="11"/>
        <v>0</v>
      </c>
      <c r="F99" s="161">
        <v>0</v>
      </c>
      <c r="G99" s="161">
        <v>0</v>
      </c>
      <c r="H99" s="161">
        <v>0</v>
      </c>
      <c r="I99" s="161">
        <v>0</v>
      </c>
      <c r="J99" s="161">
        <f t="shared" si="12"/>
        <v>83914</v>
      </c>
      <c r="K99" s="161">
        <v>0</v>
      </c>
      <c r="L99" s="161">
        <v>2225</v>
      </c>
      <c r="M99" s="161">
        <v>0</v>
      </c>
      <c r="N99" s="161">
        <v>0</v>
      </c>
      <c r="O99" s="161">
        <v>0</v>
      </c>
      <c r="P99" s="161">
        <v>81689</v>
      </c>
      <c r="Q99" s="158"/>
    </row>
    <row r="100" spans="1:17" ht="12.75" x14ac:dyDescent="0.2">
      <c r="A100" s="159">
        <v>90</v>
      </c>
      <c r="B100" s="131" t="s">
        <v>9</v>
      </c>
      <c r="C100" s="108" t="s">
        <v>422</v>
      </c>
      <c r="D100" s="161">
        <f t="shared" si="10"/>
        <v>18838</v>
      </c>
      <c r="E100" s="161">
        <f t="shared" si="11"/>
        <v>0</v>
      </c>
      <c r="F100" s="161">
        <v>0</v>
      </c>
      <c r="G100" s="161">
        <v>0</v>
      </c>
      <c r="H100" s="161">
        <v>0</v>
      </c>
      <c r="I100" s="161">
        <v>0</v>
      </c>
      <c r="J100" s="161">
        <f t="shared" si="12"/>
        <v>18838</v>
      </c>
      <c r="K100" s="161">
        <v>4068</v>
      </c>
      <c r="L100" s="161">
        <v>0</v>
      </c>
      <c r="M100" s="161">
        <f>635-363</f>
        <v>272</v>
      </c>
      <c r="N100" s="161">
        <v>0</v>
      </c>
      <c r="O100" s="161">
        <v>14498</v>
      </c>
      <c r="P100" s="161">
        <v>0</v>
      </c>
      <c r="Q100" s="158"/>
    </row>
    <row r="101" spans="1:17" ht="12.75" x14ac:dyDescent="0.2">
      <c r="A101" s="159">
        <v>91</v>
      </c>
      <c r="B101" s="164" t="s">
        <v>114</v>
      </c>
      <c r="C101" s="165" t="s">
        <v>423</v>
      </c>
      <c r="D101" s="161">
        <f t="shared" si="10"/>
        <v>21951</v>
      </c>
      <c r="E101" s="161">
        <f t="shared" si="11"/>
        <v>21951</v>
      </c>
      <c r="F101" s="161">
        <v>20606</v>
      </c>
      <c r="G101" s="161">
        <v>0</v>
      </c>
      <c r="H101" s="161">
        <v>1345</v>
      </c>
      <c r="I101" s="161">
        <v>0</v>
      </c>
      <c r="J101" s="161">
        <f t="shared" si="12"/>
        <v>0</v>
      </c>
      <c r="K101" s="161">
        <v>0</v>
      </c>
      <c r="L101" s="161">
        <v>0</v>
      </c>
      <c r="M101" s="161">
        <v>0</v>
      </c>
      <c r="N101" s="161">
        <v>0</v>
      </c>
      <c r="O101" s="161">
        <v>0</v>
      </c>
      <c r="P101" s="161">
        <v>0</v>
      </c>
      <c r="Q101" s="158"/>
    </row>
    <row r="102" spans="1:17" x14ac:dyDescent="0.2">
      <c r="A102" s="159">
        <v>92</v>
      </c>
      <c r="B102" s="94" t="s">
        <v>324</v>
      </c>
      <c r="C102" s="86" t="s">
        <v>424</v>
      </c>
      <c r="D102" s="161">
        <f t="shared" si="10"/>
        <v>0</v>
      </c>
      <c r="E102" s="161">
        <f t="shared" si="11"/>
        <v>0</v>
      </c>
      <c r="F102" s="161">
        <v>0</v>
      </c>
      <c r="G102" s="161">
        <v>0</v>
      </c>
      <c r="H102" s="161">
        <v>0</v>
      </c>
      <c r="I102" s="161">
        <v>0</v>
      </c>
      <c r="J102" s="161">
        <f t="shared" si="12"/>
        <v>0</v>
      </c>
      <c r="K102" s="161">
        <v>0</v>
      </c>
      <c r="L102" s="161">
        <v>0</v>
      </c>
      <c r="M102" s="161">
        <v>0</v>
      </c>
      <c r="N102" s="161">
        <v>0</v>
      </c>
      <c r="O102" s="161">
        <v>0</v>
      </c>
      <c r="P102" s="161">
        <v>0</v>
      </c>
      <c r="Q102" s="158"/>
    </row>
    <row r="103" spans="1:17" ht="25.5" x14ac:dyDescent="0.2">
      <c r="A103" s="159">
        <v>93</v>
      </c>
      <c r="B103" s="107" t="s">
        <v>115</v>
      </c>
      <c r="C103" s="108" t="s">
        <v>116</v>
      </c>
      <c r="D103" s="161">
        <f t="shared" si="10"/>
        <v>2030</v>
      </c>
      <c r="E103" s="161">
        <f t="shared" si="11"/>
        <v>0</v>
      </c>
      <c r="F103" s="161">
        <v>0</v>
      </c>
      <c r="G103" s="161">
        <v>0</v>
      </c>
      <c r="H103" s="161">
        <v>0</v>
      </c>
      <c r="I103" s="161">
        <v>0</v>
      </c>
      <c r="J103" s="161">
        <f t="shared" si="12"/>
        <v>2030</v>
      </c>
      <c r="K103" s="161">
        <v>0</v>
      </c>
      <c r="L103" s="161">
        <v>0</v>
      </c>
      <c r="M103" s="161">
        <v>0</v>
      </c>
      <c r="N103" s="161">
        <v>0</v>
      </c>
      <c r="O103" s="161">
        <v>2030</v>
      </c>
      <c r="P103" s="161">
        <v>0</v>
      </c>
      <c r="Q103" s="158"/>
    </row>
    <row r="104" spans="1:17" ht="25.5" x14ac:dyDescent="0.2">
      <c r="A104" s="159">
        <v>94</v>
      </c>
      <c r="B104" s="163" t="s">
        <v>186</v>
      </c>
      <c r="C104" s="160" t="s">
        <v>425</v>
      </c>
      <c r="D104" s="161">
        <f t="shared" si="10"/>
        <v>0</v>
      </c>
      <c r="E104" s="161">
        <f t="shared" si="11"/>
        <v>0</v>
      </c>
      <c r="F104" s="161">
        <v>0</v>
      </c>
      <c r="G104" s="161">
        <v>0</v>
      </c>
      <c r="H104" s="161">
        <v>0</v>
      </c>
      <c r="I104" s="161">
        <v>0</v>
      </c>
      <c r="J104" s="161">
        <f t="shared" si="12"/>
        <v>0</v>
      </c>
      <c r="K104" s="161">
        <v>0</v>
      </c>
      <c r="L104" s="161">
        <v>0</v>
      </c>
      <c r="M104" s="161">
        <v>0</v>
      </c>
      <c r="N104" s="161">
        <v>0</v>
      </c>
      <c r="O104" s="161">
        <v>0</v>
      </c>
      <c r="P104" s="161">
        <v>0</v>
      </c>
      <c r="Q104" s="158"/>
    </row>
    <row r="105" spans="1:17" ht="12.75" x14ac:dyDescent="0.2">
      <c r="A105" s="159">
        <v>95</v>
      </c>
      <c r="B105" s="163" t="s">
        <v>117</v>
      </c>
      <c r="C105" s="165" t="s">
        <v>426</v>
      </c>
      <c r="D105" s="161">
        <f t="shared" si="10"/>
        <v>3353</v>
      </c>
      <c r="E105" s="161">
        <f t="shared" si="11"/>
        <v>0</v>
      </c>
      <c r="F105" s="161">
        <v>0</v>
      </c>
      <c r="G105" s="161">
        <v>0</v>
      </c>
      <c r="H105" s="161">
        <v>0</v>
      </c>
      <c r="I105" s="161">
        <v>0</v>
      </c>
      <c r="J105" s="161">
        <f t="shared" si="12"/>
        <v>3353</v>
      </c>
      <c r="K105" s="161">
        <v>72</v>
      </c>
      <c r="L105" s="161">
        <v>0</v>
      </c>
      <c r="M105" s="161">
        <v>36</v>
      </c>
      <c r="N105" s="161">
        <v>0</v>
      </c>
      <c r="O105" s="161">
        <v>3245</v>
      </c>
      <c r="P105" s="161">
        <v>0</v>
      </c>
      <c r="Q105" s="158"/>
    </row>
    <row r="106" spans="1:17" ht="12.75" x14ac:dyDescent="0.2">
      <c r="A106" s="159">
        <v>96</v>
      </c>
      <c r="B106" s="107" t="s">
        <v>118</v>
      </c>
      <c r="C106" s="108" t="s">
        <v>427</v>
      </c>
      <c r="D106" s="161">
        <f t="shared" si="10"/>
        <v>10183</v>
      </c>
      <c r="E106" s="161">
        <f t="shared" si="11"/>
        <v>0</v>
      </c>
      <c r="F106" s="161">
        <v>0</v>
      </c>
      <c r="G106" s="161">
        <v>0</v>
      </c>
      <c r="H106" s="161">
        <v>0</v>
      </c>
      <c r="I106" s="161">
        <v>0</v>
      </c>
      <c r="J106" s="161">
        <f t="shared" si="12"/>
        <v>10183</v>
      </c>
      <c r="K106" s="161">
        <v>280</v>
      </c>
      <c r="L106" s="161">
        <v>0</v>
      </c>
      <c r="M106" s="161">
        <v>490</v>
      </c>
      <c r="N106" s="161">
        <v>0</v>
      </c>
      <c r="O106" s="161">
        <v>9413</v>
      </c>
      <c r="P106" s="161">
        <v>0</v>
      </c>
      <c r="Q106" s="158"/>
    </row>
    <row r="107" spans="1:17" ht="12.75" x14ac:dyDescent="0.2">
      <c r="A107" s="159">
        <v>97</v>
      </c>
      <c r="B107" s="163" t="s">
        <v>119</v>
      </c>
      <c r="C107" s="171" t="s">
        <v>120</v>
      </c>
      <c r="D107" s="161">
        <f t="shared" si="10"/>
        <v>6608</v>
      </c>
      <c r="E107" s="161">
        <f t="shared" si="11"/>
        <v>0</v>
      </c>
      <c r="F107" s="161">
        <v>0</v>
      </c>
      <c r="G107" s="161">
        <v>0</v>
      </c>
      <c r="H107" s="161">
        <v>0</v>
      </c>
      <c r="I107" s="161">
        <v>0</v>
      </c>
      <c r="J107" s="161">
        <f t="shared" si="12"/>
        <v>6608</v>
      </c>
      <c r="K107" s="161">
        <v>800</v>
      </c>
      <c r="L107" s="161">
        <v>150</v>
      </c>
      <c r="M107" s="161">
        <v>731</v>
      </c>
      <c r="N107" s="161">
        <v>500</v>
      </c>
      <c r="O107" s="161">
        <v>3605</v>
      </c>
      <c r="P107" s="161">
        <v>822</v>
      </c>
      <c r="Q107" s="158"/>
    </row>
    <row r="108" spans="1:17" ht="12.75" x14ac:dyDescent="0.2">
      <c r="A108" s="159">
        <v>98</v>
      </c>
      <c r="B108" s="107" t="s">
        <v>121</v>
      </c>
      <c r="C108" s="108" t="s">
        <v>122</v>
      </c>
      <c r="D108" s="161">
        <f t="shared" si="10"/>
        <v>12533</v>
      </c>
      <c r="E108" s="161">
        <f t="shared" si="11"/>
        <v>0</v>
      </c>
      <c r="F108" s="161">
        <v>0</v>
      </c>
      <c r="G108" s="161">
        <v>0</v>
      </c>
      <c r="H108" s="161">
        <v>0</v>
      </c>
      <c r="I108" s="161">
        <v>0</v>
      </c>
      <c r="J108" s="161">
        <f t="shared" si="12"/>
        <v>12533</v>
      </c>
      <c r="K108" s="161">
        <v>1540</v>
      </c>
      <c r="L108" s="161">
        <v>608</v>
      </c>
      <c r="M108" s="161">
        <v>213</v>
      </c>
      <c r="N108" s="161">
        <v>0</v>
      </c>
      <c r="O108" s="161">
        <v>5613</v>
      </c>
      <c r="P108" s="161">
        <v>4559</v>
      </c>
      <c r="Q108" s="158"/>
    </row>
    <row r="109" spans="1:17" ht="12.75" x14ac:dyDescent="0.2">
      <c r="A109" s="159">
        <v>99</v>
      </c>
      <c r="B109" s="107" t="s">
        <v>123</v>
      </c>
      <c r="C109" s="108" t="s">
        <v>124</v>
      </c>
      <c r="D109" s="161">
        <f t="shared" si="10"/>
        <v>29213</v>
      </c>
      <c r="E109" s="161">
        <f t="shared" si="11"/>
        <v>0</v>
      </c>
      <c r="F109" s="161">
        <v>0</v>
      </c>
      <c r="G109" s="161">
        <v>0</v>
      </c>
      <c r="H109" s="161">
        <v>0</v>
      </c>
      <c r="I109" s="161">
        <v>0</v>
      </c>
      <c r="J109" s="161">
        <f t="shared" si="12"/>
        <v>29213</v>
      </c>
      <c r="K109" s="161">
        <v>4791</v>
      </c>
      <c r="L109" s="161">
        <v>1900</v>
      </c>
      <c r="M109" s="161">
        <v>872</v>
      </c>
      <c r="N109" s="161">
        <v>0</v>
      </c>
      <c r="O109" s="161">
        <v>9949</v>
      </c>
      <c r="P109" s="161">
        <v>11701</v>
      </c>
      <c r="Q109" s="158"/>
    </row>
    <row r="110" spans="1:17" ht="12.75" x14ac:dyDescent="0.2">
      <c r="A110" s="159">
        <v>100</v>
      </c>
      <c r="B110" s="163" t="s">
        <v>125</v>
      </c>
      <c r="C110" s="165" t="s">
        <v>126</v>
      </c>
      <c r="D110" s="161">
        <f t="shared" si="10"/>
        <v>10366</v>
      </c>
      <c r="E110" s="161">
        <f t="shared" si="11"/>
        <v>0</v>
      </c>
      <c r="F110" s="161">
        <v>0</v>
      </c>
      <c r="G110" s="161">
        <v>0</v>
      </c>
      <c r="H110" s="161">
        <v>0</v>
      </c>
      <c r="I110" s="161">
        <v>0</v>
      </c>
      <c r="J110" s="161">
        <f t="shared" si="12"/>
        <v>10366</v>
      </c>
      <c r="K110" s="161">
        <v>1210</v>
      </c>
      <c r="L110" s="161">
        <v>195</v>
      </c>
      <c r="M110" s="161">
        <v>467</v>
      </c>
      <c r="N110" s="161">
        <v>100</v>
      </c>
      <c r="O110" s="161">
        <v>6392</v>
      </c>
      <c r="P110" s="161">
        <v>2002</v>
      </c>
      <c r="Q110" s="158"/>
    </row>
    <row r="111" spans="1:17" ht="12.75" x14ac:dyDescent="0.2">
      <c r="A111" s="159">
        <v>101</v>
      </c>
      <c r="B111" s="163" t="s">
        <v>127</v>
      </c>
      <c r="C111" s="160" t="s">
        <v>128</v>
      </c>
      <c r="D111" s="161">
        <f t="shared" si="10"/>
        <v>14088</v>
      </c>
      <c r="E111" s="161">
        <f t="shared" si="11"/>
        <v>0</v>
      </c>
      <c r="F111" s="161">
        <v>0</v>
      </c>
      <c r="G111" s="161">
        <v>0</v>
      </c>
      <c r="H111" s="161">
        <v>0</v>
      </c>
      <c r="I111" s="161">
        <v>0</v>
      </c>
      <c r="J111" s="161">
        <f t="shared" si="12"/>
        <v>14088</v>
      </c>
      <c r="K111" s="161">
        <v>3042</v>
      </c>
      <c r="L111" s="161">
        <v>332</v>
      </c>
      <c r="M111" s="161">
        <v>1048</v>
      </c>
      <c r="N111" s="161">
        <v>0</v>
      </c>
      <c r="O111" s="161">
        <v>1603</v>
      </c>
      <c r="P111" s="161">
        <v>8063</v>
      </c>
      <c r="Q111" s="158"/>
    </row>
    <row r="112" spans="1:17" ht="12.75" x14ac:dyDescent="0.2">
      <c r="A112" s="159">
        <v>102</v>
      </c>
      <c r="B112" s="131" t="s">
        <v>129</v>
      </c>
      <c r="C112" s="160" t="s">
        <v>130</v>
      </c>
      <c r="D112" s="161">
        <f t="shared" si="10"/>
        <v>33710</v>
      </c>
      <c r="E112" s="161">
        <f t="shared" si="11"/>
        <v>0</v>
      </c>
      <c r="F112" s="161">
        <v>0</v>
      </c>
      <c r="G112" s="161">
        <v>0</v>
      </c>
      <c r="H112" s="161">
        <v>0</v>
      </c>
      <c r="I112" s="161">
        <v>0</v>
      </c>
      <c r="J112" s="161">
        <f t="shared" si="12"/>
        <v>33710</v>
      </c>
      <c r="K112" s="161">
        <v>1300</v>
      </c>
      <c r="L112" s="161">
        <v>200</v>
      </c>
      <c r="M112" s="161">
        <v>529</v>
      </c>
      <c r="N112" s="161">
        <v>400</v>
      </c>
      <c r="O112" s="161">
        <v>15189</v>
      </c>
      <c r="P112" s="161">
        <v>16092</v>
      </c>
      <c r="Q112" s="158"/>
    </row>
    <row r="113" spans="1:17" ht="12.75" x14ac:dyDescent="0.2">
      <c r="A113" s="159">
        <v>103</v>
      </c>
      <c r="B113" s="131" t="s">
        <v>131</v>
      </c>
      <c r="C113" s="160" t="s">
        <v>132</v>
      </c>
      <c r="D113" s="161">
        <f t="shared" si="10"/>
        <v>36455</v>
      </c>
      <c r="E113" s="161">
        <f t="shared" si="11"/>
        <v>0</v>
      </c>
      <c r="F113" s="161">
        <v>0</v>
      </c>
      <c r="G113" s="161">
        <v>0</v>
      </c>
      <c r="H113" s="161">
        <v>0</v>
      </c>
      <c r="I113" s="161">
        <v>0</v>
      </c>
      <c r="J113" s="161">
        <f t="shared" si="12"/>
        <v>36455</v>
      </c>
      <c r="K113" s="161">
        <v>11610</v>
      </c>
      <c r="L113" s="161">
        <v>1744</v>
      </c>
      <c r="M113" s="161">
        <v>0</v>
      </c>
      <c r="N113" s="161">
        <v>1600</v>
      </c>
      <c r="O113" s="161">
        <v>8104</v>
      </c>
      <c r="P113" s="161">
        <v>13397</v>
      </c>
      <c r="Q113" s="158"/>
    </row>
    <row r="114" spans="1:17" ht="12.75" x14ac:dyDescent="0.2">
      <c r="A114" s="159">
        <v>104</v>
      </c>
      <c r="B114" s="107" t="s">
        <v>133</v>
      </c>
      <c r="C114" s="108" t="s">
        <v>134</v>
      </c>
      <c r="D114" s="161">
        <f t="shared" si="10"/>
        <v>12673</v>
      </c>
      <c r="E114" s="161">
        <f t="shared" si="11"/>
        <v>0</v>
      </c>
      <c r="F114" s="161">
        <v>0</v>
      </c>
      <c r="G114" s="161">
        <v>0</v>
      </c>
      <c r="H114" s="161">
        <v>0</v>
      </c>
      <c r="I114" s="161">
        <v>0</v>
      </c>
      <c r="J114" s="161">
        <f t="shared" si="12"/>
        <v>12673</v>
      </c>
      <c r="K114" s="161">
        <v>606</v>
      </c>
      <c r="L114" s="161">
        <v>0</v>
      </c>
      <c r="M114" s="161">
        <v>416</v>
      </c>
      <c r="N114" s="161">
        <v>0</v>
      </c>
      <c r="O114" s="161">
        <v>9543</v>
      </c>
      <c r="P114" s="161">
        <v>2108</v>
      </c>
      <c r="Q114" s="158"/>
    </row>
    <row r="115" spans="1:17" ht="12.75" x14ac:dyDescent="0.2">
      <c r="A115" s="159">
        <v>105</v>
      </c>
      <c r="B115" s="164" t="s">
        <v>135</v>
      </c>
      <c r="C115" s="165" t="s">
        <v>136</v>
      </c>
      <c r="D115" s="161">
        <f t="shared" si="10"/>
        <v>17485</v>
      </c>
      <c r="E115" s="161">
        <f t="shared" si="11"/>
        <v>0</v>
      </c>
      <c r="F115" s="161">
        <v>0</v>
      </c>
      <c r="G115" s="161">
        <v>0</v>
      </c>
      <c r="H115" s="161">
        <v>0</v>
      </c>
      <c r="I115" s="161">
        <v>0</v>
      </c>
      <c r="J115" s="161">
        <f t="shared" si="12"/>
        <v>17485</v>
      </c>
      <c r="K115" s="161">
        <v>3151</v>
      </c>
      <c r="L115" s="161">
        <v>232</v>
      </c>
      <c r="M115" s="161">
        <v>69</v>
      </c>
      <c r="N115" s="161">
        <v>99</v>
      </c>
      <c r="O115" s="161">
        <v>5792</v>
      </c>
      <c r="P115" s="161">
        <v>8142</v>
      </c>
      <c r="Q115" s="158"/>
    </row>
    <row r="116" spans="1:17" ht="12.75" x14ac:dyDescent="0.2">
      <c r="A116" s="159">
        <v>106</v>
      </c>
      <c r="B116" s="131" t="s">
        <v>137</v>
      </c>
      <c r="C116" s="160" t="s">
        <v>138</v>
      </c>
      <c r="D116" s="161">
        <f t="shared" si="10"/>
        <v>13715</v>
      </c>
      <c r="E116" s="161">
        <f t="shared" si="11"/>
        <v>0</v>
      </c>
      <c r="F116" s="161">
        <v>0</v>
      </c>
      <c r="G116" s="161">
        <v>0</v>
      </c>
      <c r="H116" s="161">
        <v>0</v>
      </c>
      <c r="I116" s="161">
        <v>0</v>
      </c>
      <c r="J116" s="161">
        <f t="shared" si="12"/>
        <v>13715</v>
      </c>
      <c r="K116" s="161">
        <v>1860</v>
      </c>
      <c r="L116" s="161">
        <v>700</v>
      </c>
      <c r="M116" s="161">
        <v>208</v>
      </c>
      <c r="N116" s="161">
        <v>60</v>
      </c>
      <c r="O116" s="161">
        <v>6655</v>
      </c>
      <c r="P116" s="161">
        <v>4232</v>
      </c>
      <c r="Q116" s="158"/>
    </row>
    <row r="117" spans="1:17" ht="12.75" x14ac:dyDescent="0.2">
      <c r="A117" s="159">
        <v>107</v>
      </c>
      <c r="B117" s="163" t="s">
        <v>139</v>
      </c>
      <c r="C117" s="160" t="s">
        <v>140</v>
      </c>
      <c r="D117" s="161">
        <f t="shared" si="10"/>
        <v>16469</v>
      </c>
      <c r="E117" s="161">
        <f t="shared" si="11"/>
        <v>0</v>
      </c>
      <c r="F117" s="161">
        <v>0</v>
      </c>
      <c r="G117" s="161">
        <v>0</v>
      </c>
      <c r="H117" s="161">
        <v>0</v>
      </c>
      <c r="I117" s="161">
        <v>0</v>
      </c>
      <c r="J117" s="161">
        <f t="shared" si="12"/>
        <v>16469</v>
      </c>
      <c r="K117" s="161">
        <v>1080</v>
      </c>
      <c r="L117" s="161">
        <v>140</v>
      </c>
      <c r="M117" s="161">
        <v>82</v>
      </c>
      <c r="N117" s="161">
        <v>0</v>
      </c>
      <c r="O117" s="161">
        <v>4631</v>
      </c>
      <c r="P117" s="161">
        <v>10536</v>
      </c>
      <c r="Q117" s="158"/>
    </row>
    <row r="118" spans="1:17" ht="12.75" x14ac:dyDescent="0.2">
      <c r="A118" s="159">
        <v>108</v>
      </c>
      <c r="B118" s="107" t="s">
        <v>141</v>
      </c>
      <c r="C118" s="108" t="s">
        <v>142</v>
      </c>
      <c r="D118" s="161">
        <f t="shared" si="10"/>
        <v>13182</v>
      </c>
      <c r="E118" s="161">
        <f t="shared" si="11"/>
        <v>0</v>
      </c>
      <c r="F118" s="161">
        <v>0</v>
      </c>
      <c r="G118" s="161">
        <v>0</v>
      </c>
      <c r="H118" s="161">
        <v>0</v>
      </c>
      <c r="I118" s="161">
        <v>0</v>
      </c>
      <c r="J118" s="161">
        <f t="shared" si="12"/>
        <v>13182</v>
      </c>
      <c r="K118" s="161">
        <v>2969</v>
      </c>
      <c r="L118" s="161">
        <v>634</v>
      </c>
      <c r="M118" s="161">
        <v>1175</v>
      </c>
      <c r="N118" s="161">
        <v>0</v>
      </c>
      <c r="O118" s="161">
        <v>4624</v>
      </c>
      <c r="P118" s="161">
        <v>3780</v>
      </c>
      <c r="Q118" s="158"/>
    </row>
    <row r="119" spans="1:17" ht="12.75" x14ac:dyDescent="0.2">
      <c r="A119" s="159">
        <v>109</v>
      </c>
      <c r="B119" s="107" t="s">
        <v>143</v>
      </c>
      <c r="C119" s="108" t="s">
        <v>144</v>
      </c>
      <c r="D119" s="161">
        <f t="shared" si="10"/>
        <v>9120</v>
      </c>
      <c r="E119" s="161">
        <f t="shared" si="11"/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f t="shared" si="12"/>
        <v>9120</v>
      </c>
      <c r="K119" s="161">
        <v>1110</v>
      </c>
      <c r="L119" s="161">
        <v>0</v>
      </c>
      <c r="M119" s="161">
        <v>1233</v>
      </c>
      <c r="N119" s="161">
        <v>440</v>
      </c>
      <c r="O119" s="161">
        <v>1650</v>
      </c>
      <c r="P119" s="161">
        <v>4687</v>
      </c>
      <c r="Q119" s="158"/>
    </row>
    <row r="120" spans="1:17" ht="12.75" x14ac:dyDescent="0.2">
      <c r="A120" s="159">
        <v>110</v>
      </c>
      <c r="B120" s="131" t="s">
        <v>145</v>
      </c>
      <c r="C120" s="160" t="s">
        <v>146</v>
      </c>
      <c r="D120" s="161">
        <f t="shared" si="10"/>
        <v>19132</v>
      </c>
      <c r="E120" s="161">
        <f t="shared" si="11"/>
        <v>0</v>
      </c>
      <c r="F120" s="161">
        <v>0</v>
      </c>
      <c r="G120" s="161">
        <v>0</v>
      </c>
      <c r="H120" s="161">
        <v>0</v>
      </c>
      <c r="I120" s="161">
        <v>0</v>
      </c>
      <c r="J120" s="161">
        <f t="shared" si="12"/>
        <v>19132</v>
      </c>
      <c r="K120" s="161">
        <v>6278</v>
      </c>
      <c r="L120" s="161">
        <v>152</v>
      </c>
      <c r="M120" s="161">
        <v>1159</v>
      </c>
      <c r="N120" s="161">
        <v>0</v>
      </c>
      <c r="O120" s="161">
        <v>8060</v>
      </c>
      <c r="P120" s="161">
        <v>3483</v>
      </c>
      <c r="Q120" s="158"/>
    </row>
    <row r="121" spans="1:17" ht="12.75" x14ac:dyDescent="0.2">
      <c r="A121" s="159">
        <v>111</v>
      </c>
      <c r="B121" s="163" t="s">
        <v>147</v>
      </c>
      <c r="C121" s="160" t="s">
        <v>428</v>
      </c>
      <c r="D121" s="161">
        <f t="shared" si="10"/>
        <v>11651</v>
      </c>
      <c r="E121" s="161">
        <f t="shared" si="11"/>
        <v>0</v>
      </c>
      <c r="F121" s="161">
        <v>0</v>
      </c>
      <c r="G121" s="161">
        <v>0</v>
      </c>
      <c r="H121" s="161">
        <v>0</v>
      </c>
      <c r="I121" s="161">
        <v>0</v>
      </c>
      <c r="J121" s="161">
        <f t="shared" si="12"/>
        <v>11651</v>
      </c>
      <c r="K121" s="161">
        <v>1030</v>
      </c>
      <c r="L121" s="161">
        <v>160</v>
      </c>
      <c r="M121" s="161">
        <v>655</v>
      </c>
      <c r="N121" s="161">
        <v>250</v>
      </c>
      <c r="O121" s="161">
        <v>5355</v>
      </c>
      <c r="P121" s="161">
        <v>4201</v>
      </c>
      <c r="Q121" s="158"/>
    </row>
    <row r="122" spans="1:17" ht="12.75" x14ac:dyDescent="0.2">
      <c r="A122" s="159">
        <v>112</v>
      </c>
      <c r="B122" s="131" t="s">
        <v>187</v>
      </c>
      <c r="C122" s="108" t="s">
        <v>429</v>
      </c>
      <c r="D122" s="161">
        <f t="shared" si="10"/>
        <v>0</v>
      </c>
      <c r="E122" s="161">
        <f t="shared" si="11"/>
        <v>0</v>
      </c>
      <c r="F122" s="161">
        <v>0</v>
      </c>
      <c r="G122" s="161">
        <v>0</v>
      </c>
      <c r="H122" s="161">
        <v>0</v>
      </c>
      <c r="I122" s="161">
        <v>0</v>
      </c>
      <c r="J122" s="161">
        <f t="shared" si="12"/>
        <v>0</v>
      </c>
      <c r="K122" s="161">
        <v>0</v>
      </c>
      <c r="L122" s="161">
        <v>0</v>
      </c>
      <c r="M122" s="161">
        <v>0</v>
      </c>
      <c r="N122" s="161">
        <v>0</v>
      </c>
      <c r="O122" s="161">
        <v>0</v>
      </c>
      <c r="P122" s="161">
        <v>0</v>
      </c>
      <c r="Q122" s="158"/>
    </row>
    <row r="123" spans="1:17" x14ac:dyDescent="0.2">
      <c r="A123" s="159">
        <v>113</v>
      </c>
      <c r="B123" s="142" t="s">
        <v>326</v>
      </c>
      <c r="C123" s="82" t="s">
        <v>327</v>
      </c>
      <c r="D123" s="161">
        <f t="shared" si="10"/>
        <v>0</v>
      </c>
      <c r="E123" s="161">
        <f t="shared" si="11"/>
        <v>0</v>
      </c>
      <c r="F123" s="161">
        <v>0</v>
      </c>
      <c r="G123" s="161">
        <v>0</v>
      </c>
      <c r="H123" s="161">
        <v>0</v>
      </c>
      <c r="I123" s="161">
        <v>0</v>
      </c>
      <c r="J123" s="161">
        <f t="shared" si="12"/>
        <v>0</v>
      </c>
      <c r="K123" s="161">
        <v>0</v>
      </c>
      <c r="L123" s="161">
        <v>0</v>
      </c>
      <c r="M123" s="161">
        <v>0</v>
      </c>
      <c r="N123" s="161">
        <v>0</v>
      </c>
      <c r="O123" s="161">
        <v>0</v>
      </c>
      <c r="P123" s="161">
        <v>0</v>
      </c>
      <c r="Q123" s="158"/>
    </row>
    <row r="124" spans="1:17" ht="12.75" x14ac:dyDescent="0.2">
      <c r="A124" s="159">
        <v>114</v>
      </c>
      <c r="B124" s="107" t="s">
        <v>188</v>
      </c>
      <c r="C124" s="108" t="s">
        <v>430</v>
      </c>
      <c r="D124" s="161">
        <f t="shared" si="10"/>
        <v>0</v>
      </c>
      <c r="E124" s="161">
        <f t="shared" si="11"/>
        <v>0</v>
      </c>
      <c r="F124" s="161">
        <v>0</v>
      </c>
      <c r="G124" s="161">
        <v>0</v>
      </c>
      <c r="H124" s="161">
        <v>0</v>
      </c>
      <c r="I124" s="161">
        <v>0</v>
      </c>
      <c r="J124" s="161">
        <f t="shared" si="12"/>
        <v>0</v>
      </c>
      <c r="K124" s="161">
        <v>0</v>
      </c>
      <c r="L124" s="161">
        <v>0</v>
      </c>
      <c r="M124" s="161">
        <v>0</v>
      </c>
      <c r="N124" s="161">
        <v>0</v>
      </c>
      <c r="O124" s="161">
        <v>0</v>
      </c>
      <c r="P124" s="161">
        <v>0</v>
      </c>
      <c r="Q124" s="158"/>
    </row>
    <row r="125" spans="1:17" ht="12.75" x14ac:dyDescent="0.2">
      <c r="A125" s="159">
        <v>115</v>
      </c>
      <c r="B125" s="107" t="s">
        <v>189</v>
      </c>
      <c r="C125" s="108" t="s">
        <v>431</v>
      </c>
      <c r="D125" s="161">
        <f t="shared" si="10"/>
        <v>0</v>
      </c>
      <c r="E125" s="161">
        <f t="shared" si="11"/>
        <v>0</v>
      </c>
      <c r="F125" s="161">
        <v>0</v>
      </c>
      <c r="G125" s="161">
        <v>0</v>
      </c>
      <c r="H125" s="161">
        <v>0</v>
      </c>
      <c r="I125" s="161">
        <v>0</v>
      </c>
      <c r="J125" s="161">
        <f t="shared" si="12"/>
        <v>0</v>
      </c>
      <c r="K125" s="161">
        <v>0</v>
      </c>
      <c r="L125" s="161">
        <v>0</v>
      </c>
      <c r="M125" s="161">
        <v>0</v>
      </c>
      <c r="N125" s="161">
        <v>0</v>
      </c>
      <c r="O125" s="161">
        <v>0</v>
      </c>
      <c r="P125" s="161">
        <v>0</v>
      </c>
      <c r="Q125" s="158"/>
    </row>
    <row r="126" spans="1:17" x14ac:dyDescent="0.2">
      <c r="A126" s="159">
        <v>116</v>
      </c>
      <c r="B126" s="97" t="s">
        <v>328</v>
      </c>
      <c r="C126" s="86" t="s">
        <v>329</v>
      </c>
      <c r="D126" s="161">
        <f t="shared" si="10"/>
        <v>0</v>
      </c>
      <c r="E126" s="161">
        <f t="shared" si="11"/>
        <v>0</v>
      </c>
      <c r="F126" s="161">
        <v>0</v>
      </c>
      <c r="G126" s="161">
        <v>0</v>
      </c>
      <c r="H126" s="161">
        <v>0</v>
      </c>
      <c r="I126" s="161">
        <v>0</v>
      </c>
      <c r="J126" s="161">
        <f t="shared" si="12"/>
        <v>0</v>
      </c>
      <c r="K126" s="161">
        <v>0</v>
      </c>
      <c r="L126" s="161">
        <v>0</v>
      </c>
      <c r="M126" s="161">
        <v>0</v>
      </c>
      <c r="N126" s="161">
        <v>0</v>
      </c>
      <c r="O126" s="161">
        <v>0</v>
      </c>
      <c r="P126" s="161">
        <v>0</v>
      </c>
      <c r="Q126" s="158"/>
    </row>
    <row r="127" spans="1:17" ht="24" x14ac:dyDescent="0.2">
      <c r="A127" s="159">
        <v>117</v>
      </c>
      <c r="B127" s="97" t="s">
        <v>190</v>
      </c>
      <c r="C127" s="86" t="s">
        <v>432</v>
      </c>
      <c r="D127" s="161">
        <f t="shared" si="10"/>
        <v>0</v>
      </c>
      <c r="E127" s="161">
        <f t="shared" si="11"/>
        <v>0</v>
      </c>
      <c r="F127" s="161">
        <v>0</v>
      </c>
      <c r="G127" s="161">
        <v>0</v>
      </c>
      <c r="H127" s="161">
        <v>0</v>
      </c>
      <c r="I127" s="161">
        <v>0</v>
      </c>
      <c r="J127" s="161">
        <f t="shared" si="12"/>
        <v>0</v>
      </c>
      <c r="K127" s="161">
        <v>0</v>
      </c>
      <c r="L127" s="161">
        <v>0</v>
      </c>
      <c r="M127" s="161">
        <v>0</v>
      </c>
      <c r="N127" s="161">
        <v>0</v>
      </c>
      <c r="O127" s="161">
        <v>0</v>
      </c>
      <c r="P127" s="161">
        <v>0</v>
      </c>
      <c r="Q127" s="158"/>
    </row>
    <row r="128" spans="1:17" x14ac:dyDescent="0.2">
      <c r="A128" s="159">
        <v>118</v>
      </c>
      <c r="B128" s="97" t="s">
        <v>330</v>
      </c>
      <c r="C128" s="86" t="s">
        <v>331</v>
      </c>
      <c r="D128" s="161">
        <f t="shared" si="10"/>
        <v>0</v>
      </c>
      <c r="E128" s="161">
        <f t="shared" si="11"/>
        <v>0</v>
      </c>
      <c r="F128" s="161">
        <v>0</v>
      </c>
      <c r="G128" s="161">
        <v>0</v>
      </c>
      <c r="H128" s="161">
        <v>0</v>
      </c>
      <c r="I128" s="161">
        <v>0</v>
      </c>
      <c r="J128" s="161">
        <f t="shared" si="12"/>
        <v>0</v>
      </c>
      <c r="K128" s="161">
        <v>0</v>
      </c>
      <c r="L128" s="161">
        <v>0</v>
      </c>
      <c r="M128" s="161">
        <v>0</v>
      </c>
      <c r="N128" s="161">
        <v>0</v>
      </c>
      <c r="O128" s="161">
        <v>0</v>
      </c>
      <c r="P128" s="161">
        <v>0</v>
      </c>
      <c r="Q128" s="158"/>
    </row>
    <row r="129" spans="1:17" ht="12.75" x14ac:dyDescent="0.2">
      <c r="A129" s="159">
        <v>119</v>
      </c>
      <c r="B129" s="107" t="s">
        <v>191</v>
      </c>
      <c r="C129" s="108" t="s">
        <v>433</v>
      </c>
      <c r="D129" s="161">
        <f t="shared" si="10"/>
        <v>0</v>
      </c>
      <c r="E129" s="161">
        <f t="shared" si="11"/>
        <v>0</v>
      </c>
      <c r="F129" s="161">
        <v>0</v>
      </c>
      <c r="G129" s="161">
        <v>0</v>
      </c>
      <c r="H129" s="172">
        <v>0</v>
      </c>
      <c r="I129" s="172">
        <v>0</v>
      </c>
      <c r="J129" s="161">
        <f t="shared" si="12"/>
        <v>0</v>
      </c>
      <c r="K129" s="161">
        <v>0</v>
      </c>
      <c r="L129" s="161">
        <v>0</v>
      </c>
      <c r="M129" s="161">
        <v>0</v>
      </c>
      <c r="N129" s="161">
        <v>0</v>
      </c>
      <c r="O129" s="172">
        <v>0</v>
      </c>
      <c r="P129" s="172">
        <v>0</v>
      </c>
      <c r="Q129" s="158"/>
    </row>
    <row r="130" spans="1:17" x14ac:dyDescent="0.2">
      <c r="A130" s="159">
        <v>120</v>
      </c>
      <c r="B130" s="99" t="s">
        <v>434</v>
      </c>
      <c r="C130" s="100" t="s">
        <v>435</v>
      </c>
      <c r="D130" s="161">
        <f t="shared" si="10"/>
        <v>0</v>
      </c>
      <c r="E130" s="161">
        <f t="shared" si="11"/>
        <v>0</v>
      </c>
      <c r="F130" s="161">
        <v>0</v>
      </c>
      <c r="G130" s="161">
        <v>0</v>
      </c>
      <c r="H130" s="172">
        <v>0</v>
      </c>
      <c r="I130" s="172">
        <v>0</v>
      </c>
      <c r="J130" s="161">
        <f t="shared" si="12"/>
        <v>0</v>
      </c>
      <c r="K130" s="161">
        <v>0</v>
      </c>
      <c r="L130" s="161">
        <v>0</v>
      </c>
      <c r="M130" s="161">
        <v>0</v>
      </c>
      <c r="N130" s="161">
        <v>0</v>
      </c>
      <c r="O130" s="172">
        <v>0</v>
      </c>
      <c r="P130" s="172">
        <v>0</v>
      </c>
      <c r="Q130" s="158"/>
    </row>
    <row r="131" spans="1:17" ht="12.75" x14ac:dyDescent="0.2">
      <c r="A131" s="159">
        <v>121</v>
      </c>
      <c r="B131" s="131" t="s">
        <v>436</v>
      </c>
      <c r="C131" s="132" t="s">
        <v>460</v>
      </c>
      <c r="D131" s="161">
        <f t="shared" si="10"/>
        <v>0</v>
      </c>
      <c r="E131" s="161">
        <f t="shared" si="11"/>
        <v>0</v>
      </c>
      <c r="F131" s="161">
        <v>0</v>
      </c>
      <c r="G131" s="161">
        <v>0</v>
      </c>
      <c r="H131" s="172">
        <v>0</v>
      </c>
      <c r="I131" s="172">
        <v>0</v>
      </c>
      <c r="J131" s="161">
        <f t="shared" si="12"/>
        <v>0</v>
      </c>
      <c r="K131" s="161">
        <v>0</v>
      </c>
      <c r="L131" s="161">
        <v>0</v>
      </c>
      <c r="M131" s="161">
        <v>0</v>
      </c>
      <c r="N131" s="161">
        <v>0</v>
      </c>
      <c r="O131" s="172">
        <v>0</v>
      </c>
      <c r="P131" s="172">
        <v>0</v>
      </c>
      <c r="Q131" s="158"/>
    </row>
    <row r="132" spans="1:17" x14ac:dyDescent="0.2">
      <c r="A132" s="159">
        <v>122</v>
      </c>
      <c r="B132" s="97" t="s">
        <v>192</v>
      </c>
      <c r="C132" s="86" t="s">
        <v>438</v>
      </c>
      <c r="D132" s="161">
        <f t="shared" si="10"/>
        <v>0</v>
      </c>
      <c r="E132" s="161">
        <f t="shared" si="11"/>
        <v>0</v>
      </c>
      <c r="F132" s="161">
        <v>0</v>
      </c>
      <c r="G132" s="161">
        <v>0</v>
      </c>
      <c r="H132" s="172">
        <v>0</v>
      </c>
      <c r="I132" s="172">
        <v>0</v>
      </c>
      <c r="J132" s="161">
        <f t="shared" si="12"/>
        <v>0</v>
      </c>
      <c r="K132" s="161">
        <v>0</v>
      </c>
      <c r="L132" s="161">
        <v>0</v>
      </c>
      <c r="M132" s="161">
        <v>0</v>
      </c>
      <c r="N132" s="161">
        <v>0</v>
      </c>
      <c r="O132" s="172">
        <v>0</v>
      </c>
      <c r="P132" s="172">
        <v>0</v>
      </c>
      <c r="Q132" s="158"/>
    </row>
    <row r="133" spans="1:17" x14ac:dyDescent="0.2">
      <c r="A133" s="159">
        <v>123</v>
      </c>
      <c r="B133" s="85" t="s">
        <v>332</v>
      </c>
      <c r="C133" s="102" t="s">
        <v>439</v>
      </c>
      <c r="D133" s="161">
        <f t="shared" si="10"/>
        <v>0</v>
      </c>
      <c r="E133" s="161">
        <f t="shared" si="11"/>
        <v>0</v>
      </c>
      <c r="F133" s="161">
        <v>0</v>
      </c>
      <c r="G133" s="161">
        <v>0</v>
      </c>
      <c r="H133" s="172">
        <v>0</v>
      </c>
      <c r="I133" s="172">
        <v>0</v>
      </c>
      <c r="J133" s="161">
        <f t="shared" si="12"/>
        <v>0</v>
      </c>
      <c r="K133" s="161">
        <v>0</v>
      </c>
      <c r="L133" s="161">
        <v>0</v>
      </c>
      <c r="M133" s="161">
        <v>0</v>
      </c>
      <c r="N133" s="161">
        <v>0</v>
      </c>
      <c r="O133" s="172">
        <v>0</v>
      </c>
      <c r="P133" s="172">
        <v>0</v>
      </c>
      <c r="Q133" s="158"/>
    </row>
    <row r="134" spans="1:17" ht="24" x14ac:dyDescent="0.2">
      <c r="A134" s="159">
        <v>124</v>
      </c>
      <c r="B134" s="97" t="s">
        <v>334</v>
      </c>
      <c r="C134" s="86" t="s">
        <v>440</v>
      </c>
      <c r="D134" s="161">
        <f t="shared" si="10"/>
        <v>0</v>
      </c>
      <c r="E134" s="161">
        <f t="shared" si="11"/>
        <v>0</v>
      </c>
      <c r="F134" s="161">
        <v>0</v>
      </c>
      <c r="G134" s="161">
        <v>0</v>
      </c>
      <c r="H134" s="172">
        <v>0</v>
      </c>
      <c r="I134" s="172">
        <v>0</v>
      </c>
      <c r="J134" s="161">
        <f t="shared" si="12"/>
        <v>0</v>
      </c>
      <c r="K134" s="161">
        <v>0</v>
      </c>
      <c r="L134" s="161">
        <v>0</v>
      </c>
      <c r="M134" s="161">
        <v>0</v>
      </c>
      <c r="N134" s="161">
        <v>0</v>
      </c>
      <c r="O134" s="172">
        <v>0</v>
      </c>
      <c r="P134" s="172">
        <v>0</v>
      </c>
      <c r="Q134" s="158"/>
    </row>
    <row r="135" spans="1:17" ht="24" x14ac:dyDescent="0.2">
      <c r="A135" s="159">
        <v>125</v>
      </c>
      <c r="B135" s="97" t="s">
        <v>336</v>
      </c>
      <c r="C135" s="86" t="s">
        <v>441</v>
      </c>
      <c r="D135" s="161">
        <f t="shared" si="10"/>
        <v>0</v>
      </c>
      <c r="E135" s="161">
        <f t="shared" si="11"/>
        <v>0</v>
      </c>
      <c r="F135" s="161">
        <v>0</v>
      </c>
      <c r="G135" s="161">
        <v>0</v>
      </c>
      <c r="H135" s="172">
        <v>0</v>
      </c>
      <c r="I135" s="172">
        <v>0</v>
      </c>
      <c r="J135" s="161">
        <f t="shared" si="12"/>
        <v>0</v>
      </c>
      <c r="K135" s="161">
        <v>0</v>
      </c>
      <c r="L135" s="161">
        <v>0</v>
      </c>
      <c r="M135" s="161">
        <v>0</v>
      </c>
      <c r="N135" s="161">
        <v>0</v>
      </c>
      <c r="O135" s="172">
        <v>0</v>
      </c>
      <c r="P135" s="172">
        <v>0</v>
      </c>
      <c r="Q135" s="158"/>
    </row>
    <row r="136" spans="1:17" ht="12.75" x14ac:dyDescent="0.2">
      <c r="A136" s="159">
        <v>126</v>
      </c>
      <c r="B136" s="163" t="s">
        <v>148</v>
      </c>
      <c r="C136" s="108" t="s">
        <v>442</v>
      </c>
      <c r="D136" s="161">
        <f t="shared" si="10"/>
        <v>0</v>
      </c>
      <c r="E136" s="161">
        <f t="shared" si="11"/>
        <v>0</v>
      </c>
      <c r="F136" s="161">
        <v>0</v>
      </c>
      <c r="G136" s="161">
        <v>0</v>
      </c>
      <c r="H136" s="172">
        <v>0</v>
      </c>
      <c r="I136" s="172">
        <v>0</v>
      </c>
      <c r="J136" s="161">
        <f t="shared" si="12"/>
        <v>0</v>
      </c>
      <c r="K136" s="161">
        <v>0</v>
      </c>
      <c r="L136" s="161">
        <v>0</v>
      </c>
      <c r="M136" s="161">
        <v>0</v>
      </c>
      <c r="N136" s="161">
        <v>0</v>
      </c>
      <c r="O136" s="172">
        <v>0</v>
      </c>
      <c r="P136" s="172">
        <v>0</v>
      </c>
      <c r="Q136" s="158"/>
    </row>
    <row r="137" spans="1:17" x14ac:dyDescent="0.2">
      <c r="A137" s="159">
        <v>127</v>
      </c>
      <c r="B137" s="103" t="s">
        <v>338</v>
      </c>
      <c r="C137" s="104" t="s">
        <v>339</v>
      </c>
      <c r="D137" s="161">
        <f t="shared" si="10"/>
        <v>0</v>
      </c>
      <c r="E137" s="161">
        <f t="shared" si="11"/>
        <v>0</v>
      </c>
      <c r="F137" s="161">
        <v>0</v>
      </c>
      <c r="G137" s="161">
        <v>0</v>
      </c>
      <c r="H137" s="172">
        <v>0</v>
      </c>
      <c r="I137" s="172">
        <v>0</v>
      </c>
      <c r="J137" s="161">
        <f t="shared" si="12"/>
        <v>0</v>
      </c>
      <c r="K137" s="161">
        <v>0</v>
      </c>
      <c r="L137" s="161">
        <v>0</v>
      </c>
      <c r="M137" s="161">
        <v>0</v>
      </c>
      <c r="N137" s="161">
        <v>0</v>
      </c>
      <c r="O137" s="172">
        <v>0</v>
      </c>
      <c r="P137" s="172">
        <v>0</v>
      </c>
      <c r="Q137" s="158"/>
    </row>
    <row r="138" spans="1:17" x14ac:dyDescent="0.2">
      <c r="A138" s="159">
        <v>128</v>
      </c>
      <c r="B138" s="97" t="s">
        <v>340</v>
      </c>
      <c r="C138" s="86" t="s">
        <v>341</v>
      </c>
      <c r="D138" s="161">
        <f t="shared" si="10"/>
        <v>0</v>
      </c>
      <c r="E138" s="161">
        <f t="shared" si="11"/>
        <v>0</v>
      </c>
      <c r="F138" s="161">
        <v>0</v>
      </c>
      <c r="G138" s="161">
        <v>0</v>
      </c>
      <c r="H138" s="172">
        <v>0</v>
      </c>
      <c r="I138" s="172">
        <v>0</v>
      </c>
      <c r="J138" s="161">
        <f t="shared" si="12"/>
        <v>0</v>
      </c>
      <c r="K138" s="161">
        <v>0</v>
      </c>
      <c r="L138" s="161">
        <v>0</v>
      </c>
      <c r="M138" s="161">
        <v>0</v>
      </c>
      <c r="N138" s="161">
        <v>0</v>
      </c>
      <c r="O138" s="172">
        <v>0</v>
      </c>
      <c r="P138" s="172">
        <v>0</v>
      </c>
      <c r="Q138" s="158"/>
    </row>
    <row r="139" spans="1:17" ht="12.75" x14ac:dyDescent="0.2">
      <c r="A139" s="159">
        <v>129</v>
      </c>
      <c r="B139" s="131" t="s">
        <v>193</v>
      </c>
      <c r="C139" s="160" t="s">
        <v>443</v>
      </c>
      <c r="D139" s="161">
        <f t="shared" si="10"/>
        <v>0</v>
      </c>
      <c r="E139" s="161">
        <f t="shared" si="11"/>
        <v>0</v>
      </c>
      <c r="F139" s="161">
        <v>0</v>
      </c>
      <c r="G139" s="161">
        <v>0</v>
      </c>
      <c r="H139" s="172">
        <v>0</v>
      </c>
      <c r="I139" s="172">
        <v>0</v>
      </c>
      <c r="J139" s="161">
        <f t="shared" si="12"/>
        <v>0</v>
      </c>
      <c r="K139" s="161">
        <v>0</v>
      </c>
      <c r="L139" s="161">
        <v>0</v>
      </c>
      <c r="M139" s="161">
        <v>0</v>
      </c>
      <c r="N139" s="161">
        <v>0</v>
      </c>
      <c r="O139" s="172">
        <v>0</v>
      </c>
      <c r="P139" s="172">
        <v>0</v>
      </c>
      <c r="Q139" s="158"/>
    </row>
    <row r="140" spans="1:17" x14ac:dyDescent="0.2">
      <c r="A140" s="159">
        <v>130</v>
      </c>
      <c r="B140" s="94" t="s">
        <v>194</v>
      </c>
      <c r="C140" s="82" t="s">
        <v>444</v>
      </c>
      <c r="D140" s="161">
        <f t="shared" si="10"/>
        <v>0</v>
      </c>
      <c r="E140" s="161">
        <f t="shared" si="11"/>
        <v>0</v>
      </c>
      <c r="F140" s="161">
        <v>0</v>
      </c>
      <c r="G140" s="161">
        <v>0</v>
      </c>
      <c r="H140" s="172">
        <v>0</v>
      </c>
      <c r="I140" s="172">
        <v>0</v>
      </c>
      <c r="J140" s="161">
        <f t="shared" si="12"/>
        <v>0</v>
      </c>
      <c r="K140" s="161">
        <v>0</v>
      </c>
      <c r="L140" s="161">
        <v>0</v>
      </c>
      <c r="M140" s="161">
        <v>0</v>
      </c>
      <c r="N140" s="161">
        <v>0</v>
      </c>
      <c r="O140" s="172">
        <v>0</v>
      </c>
      <c r="P140" s="172">
        <v>0</v>
      </c>
      <c r="Q140" s="158"/>
    </row>
    <row r="141" spans="1:17" ht="12.75" x14ac:dyDescent="0.2">
      <c r="A141" s="159">
        <v>131</v>
      </c>
      <c r="B141" s="107" t="s">
        <v>195</v>
      </c>
      <c r="C141" s="108" t="s">
        <v>445</v>
      </c>
      <c r="D141" s="161">
        <f t="shared" si="10"/>
        <v>0</v>
      </c>
      <c r="E141" s="161">
        <f t="shared" si="11"/>
        <v>0</v>
      </c>
      <c r="F141" s="161">
        <v>0</v>
      </c>
      <c r="G141" s="161">
        <v>0</v>
      </c>
      <c r="H141" s="172">
        <v>0</v>
      </c>
      <c r="I141" s="172">
        <v>0</v>
      </c>
      <c r="J141" s="161">
        <f t="shared" si="12"/>
        <v>0</v>
      </c>
      <c r="K141" s="161">
        <v>0</v>
      </c>
      <c r="L141" s="161">
        <v>0</v>
      </c>
      <c r="M141" s="161">
        <v>0</v>
      </c>
      <c r="N141" s="161">
        <v>0</v>
      </c>
      <c r="O141" s="172">
        <v>0</v>
      </c>
      <c r="P141" s="172">
        <v>0</v>
      </c>
      <c r="Q141" s="158"/>
    </row>
    <row r="142" spans="1:17" x14ac:dyDescent="0.2">
      <c r="A142" s="159">
        <v>132</v>
      </c>
      <c r="B142" s="97" t="s">
        <v>446</v>
      </c>
      <c r="C142" s="86" t="s">
        <v>447</v>
      </c>
      <c r="D142" s="161">
        <f t="shared" si="10"/>
        <v>0</v>
      </c>
      <c r="E142" s="161">
        <f t="shared" si="11"/>
        <v>0</v>
      </c>
      <c r="F142" s="161">
        <v>0</v>
      </c>
      <c r="G142" s="161">
        <v>0</v>
      </c>
      <c r="H142" s="172">
        <v>0</v>
      </c>
      <c r="I142" s="172">
        <v>0</v>
      </c>
      <c r="J142" s="161">
        <f t="shared" si="12"/>
        <v>0</v>
      </c>
      <c r="K142" s="161">
        <v>0</v>
      </c>
      <c r="L142" s="161">
        <v>0</v>
      </c>
      <c r="M142" s="161">
        <v>0</v>
      </c>
      <c r="N142" s="161">
        <v>0</v>
      </c>
      <c r="O142" s="172">
        <v>0</v>
      </c>
      <c r="P142" s="172">
        <v>0</v>
      </c>
      <c r="Q142" s="158"/>
    </row>
    <row r="143" spans="1:17" ht="12.75" x14ac:dyDescent="0.2">
      <c r="A143" s="159">
        <v>133</v>
      </c>
      <c r="B143" s="107" t="s">
        <v>15</v>
      </c>
      <c r="C143" s="108" t="s">
        <v>448</v>
      </c>
      <c r="D143" s="161">
        <f t="shared" si="10"/>
        <v>0</v>
      </c>
      <c r="E143" s="161">
        <f t="shared" si="11"/>
        <v>0</v>
      </c>
      <c r="F143" s="161">
        <v>0</v>
      </c>
      <c r="G143" s="161">
        <v>0</v>
      </c>
      <c r="H143" s="172">
        <v>0</v>
      </c>
      <c r="I143" s="172">
        <v>0</v>
      </c>
      <c r="J143" s="161">
        <f t="shared" si="12"/>
        <v>0</v>
      </c>
      <c r="K143" s="161">
        <v>0</v>
      </c>
      <c r="L143" s="161">
        <v>0</v>
      </c>
      <c r="M143" s="161">
        <v>0</v>
      </c>
      <c r="N143" s="161">
        <v>0</v>
      </c>
      <c r="O143" s="172">
        <v>0</v>
      </c>
      <c r="P143" s="172">
        <v>0</v>
      </c>
      <c r="Q143" s="158"/>
    </row>
    <row r="144" spans="1:17" ht="12.75" x14ac:dyDescent="0.2">
      <c r="A144" s="159">
        <v>134</v>
      </c>
      <c r="B144" s="107" t="s">
        <v>342</v>
      </c>
      <c r="C144" s="108" t="s">
        <v>343</v>
      </c>
      <c r="D144" s="161">
        <f t="shared" si="10"/>
        <v>0</v>
      </c>
      <c r="E144" s="161">
        <f t="shared" si="11"/>
        <v>0</v>
      </c>
      <c r="F144" s="161">
        <v>0</v>
      </c>
      <c r="G144" s="161">
        <v>0</v>
      </c>
      <c r="H144" s="172">
        <v>0</v>
      </c>
      <c r="I144" s="172">
        <v>0</v>
      </c>
      <c r="J144" s="161">
        <f t="shared" si="12"/>
        <v>0</v>
      </c>
      <c r="K144" s="161">
        <v>0</v>
      </c>
      <c r="L144" s="161">
        <v>0</v>
      </c>
      <c r="M144" s="161">
        <v>0</v>
      </c>
      <c r="N144" s="161">
        <v>0</v>
      </c>
      <c r="O144" s="172">
        <v>0</v>
      </c>
      <c r="P144" s="172">
        <v>0</v>
      </c>
      <c r="Q144" s="158"/>
    </row>
    <row r="145" spans="1:17" ht="12.75" x14ac:dyDescent="0.2">
      <c r="A145" s="159">
        <v>135</v>
      </c>
      <c r="B145" s="107" t="s">
        <v>14</v>
      </c>
      <c r="C145" s="108" t="s">
        <v>13</v>
      </c>
      <c r="D145" s="161">
        <f t="shared" si="10"/>
        <v>0</v>
      </c>
      <c r="E145" s="161">
        <f t="shared" si="11"/>
        <v>0</v>
      </c>
      <c r="F145" s="161">
        <v>0</v>
      </c>
      <c r="G145" s="161">
        <v>0</v>
      </c>
      <c r="H145" s="172">
        <v>0</v>
      </c>
      <c r="I145" s="172">
        <v>0</v>
      </c>
      <c r="J145" s="161">
        <f t="shared" si="12"/>
        <v>0</v>
      </c>
      <c r="K145" s="161">
        <v>0</v>
      </c>
      <c r="L145" s="161">
        <v>0</v>
      </c>
      <c r="M145" s="161">
        <v>0</v>
      </c>
      <c r="N145" s="161">
        <v>0</v>
      </c>
      <c r="O145" s="172">
        <v>0</v>
      </c>
      <c r="P145" s="172">
        <v>0</v>
      </c>
      <c r="Q145" s="158"/>
    </row>
    <row r="146" spans="1:17" ht="12.75" x14ac:dyDescent="0.2">
      <c r="A146" s="159">
        <v>136</v>
      </c>
      <c r="B146" s="131" t="s">
        <v>10</v>
      </c>
      <c r="C146" s="160" t="s">
        <v>7</v>
      </c>
      <c r="D146" s="161">
        <f t="shared" si="10"/>
        <v>0</v>
      </c>
      <c r="E146" s="161">
        <f t="shared" si="11"/>
        <v>0</v>
      </c>
      <c r="F146" s="161">
        <v>0</v>
      </c>
      <c r="G146" s="161">
        <v>0</v>
      </c>
      <c r="H146" s="172">
        <v>0</v>
      </c>
      <c r="I146" s="172">
        <v>0</v>
      </c>
      <c r="J146" s="161">
        <f t="shared" si="12"/>
        <v>0</v>
      </c>
      <c r="K146" s="161">
        <v>0</v>
      </c>
      <c r="L146" s="161">
        <v>0</v>
      </c>
      <c r="M146" s="161">
        <v>0</v>
      </c>
      <c r="N146" s="161">
        <v>0</v>
      </c>
      <c r="O146" s="172">
        <v>0</v>
      </c>
      <c r="P146" s="172">
        <v>0</v>
      </c>
      <c r="Q146" s="158"/>
    </row>
    <row r="147" spans="1:17" ht="12.75" x14ac:dyDescent="0.2">
      <c r="A147" s="159">
        <v>137</v>
      </c>
      <c r="B147" s="107" t="s">
        <v>196</v>
      </c>
      <c r="C147" s="108" t="s">
        <v>449</v>
      </c>
      <c r="D147" s="161">
        <f t="shared" si="10"/>
        <v>0</v>
      </c>
      <c r="E147" s="161">
        <f t="shared" si="11"/>
        <v>0</v>
      </c>
      <c r="F147" s="161">
        <v>0</v>
      </c>
      <c r="G147" s="161">
        <v>0</v>
      </c>
      <c r="H147" s="172">
        <v>0</v>
      </c>
      <c r="I147" s="172">
        <v>0</v>
      </c>
      <c r="J147" s="161">
        <f t="shared" si="12"/>
        <v>0</v>
      </c>
      <c r="K147" s="161">
        <v>0</v>
      </c>
      <c r="L147" s="161">
        <v>0</v>
      </c>
      <c r="M147" s="161">
        <v>0</v>
      </c>
      <c r="N147" s="161">
        <v>0</v>
      </c>
      <c r="O147" s="172">
        <v>0</v>
      </c>
      <c r="P147" s="172">
        <v>0</v>
      </c>
      <c r="Q147" s="158"/>
    </row>
    <row r="148" spans="1:17" ht="12.75" x14ac:dyDescent="0.2">
      <c r="A148" s="159">
        <v>138</v>
      </c>
      <c r="B148" s="131" t="s">
        <v>149</v>
      </c>
      <c r="C148" s="108" t="s">
        <v>150</v>
      </c>
      <c r="D148" s="161">
        <f t="shared" si="10"/>
        <v>0</v>
      </c>
      <c r="E148" s="161">
        <f t="shared" si="11"/>
        <v>0</v>
      </c>
      <c r="F148" s="161">
        <v>0</v>
      </c>
      <c r="G148" s="161">
        <v>0</v>
      </c>
      <c r="H148" s="172">
        <v>0</v>
      </c>
      <c r="I148" s="172">
        <v>0</v>
      </c>
      <c r="J148" s="161">
        <f t="shared" si="12"/>
        <v>0</v>
      </c>
      <c r="K148" s="161">
        <v>0</v>
      </c>
      <c r="L148" s="161">
        <v>0</v>
      </c>
      <c r="M148" s="161">
        <v>0</v>
      </c>
      <c r="N148" s="161">
        <v>0</v>
      </c>
      <c r="O148" s="172">
        <v>0</v>
      </c>
      <c r="P148" s="172">
        <v>0</v>
      </c>
      <c r="Q148" s="158"/>
    </row>
    <row r="149" spans="1:17" ht="12.75" x14ac:dyDescent="0.2">
      <c r="A149" s="159">
        <v>139</v>
      </c>
      <c r="B149" s="164" t="s">
        <v>151</v>
      </c>
      <c r="C149" s="165" t="s">
        <v>152</v>
      </c>
      <c r="D149" s="161">
        <f t="shared" si="10"/>
        <v>20006</v>
      </c>
      <c r="E149" s="161">
        <f t="shared" si="11"/>
        <v>20006</v>
      </c>
      <c r="F149" s="161">
        <v>19956</v>
      </c>
      <c r="G149" s="161">
        <v>50</v>
      </c>
      <c r="H149" s="172">
        <v>0</v>
      </c>
      <c r="I149" s="172">
        <v>0</v>
      </c>
      <c r="J149" s="161">
        <f t="shared" si="12"/>
        <v>0</v>
      </c>
      <c r="K149" s="161">
        <v>0</v>
      </c>
      <c r="L149" s="161">
        <v>0</v>
      </c>
      <c r="M149" s="161">
        <v>0</v>
      </c>
      <c r="N149" s="161">
        <v>0</v>
      </c>
      <c r="O149" s="172">
        <v>0</v>
      </c>
      <c r="P149" s="172">
        <v>0</v>
      </c>
      <c r="Q149" s="158"/>
    </row>
    <row r="150" spans="1:17" ht="12.75" x14ac:dyDescent="0.2">
      <c r="A150" s="159">
        <v>140</v>
      </c>
      <c r="B150" s="107" t="s">
        <v>344</v>
      </c>
      <c r="C150" s="108" t="s">
        <v>345</v>
      </c>
      <c r="D150" s="161">
        <f t="shared" si="10"/>
        <v>0</v>
      </c>
      <c r="E150" s="161">
        <f t="shared" si="11"/>
        <v>0</v>
      </c>
      <c r="F150" s="161">
        <v>0</v>
      </c>
      <c r="G150" s="161">
        <v>0</v>
      </c>
      <c r="H150" s="172">
        <v>0</v>
      </c>
      <c r="I150" s="172">
        <v>0</v>
      </c>
      <c r="J150" s="161">
        <f t="shared" si="12"/>
        <v>0</v>
      </c>
      <c r="K150" s="161">
        <v>0</v>
      </c>
      <c r="L150" s="161">
        <v>0</v>
      </c>
      <c r="M150" s="161">
        <v>0</v>
      </c>
      <c r="N150" s="161">
        <v>0</v>
      </c>
      <c r="O150" s="172">
        <v>0</v>
      </c>
      <c r="P150" s="172">
        <v>0</v>
      </c>
      <c r="Q150" s="158"/>
    </row>
    <row r="151" spans="1:17" ht="12.75" x14ac:dyDescent="0.2">
      <c r="A151" s="159">
        <v>141</v>
      </c>
      <c r="B151" s="107" t="s">
        <v>197</v>
      </c>
      <c r="C151" s="108" t="s">
        <v>198</v>
      </c>
      <c r="D151" s="161">
        <f t="shared" si="10"/>
        <v>0</v>
      </c>
      <c r="E151" s="161">
        <f t="shared" si="11"/>
        <v>0</v>
      </c>
      <c r="F151" s="161">
        <v>0</v>
      </c>
      <c r="G151" s="161">
        <v>0</v>
      </c>
      <c r="H151" s="172">
        <v>0</v>
      </c>
      <c r="I151" s="172">
        <v>0</v>
      </c>
      <c r="J151" s="161">
        <f t="shared" si="12"/>
        <v>0</v>
      </c>
      <c r="K151" s="161">
        <v>0</v>
      </c>
      <c r="L151" s="161">
        <v>0</v>
      </c>
      <c r="M151" s="161">
        <v>0</v>
      </c>
      <c r="N151" s="161">
        <v>0</v>
      </c>
      <c r="O151" s="172">
        <v>0</v>
      </c>
      <c r="P151" s="172">
        <v>0</v>
      </c>
      <c r="Q151" s="158"/>
    </row>
    <row r="152" spans="1:17" ht="12.75" x14ac:dyDescent="0.2">
      <c r="A152" s="159">
        <v>142</v>
      </c>
      <c r="B152" s="107" t="s">
        <v>346</v>
      </c>
      <c r="C152" s="108" t="s">
        <v>347</v>
      </c>
      <c r="D152" s="161">
        <f t="shared" si="10"/>
        <v>0</v>
      </c>
      <c r="E152" s="161">
        <f t="shared" si="11"/>
        <v>0</v>
      </c>
      <c r="F152" s="161">
        <v>0</v>
      </c>
      <c r="G152" s="161">
        <v>0</v>
      </c>
      <c r="H152" s="172">
        <v>0</v>
      </c>
      <c r="I152" s="172">
        <v>0</v>
      </c>
      <c r="J152" s="161">
        <f t="shared" si="12"/>
        <v>0</v>
      </c>
      <c r="K152" s="161">
        <v>0</v>
      </c>
      <c r="L152" s="161">
        <v>0</v>
      </c>
      <c r="M152" s="161">
        <v>0</v>
      </c>
      <c r="N152" s="161">
        <v>0</v>
      </c>
      <c r="O152" s="172">
        <v>0</v>
      </c>
      <c r="P152" s="172">
        <v>0</v>
      </c>
      <c r="Q152" s="158"/>
    </row>
    <row r="153" spans="1:17" ht="12.75" x14ac:dyDescent="0.2">
      <c r="A153" s="159">
        <v>143</v>
      </c>
      <c r="B153" s="164" t="s">
        <v>12</v>
      </c>
      <c r="C153" s="165" t="s">
        <v>2</v>
      </c>
      <c r="D153" s="161">
        <f t="shared" si="10"/>
        <v>0</v>
      </c>
      <c r="E153" s="161">
        <f t="shared" si="11"/>
        <v>0</v>
      </c>
      <c r="F153" s="161">
        <v>0</v>
      </c>
      <c r="G153" s="161">
        <v>0</v>
      </c>
      <c r="H153" s="172">
        <v>0</v>
      </c>
      <c r="I153" s="172">
        <v>0</v>
      </c>
      <c r="J153" s="161">
        <f t="shared" si="12"/>
        <v>0</v>
      </c>
      <c r="K153" s="161">
        <v>0</v>
      </c>
      <c r="L153" s="161">
        <v>0</v>
      </c>
      <c r="M153" s="161">
        <v>0</v>
      </c>
      <c r="N153" s="161">
        <v>0</v>
      </c>
      <c r="O153" s="172">
        <v>0</v>
      </c>
      <c r="P153" s="172">
        <v>0</v>
      </c>
      <c r="Q153" s="158"/>
    </row>
    <row r="154" spans="1:17" ht="12.75" x14ac:dyDescent="0.2">
      <c r="A154" s="159">
        <v>144</v>
      </c>
      <c r="B154" s="163" t="s">
        <v>3</v>
      </c>
      <c r="C154" s="165" t="s">
        <v>450</v>
      </c>
      <c r="D154" s="161">
        <f t="shared" si="10"/>
        <v>62389</v>
      </c>
      <c r="E154" s="161">
        <f t="shared" si="11"/>
        <v>0</v>
      </c>
      <c r="F154" s="161">
        <v>0</v>
      </c>
      <c r="G154" s="161">
        <v>0</v>
      </c>
      <c r="H154" s="172">
        <v>0</v>
      </c>
      <c r="I154" s="172">
        <v>0</v>
      </c>
      <c r="J154" s="161">
        <f t="shared" si="12"/>
        <v>62389</v>
      </c>
      <c r="K154" s="161">
        <v>7223</v>
      </c>
      <c r="L154" s="161">
        <v>534</v>
      </c>
      <c r="M154" s="161">
        <v>160</v>
      </c>
      <c r="N154" s="161">
        <v>190</v>
      </c>
      <c r="O154" s="172">
        <v>21663</v>
      </c>
      <c r="P154" s="172">
        <v>32619</v>
      </c>
      <c r="Q154" s="158"/>
    </row>
    <row r="155" spans="1:17" ht="12.75" x14ac:dyDescent="0.2">
      <c r="A155" s="159">
        <v>145</v>
      </c>
      <c r="B155" s="107" t="s">
        <v>11</v>
      </c>
      <c r="C155" s="108" t="s">
        <v>8</v>
      </c>
      <c r="D155" s="161">
        <f t="shared" si="10"/>
        <v>0</v>
      </c>
      <c r="E155" s="161">
        <f t="shared" si="11"/>
        <v>0</v>
      </c>
      <c r="F155" s="161">
        <v>0</v>
      </c>
      <c r="G155" s="161">
        <v>0</v>
      </c>
      <c r="H155" s="172">
        <v>0</v>
      </c>
      <c r="I155" s="172">
        <v>0</v>
      </c>
      <c r="J155" s="161">
        <f t="shared" si="12"/>
        <v>0</v>
      </c>
      <c r="K155" s="161">
        <v>0</v>
      </c>
      <c r="L155" s="161">
        <v>0</v>
      </c>
      <c r="M155" s="161">
        <v>0</v>
      </c>
      <c r="N155" s="161">
        <v>0</v>
      </c>
      <c r="O155" s="172">
        <v>0</v>
      </c>
      <c r="P155" s="172">
        <v>0</v>
      </c>
      <c r="Q155" s="158"/>
    </row>
    <row r="156" spans="1:17" ht="12.75" x14ac:dyDescent="0.2">
      <c r="A156" s="159">
        <v>146</v>
      </c>
      <c r="B156" s="131" t="s">
        <v>200</v>
      </c>
      <c r="C156" s="160" t="s">
        <v>201</v>
      </c>
      <c r="D156" s="161">
        <f t="shared" si="10"/>
        <v>0</v>
      </c>
      <c r="E156" s="161">
        <f t="shared" si="11"/>
        <v>0</v>
      </c>
      <c r="F156" s="161">
        <v>0</v>
      </c>
      <c r="G156" s="161">
        <v>0</v>
      </c>
      <c r="H156" s="172">
        <v>0</v>
      </c>
      <c r="I156" s="172">
        <v>0</v>
      </c>
      <c r="J156" s="161">
        <f t="shared" si="12"/>
        <v>0</v>
      </c>
      <c r="K156" s="161">
        <v>0</v>
      </c>
      <c r="L156" s="161">
        <v>0</v>
      </c>
      <c r="M156" s="161">
        <v>0</v>
      </c>
      <c r="N156" s="161">
        <v>0</v>
      </c>
      <c r="O156" s="172">
        <v>0</v>
      </c>
      <c r="P156" s="172">
        <v>0</v>
      </c>
      <c r="Q156" s="158"/>
    </row>
    <row r="157" spans="1:17" x14ac:dyDescent="0.2">
      <c r="A157" s="159">
        <v>147</v>
      </c>
      <c r="B157" s="85" t="s">
        <v>202</v>
      </c>
      <c r="C157" s="82" t="s">
        <v>451</v>
      </c>
      <c r="D157" s="161">
        <f t="shared" si="10"/>
        <v>0</v>
      </c>
      <c r="E157" s="161">
        <f t="shared" si="11"/>
        <v>0</v>
      </c>
      <c r="F157" s="161">
        <v>0</v>
      </c>
      <c r="G157" s="161">
        <v>0</v>
      </c>
      <c r="H157" s="172">
        <v>0</v>
      </c>
      <c r="I157" s="172">
        <v>0</v>
      </c>
      <c r="J157" s="161">
        <f t="shared" si="12"/>
        <v>0</v>
      </c>
      <c r="K157" s="161">
        <v>0</v>
      </c>
      <c r="L157" s="161">
        <v>0</v>
      </c>
      <c r="M157" s="161">
        <v>0</v>
      </c>
      <c r="N157" s="161">
        <v>0</v>
      </c>
      <c r="O157" s="172">
        <v>0</v>
      </c>
      <c r="P157" s="172">
        <v>0</v>
      </c>
      <c r="Q157" s="158"/>
    </row>
    <row r="158" spans="1:17" ht="12.75" x14ac:dyDescent="0.2">
      <c r="A158" s="159">
        <v>148</v>
      </c>
      <c r="B158" s="107" t="s">
        <v>348</v>
      </c>
      <c r="C158" s="108" t="s">
        <v>349</v>
      </c>
      <c r="D158" s="161">
        <f t="shared" si="10"/>
        <v>0</v>
      </c>
      <c r="E158" s="161">
        <f t="shared" si="11"/>
        <v>0</v>
      </c>
      <c r="F158" s="161">
        <v>0</v>
      </c>
      <c r="G158" s="161">
        <v>0</v>
      </c>
      <c r="H158" s="172">
        <v>0</v>
      </c>
      <c r="I158" s="172">
        <v>0</v>
      </c>
      <c r="J158" s="161">
        <f t="shared" si="12"/>
        <v>0</v>
      </c>
      <c r="K158" s="161">
        <v>0</v>
      </c>
      <c r="L158" s="161">
        <v>0</v>
      </c>
      <c r="M158" s="161">
        <v>0</v>
      </c>
      <c r="N158" s="161">
        <v>0</v>
      </c>
      <c r="O158" s="172">
        <v>0</v>
      </c>
      <c r="P158" s="172">
        <v>0</v>
      </c>
      <c r="Q158" s="158"/>
    </row>
    <row r="160" spans="1:17" x14ac:dyDescent="0.2">
      <c r="K160" s="162"/>
    </row>
  </sheetData>
  <mergeCells count="19">
    <mergeCell ref="A10:C10"/>
    <mergeCell ref="O5:P5"/>
    <mergeCell ref="A8:C8"/>
    <mergeCell ref="A9:C9"/>
    <mergeCell ref="E5:E6"/>
    <mergeCell ref="F5:G5"/>
    <mergeCell ref="H5:I5"/>
    <mergeCell ref="J5:J6"/>
    <mergeCell ref="K5:L5"/>
    <mergeCell ref="M5:N5"/>
    <mergeCell ref="A1:P1"/>
    <mergeCell ref="A2:A6"/>
    <mergeCell ref="B2:B6"/>
    <mergeCell ref="C2:C6"/>
    <mergeCell ref="D2:P2"/>
    <mergeCell ref="D3:D6"/>
    <mergeCell ref="E3:P3"/>
    <mergeCell ref="E4:I4"/>
    <mergeCell ref="J4:P4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5"/>
  <sheetViews>
    <sheetView workbookViewId="0">
      <pane xSplit="3" ySplit="10" topLeftCell="D83" activePane="bottomRight" state="frozen"/>
      <selection pane="topRight" activeCell="D1" sqref="D1"/>
      <selection pane="bottomLeft" activeCell="A11" sqref="A11"/>
      <selection pane="bottomRight" activeCell="H92" sqref="H92"/>
    </sheetView>
  </sheetViews>
  <sheetFormatPr defaultRowHeight="12" x14ac:dyDescent="0.2"/>
  <cols>
    <col min="1" max="1" width="5" style="173" customWidth="1"/>
    <col min="2" max="2" width="7.140625" style="173" customWidth="1"/>
    <col min="3" max="3" width="30.42578125" style="173" customWidth="1"/>
    <col min="4" max="4" width="10" style="173" customWidth="1"/>
    <col min="5" max="5" width="9.28515625" style="173" customWidth="1"/>
    <col min="6" max="7" width="8.5703125" style="173" customWidth="1"/>
    <col min="8" max="8" width="9.28515625" style="173" customWidth="1"/>
    <col min="9" max="9" width="8.28515625" style="173" customWidth="1"/>
    <col min="10" max="10" width="9.140625" style="173" customWidth="1"/>
    <col min="11" max="16" width="9.85546875" style="173" customWidth="1"/>
    <col min="17" max="16384" width="9.140625" style="173"/>
  </cols>
  <sheetData>
    <row r="1" spans="1:18" ht="35.25" customHeight="1" x14ac:dyDescent="0.2">
      <c r="A1" s="749" t="s">
        <v>475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</row>
    <row r="2" spans="1:18" ht="12" customHeight="1" x14ac:dyDescent="0.2">
      <c r="A2" s="748" t="s">
        <v>0</v>
      </c>
      <c r="B2" s="750" t="s">
        <v>351</v>
      </c>
      <c r="C2" s="748" t="s">
        <v>352</v>
      </c>
      <c r="D2" s="753" t="s">
        <v>476</v>
      </c>
      <c r="E2" s="754"/>
      <c r="F2" s="754"/>
      <c r="G2" s="754"/>
      <c r="H2" s="754"/>
      <c r="I2" s="754"/>
      <c r="J2" s="755"/>
      <c r="K2" s="756" t="s">
        <v>265</v>
      </c>
      <c r="L2" s="756"/>
      <c r="M2" s="756"/>
      <c r="N2" s="756"/>
      <c r="O2" s="756"/>
      <c r="P2" s="756"/>
    </row>
    <row r="3" spans="1:18" ht="12" customHeight="1" x14ac:dyDescent="0.2">
      <c r="A3" s="748"/>
      <c r="B3" s="751"/>
      <c r="C3" s="748"/>
      <c r="D3" s="757" t="s">
        <v>477</v>
      </c>
      <c r="E3" s="746" t="s">
        <v>16</v>
      </c>
      <c r="F3" s="760"/>
      <c r="G3" s="760"/>
      <c r="H3" s="760"/>
      <c r="I3" s="760"/>
      <c r="J3" s="747"/>
      <c r="K3" s="756" t="s">
        <v>478</v>
      </c>
      <c r="L3" s="756"/>
      <c r="M3" s="756"/>
      <c r="N3" s="756"/>
      <c r="O3" s="756"/>
      <c r="P3" s="756"/>
    </row>
    <row r="4" spans="1:18" ht="47.25" customHeight="1" x14ac:dyDescent="0.2">
      <c r="A4" s="748"/>
      <c r="B4" s="751"/>
      <c r="C4" s="748"/>
      <c r="D4" s="758"/>
      <c r="E4" s="744" t="s">
        <v>454</v>
      </c>
      <c r="F4" s="745"/>
      <c r="G4" s="744" t="s">
        <v>455</v>
      </c>
      <c r="H4" s="745"/>
      <c r="I4" s="744" t="s">
        <v>464</v>
      </c>
      <c r="J4" s="745"/>
      <c r="K4" s="756" t="s">
        <v>454</v>
      </c>
      <c r="L4" s="756"/>
      <c r="M4" s="756" t="s">
        <v>455</v>
      </c>
      <c r="N4" s="756"/>
      <c r="O4" s="756" t="s">
        <v>464</v>
      </c>
      <c r="P4" s="756"/>
    </row>
    <row r="5" spans="1:18" ht="39" customHeight="1" x14ac:dyDescent="0.2">
      <c r="A5" s="748"/>
      <c r="B5" s="751"/>
      <c r="C5" s="748"/>
      <c r="D5" s="758"/>
      <c r="E5" s="746" t="s">
        <v>279</v>
      </c>
      <c r="F5" s="747"/>
      <c r="G5" s="744" t="s">
        <v>279</v>
      </c>
      <c r="H5" s="745"/>
      <c r="I5" s="748" t="s">
        <v>279</v>
      </c>
      <c r="J5" s="748"/>
      <c r="K5" s="756" t="s">
        <v>216</v>
      </c>
      <c r="L5" s="756"/>
      <c r="M5" s="756" t="s">
        <v>216</v>
      </c>
      <c r="N5" s="756"/>
      <c r="O5" s="756" t="s">
        <v>216</v>
      </c>
      <c r="P5" s="756"/>
    </row>
    <row r="6" spans="1:18" ht="34.5" customHeight="1" x14ac:dyDescent="0.2">
      <c r="A6" s="748"/>
      <c r="B6" s="752"/>
      <c r="C6" s="748"/>
      <c r="D6" s="759"/>
      <c r="E6" s="174" t="s">
        <v>218</v>
      </c>
      <c r="F6" s="175" t="s">
        <v>219</v>
      </c>
      <c r="G6" s="175" t="s">
        <v>218</v>
      </c>
      <c r="H6" s="175" t="s">
        <v>219</v>
      </c>
      <c r="I6" s="174" t="s">
        <v>218</v>
      </c>
      <c r="J6" s="175" t="s">
        <v>219</v>
      </c>
      <c r="K6" s="174" t="s">
        <v>218</v>
      </c>
      <c r="L6" s="175" t="s">
        <v>219</v>
      </c>
      <c r="M6" s="174" t="s">
        <v>218</v>
      </c>
      <c r="N6" s="175" t="s">
        <v>219</v>
      </c>
      <c r="O6" s="174" t="s">
        <v>218</v>
      </c>
      <c r="P6" s="175" t="s">
        <v>219</v>
      </c>
    </row>
    <row r="7" spans="1:18" s="177" customFormat="1" ht="11.25" customHeight="1" x14ac:dyDescent="0.2">
      <c r="A7" s="176">
        <v>1</v>
      </c>
      <c r="B7" s="176">
        <v>2</v>
      </c>
      <c r="C7" s="176">
        <v>3</v>
      </c>
      <c r="D7" s="176">
        <v>4</v>
      </c>
      <c r="E7" s="176">
        <v>5</v>
      </c>
      <c r="F7" s="176">
        <v>6</v>
      </c>
      <c r="G7" s="176">
        <v>7</v>
      </c>
      <c r="H7" s="176">
        <v>8</v>
      </c>
      <c r="I7" s="176">
        <v>9</v>
      </c>
      <c r="J7" s="176">
        <v>10</v>
      </c>
      <c r="K7" s="176">
        <v>11</v>
      </c>
      <c r="L7" s="176">
        <v>12</v>
      </c>
      <c r="M7" s="176">
        <v>15</v>
      </c>
      <c r="N7" s="176">
        <v>16</v>
      </c>
      <c r="O7" s="176">
        <v>19</v>
      </c>
      <c r="P7" s="176">
        <v>20</v>
      </c>
    </row>
    <row r="8" spans="1:18" s="177" customFormat="1" ht="12" customHeight="1" x14ac:dyDescent="0.2">
      <c r="A8" s="740" t="s">
        <v>1</v>
      </c>
      <c r="B8" s="740"/>
      <c r="C8" s="740"/>
      <c r="D8" s="178">
        <f>E8+F8+G8+H8+I8+J8</f>
        <v>253610</v>
      </c>
      <c r="E8" s="179">
        <f t="shared" ref="E8:I8" si="0">E9+E10</f>
        <v>23509</v>
      </c>
      <c r="F8" s="179">
        <f t="shared" si="0"/>
        <v>58145</v>
      </c>
      <c r="G8" s="179">
        <f t="shared" si="0"/>
        <v>104897</v>
      </c>
      <c r="H8" s="179">
        <f t="shared" si="0"/>
        <v>49333</v>
      </c>
      <c r="I8" s="179">
        <f t="shared" si="0"/>
        <v>11329</v>
      </c>
      <c r="J8" s="179">
        <f>J9+J10</f>
        <v>6397</v>
      </c>
      <c r="K8" s="179">
        <f t="shared" ref="K8:P8" si="1">K9+K10</f>
        <v>11029</v>
      </c>
      <c r="L8" s="179">
        <f t="shared" si="1"/>
        <v>31043</v>
      </c>
      <c r="M8" s="179">
        <f t="shared" si="1"/>
        <v>45462</v>
      </c>
      <c r="N8" s="179">
        <f t="shared" si="1"/>
        <v>21759</v>
      </c>
      <c r="O8" s="179">
        <f t="shared" si="1"/>
        <v>5975</v>
      </c>
      <c r="P8" s="179">
        <f t="shared" si="1"/>
        <v>2384</v>
      </c>
      <c r="Q8" s="180"/>
    </row>
    <row r="9" spans="1:18" s="177" customFormat="1" x14ac:dyDescent="0.2">
      <c r="A9" s="741" t="s">
        <v>17</v>
      </c>
      <c r="B9" s="742"/>
      <c r="C9" s="743"/>
      <c r="D9" s="178">
        <f t="shared" ref="D9:D10" si="2">E9+F9+G9+H9+I9+J9</f>
        <v>0</v>
      </c>
      <c r="E9" s="179">
        <v>0</v>
      </c>
      <c r="F9" s="179">
        <v>0</v>
      </c>
      <c r="G9" s="179">
        <v>0</v>
      </c>
      <c r="H9" s="179">
        <v>0</v>
      </c>
      <c r="I9" s="179">
        <v>0</v>
      </c>
      <c r="J9" s="179">
        <v>0</v>
      </c>
      <c r="K9" s="181"/>
      <c r="L9" s="181"/>
      <c r="M9" s="181"/>
      <c r="N9" s="181"/>
      <c r="O9" s="181"/>
      <c r="P9" s="181"/>
    </row>
    <row r="10" spans="1:18" s="177" customFormat="1" x14ac:dyDescent="0.2">
      <c r="A10" s="741" t="s">
        <v>18</v>
      </c>
      <c r="B10" s="742"/>
      <c r="C10" s="743"/>
      <c r="D10" s="178">
        <f t="shared" si="2"/>
        <v>253610</v>
      </c>
      <c r="E10" s="179">
        <f>SUM(E11:E158)</f>
        <v>23509</v>
      </c>
      <c r="F10" s="179">
        <f t="shared" ref="F10:I10" si="3">SUM(F11:F158)</f>
        <v>58145</v>
      </c>
      <c r="G10" s="179">
        <f t="shared" si="3"/>
        <v>104897</v>
      </c>
      <c r="H10" s="179">
        <f t="shared" si="3"/>
        <v>49333</v>
      </c>
      <c r="I10" s="179">
        <f t="shared" si="3"/>
        <v>11329</v>
      </c>
      <c r="J10" s="179">
        <f>SUM(J11:J158)</f>
        <v>6397</v>
      </c>
      <c r="K10" s="179">
        <f>SUM(K11:K158)</f>
        <v>11029</v>
      </c>
      <c r="L10" s="179">
        <f t="shared" ref="L10:P10" si="4">SUM(L11:L158)</f>
        <v>31043</v>
      </c>
      <c r="M10" s="179">
        <f t="shared" si="4"/>
        <v>45462</v>
      </c>
      <c r="N10" s="179">
        <f t="shared" si="4"/>
        <v>21759</v>
      </c>
      <c r="O10" s="179">
        <f t="shared" si="4"/>
        <v>5975</v>
      </c>
      <c r="P10" s="179">
        <f t="shared" si="4"/>
        <v>2384</v>
      </c>
    </row>
    <row r="11" spans="1:18" ht="12.75" x14ac:dyDescent="0.2">
      <c r="A11" s="182">
        <v>1</v>
      </c>
      <c r="B11" s="183" t="s">
        <v>19</v>
      </c>
      <c r="C11" s="184" t="s">
        <v>20</v>
      </c>
      <c r="D11" s="185">
        <f>E11+F11+G11+H11+I11+J11</f>
        <v>1974</v>
      </c>
      <c r="E11" s="185">
        <v>0</v>
      </c>
      <c r="F11" s="185">
        <v>0</v>
      </c>
      <c r="G11" s="185">
        <v>1654</v>
      </c>
      <c r="H11" s="185">
        <v>320</v>
      </c>
      <c r="I11" s="185">
        <v>0</v>
      </c>
      <c r="J11" s="185">
        <v>0</v>
      </c>
      <c r="K11" s="185">
        <v>0</v>
      </c>
      <c r="L11" s="185">
        <v>0</v>
      </c>
      <c r="M11" s="185">
        <v>827</v>
      </c>
      <c r="N11" s="185">
        <v>160</v>
      </c>
      <c r="O11" s="185">
        <v>0</v>
      </c>
      <c r="P11" s="185">
        <v>0</v>
      </c>
      <c r="Q11" s="186"/>
      <c r="R11" s="187"/>
    </row>
    <row r="12" spans="1:18" ht="12.75" x14ac:dyDescent="0.2">
      <c r="A12" s="182">
        <v>2</v>
      </c>
      <c r="B12" s="188" t="s">
        <v>21</v>
      </c>
      <c r="C12" s="184" t="s">
        <v>456</v>
      </c>
      <c r="D12" s="185">
        <f t="shared" ref="D12:D75" si="5">E12+F12+G12+H12+I12+J12</f>
        <v>4650</v>
      </c>
      <c r="E12" s="185">
        <v>0</v>
      </c>
      <c r="F12" s="185">
        <v>0</v>
      </c>
      <c r="G12" s="185">
        <v>3800</v>
      </c>
      <c r="H12" s="185">
        <v>850</v>
      </c>
      <c r="I12" s="185">
        <v>0</v>
      </c>
      <c r="J12" s="185">
        <v>0</v>
      </c>
      <c r="K12" s="185">
        <v>0</v>
      </c>
      <c r="L12" s="185">
        <v>0</v>
      </c>
      <c r="M12" s="185">
        <v>1900</v>
      </c>
      <c r="N12" s="185">
        <v>425</v>
      </c>
      <c r="O12" s="185">
        <v>0</v>
      </c>
      <c r="P12" s="185">
        <v>0</v>
      </c>
      <c r="Q12" s="186"/>
      <c r="R12" s="187"/>
    </row>
    <row r="13" spans="1:18" ht="12.75" x14ac:dyDescent="0.2">
      <c r="A13" s="182">
        <v>3</v>
      </c>
      <c r="B13" s="189" t="s">
        <v>22</v>
      </c>
      <c r="C13" s="190" t="s">
        <v>23</v>
      </c>
      <c r="D13" s="185">
        <f t="shared" si="5"/>
        <v>0</v>
      </c>
      <c r="E13" s="185">
        <v>0</v>
      </c>
      <c r="F13" s="185">
        <v>0</v>
      </c>
      <c r="G13" s="185">
        <v>0</v>
      </c>
      <c r="H13" s="185">
        <v>0</v>
      </c>
      <c r="I13" s="185">
        <v>0</v>
      </c>
      <c r="J13" s="185">
        <v>0</v>
      </c>
      <c r="K13" s="185">
        <v>0</v>
      </c>
      <c r="L13" s="185">
        <v>0</v>
      </c>
      <c r="M13" s="185">
        <v>0</v>
      </c>
      <c r="N13" s="185">
        <v>0</v>
      </c>
      <c r="O13" s="185">
        <v>0</v>
      </c>
      <c r="P13" s="185">
        <v>0</v>
      </c>
      <c r="Q13" s="186"/>
      <c r="R13" s="187"/>
    </row>
    <row r="14" spans="1:18" ht="12.75" x14ac:dyDescent="0.2">
      <c r="A14" s="182">
        <v>4</v>
      </c>
      <c r="B14" s="183" t="s">
        <v>24</v>
      </c>
      <c r="C14" s="184" t="s">
        <v>368</v>
      </c>
      <c r="D14" s="185">
        <f t="shared" si="5"/>
        <v>1200</v>
      </c>
      <c r="E14" s="185">
        <v>0</v>
      </c>
      <c r="F14" s="185">
        <v>0</v>
      </c>
      <c r="G14" s="185">
        <v>767</v>
      </c>
      <c r="H14" s="185">
        <v>433</v>
      </c>
      <c r="I14" s="185">
        <v>0</v>
      </c>
      <c r="J14" s="185">
        <v>0</v>
      </c>
      <c r="K14" s="185">
        <v>0</v>
      </c>
      <c r="L14" s="185">
        <v>0</v>
      </c>
      <c r="M14" s="185">
        <f>367-100</f>
        <v>267</v>
      </c>
      <c r="N14" s="185">
        <v>183</v>
      </c>
      <c r="O14" s="185">
        <v>0</v>
      </c>
      <c r="P14" s="185">
        <v>0</v>
      </c>
      <c r="Q14" s="186"/>
      <c r="R14" s="187"/>
    </row>
    <row r="15" spans="1:18" ht="14.25" customHeight="1" x14ac:dyDescent="0.2">
      <c r="A15" s="182">
        <v>5</v>
      </c>
      <c r="B15" s="183" t="s">
        <v>25</v>
      </c>
      <c r="C15" s="184" t="s">
        <v>26</v>
      </c>
      <c r="D15" s="185">
        <f t="shared" si="5"/>
        <v>3031</v>
      </c>
      <c r="E15" s="185">
        <v>0</v>
      </c>
      <c r="F15" s="185">
        <v>0</v>
      </c>
      <c r="G15" s="185">
        <v>1786</v>
      </c>
      <c r="H15" s="185">
        <v>1245</v>
      </c>
      <c r="I15" s="185">
        <v>0</v>
      </c>
      <c r="J15" s="185">
        <v>0</v>
      </c>
      <c r="K15" s="185">
        <v>0</v>
      </c>
      <c r="L15" s="185">
        <v>0</v>
      </c>
      <c r="M15" s="185">
        <v>804</v>
      </c>
      <c r="N15" s="185">
        <v>560</v>
      </c>
      <c r="O15" s="185">
        <v>0</v>
      </c>
      <c r="P15" s="185">
        <v>0</v>
      </c>
      <c r="Q15" s="186"/>
      <c r="R15" s="187"/>
    </row>
    <row r="16" spans="1:18" ht="12.75" x14ac:dyDescent="0.2">
      <c r="A16" s="182">
        <v>6</v>
      </c>
      <c r="B16" s="189" t="s">
        <v>4</v>
      </c>
      <c r="C16" s="190" t="s">
        <v>27</v>
      </c>
      <c r="D16" s="185">
        <f t="shared" si="5"/>
        <v>7173</v>
      </c>
      <c r="E16" s="185">
        <v>0</v>
      </c>
      <c r="F16" s="185">
        <v>0</v>
      </c>
      <c r="G16" s="185">
        <v>3501</v>
      </c>
      <c r="H16" s="185">
        <v>3672</v>
      </c>
      <c r="I16" s="185">
        <v>0</v>
      </c>
      <c r="J16" s="185">
        <v>0</v>
      </c>
      <c r="K16" s="185">
        <v>0</v>
      </c>
      <c r="L16" s="185">
        <v>0</v>
      </c>
      <c r="M16" s="185">
        <v>1554</v>
      </c>
      <c r="N16" s="185">
        <v>1630</v>
      </c>
      <c r="O16" s="185">
        <v>0</v>
      </c>
      <c r="P16" s="185">
        <v>0</v>
      </c>
      <c r="Q16" s="186"/>
      <c r="R16" s="187"/>
    </row>
    <row r="17" spans="1:18" ht="12.75" x14ac:dyDescent="0.2">
      <c r="A17" s="182">
        <v>7</v>
      </c>
      <c r="B17" s="191" t="s">
        <v>28</v>
      </c>
      <c r="C17" s="192" t="s">
        <v>369</v>
      </c>
      <c r="D17" s="185">
        <f t="shared" si="5"/>
        <v>3918</v>
      </c>
      <c r="E17" s="185">
        <v>0</v>
      </c>
      <c r="F17" s="185">
        <v>0</v>
      </c>
      <c r="G17" s="185">
        <v>3334</v>
      </c>
      <c r="H17" s="185">
        <v>584</v>
      </c>
      <c r="I17" s="185">
        <v>0</v>
      </c>
      <c r="J17" s="185">
        <v>0</v>
      </c>
      <c r="K17" s="185">
        <v>0</v>
      </c>
      <c r="L17" s="185">
        <v>0</v>
      </c>
      <c r="M17" s="185">
        <v>1482</v>
      </c>
      <c r="N17" s="185">
        <v>260</v>
      </c>
      <c r="O17" s="185">
        <v>0</v>
      </c>
      <c r="P17" s="185">
        <v>0</v>
      </c>
      <c r="Q17" s="186"/>
      <c r="R17" s="187"/>
    </row>
    <row r="18" spans="1:18" ht="12.75" x14ac:dyDescent="0.2">
      <c r="A18" s="182">
        <v>8</v>
      </c>
      <c r="B18" s="189" t="s">
        <v>29</v>
      </c>
      <c r="C18" s="190" t="s">
        <v>30</v>
      </c>
      <c r="D18" s="185">
        <f t="shared" si="5"/>
        <v>4791</v>
      </c>
      <c r="E18" s="185">
        <v>0</v>
      </c>
      <c r="F18" s="185">
        <v>0</v>
      </c>
      <c r="G18" s="185">
        <v>2736</v>
      </c>
      <c r="H18" s="185">
        <v>2055</v>
      </c>
      <c r="I18" s="185">
        <v>0</v>
      </c>
      <c r="J18" s="185">
        <v>0</v>
      </c>
      <c r="K18" s="185">
        <v>0</v>
      </c>
      <c r="L18" s="185">
        <v>0</v>
      </c>
      <c r="M18" s="185">
        <v>1368</v>
      </c>
      <c r="N18" s="185">
        <v>1028</v>
      </c>
      <c r="O18" s="185">
        <v>0</v>
      </c>
      <c r="P18" s="185">
        <v>0</v>
      </c>
      <c r="Q18" s="186"/>
      <c r="R18" s="187"/>
    </row>
    <row r="19" spans="1:18" ht="12.75" x14ac:dyDescent="0.2">
      <c r="A19" s="182">
        <v>9</v>
      </c>
      <c r="B19" s="189" t="s">
        <v>31</v>
      </c>
      <c r="C19" s="190" t="s">
        <v>32</v>
      </c>
      <c r="D19" s="185">
        <f t="shared" si="5"/>
        <v>1367</v>
      </c>
      <c r="E19" s="185">
        <v>0</v>
      </c>
      <c r="F19" s="185">
        <v>0</v>
      </c>
      <c r="G19" s="185">
        <v>1060</v>
      </c>
      <c r="H19" s="185">
        <v>307</v>
      </c>
      <c r="I19" s="185">
        <v>0</v>
      </c>
      <c r="J19" s="185">
        <v>0</v>
      </c>
      <c r="K19" s="185">
        <v>0</v>
      </c>
      <c r="L19" s="185">
        <v>0</v>
      </c>
      <c r="M19" s="185">
        <v>456</v>
      </c>
      <c r="N19" s="185">
        <v>132</v>
      </c>
      <c r="O19" s="185">
        <v>0</v>
      </c>
      <c r="P19" s="185">
        <v>0</v>
      </c>
      <c r="Q19" s="186"/>
      <c r="R19" s="187"/>
    </row>
    <row r="20" spans="1:18" ht="12.75" x14ac:dyDescent="0.2">
      <c r="A20" s="182">
        <v>10</v>
      </c>
      <c r="B20" s="189" t="s">
        <v>33</v>
      </c>
      <c r="C20" s="190" t="s">
        <v>34</v>
      </c>
      <c r="D20" s="185">
        <f t="shared" si="5"/>
        <v>2275</v>
      </c>
      <c r="E20" s="185">
        <v>0</v>
      </c>
      <c r="F20" s="185">
        <v>0</v>
      </c>
      <c r="G20" s="185">
        <v>1320</v>
      </c>
      <c r="H20" s="185">
        <v>955</v>
      </c>
      <c r="I20" s="185">
        <v>0</v>
      </c>
      <c r="J20" s="185">
        <v>0</v>
      </c>
      <c r="K20" s="185">
        <v>0</v>
      </c>
      <c r="L20" s="185">
        <v>0</v>
      </c>
      <c r="M20" s="185">
        <v>629</v>
      </c>
      <c r="N20" s="185">
        <v>455</v>
      </c>
      <c r="O20" s="185">
        <v>0</v>
      </c>
      <c r="P20" s="185">
        <v>0</v>
      </c>
      <c r="Q20" s="186"/>
      <c r="R20" s="187"/>
    </row>
    <row r="21" spans="1:18" ht="12.75" x14ac:dyDescent="0.2">
      <c r="A21" s="182">
        <v>11</v>
      </c>
      <c r="B21" s="189" t="s">
        <v>35</v>
      </c>
      <c r="C21" s="190" t="s">
        <v>36</v>
      </c>
      <c r="D21" s="185">
        <f t="shared" si="5"/>
        <v>1875</v>
      </c>
      <c r="E21" s="185">
        <v>0</v>
      </c>
      <c r="F21" s="185">
        <v>0</v>
      </c>
      <c r="G21" s="185">
        <v>1807</v>
      </c>
      <c r="H21" s="185">
        <v>68</v>
      </c>
      <c r="I21" s="185">
        <v>0</v>
      </c>
      <c r="J21" s="185">
        <v>0</v>
      </c>
      <c r="K21" s="185">
        <v>0</v>
      </c>
      <c r="L21" s="185">
        <v>0</v>
      </c>
      <c r="M21" s="185">
        <v>847</v>
      </c>
      <c r="N21" s="185">
        <v>32</v>
      </c>
      <c r="O21" s="185">
        <v>0</v>
      </c>
      <c r="P21" s="185">
        <v>0</v>
      </c>
      <c r="Q21" s="186"/>
      <c r="R21" s="187"/>
    </row>
    <row r="22" spans="1:18" ht="12.75" x14ac:dyDescent="0.2">
      <c r="A22" s="182">
        <v>12</v>
      </c>
      <c r="B22" s="189" t="s">
        <v>37</v>
      </c>
      <c r="C22" s="190" t="s">
        <v>38</v>
      </c>
      <c r="D22" s="185">
        <f t="shared" si="5"/>
        <v>750</v>
      </c>
      <c r="E22" s="185">
        <v>0</v>
      </c>
      <c r="F22" s="185">
        <v>0</v>
      </c>
      <c r="G22" s="185">
        <v>450</v>
      </c>
      <c r="H22" s="185">
        <v>300</v>
      </c>
      <c r="I22" s="185">
        <v>0</v>
      </c>
      <c r="J22" s="185">
        <v>0</v>
      </c>
      <c r="K22" s="185">
        <v>0</v>
      </c>
      <c r="L22" s="185">
        <v>0</v>
      </c>
      <c r="M22" s="185">
        <v>150</v>
      </c>
      <c r="N22" s="185">
        <v>100</v>
      </c>
      <c r="O22" s="185">
        <v>0</v>
      </c>
      <c r="P22" s="185">
        <v>0</v>
      </c>
      <c r="Q22" s="186"/>
      <c r="R22" s="187"/>
    </row>
    <row r="23" spans="1:18" x14ac:dyDescent="0.2">
      <c r="A23" s="182">
        <v>13</v>
      </c>
      <c r="B23" s="85" t="s">
        <v>166</v>
      </c>
      <c r="C23" s="86" t="s">
        <v>370</v>
      </c>
      <c r="D23" s="185">
        <f t="shared" si="5"/>
        <v>0</v>
      </c>
      <c r="E23" s="185">
        <v>0</v>
      </c>
      <c r="F23" s="185">
        <v>0</v>
      </c>
      <c r="G23" s="185">
        <v>0</v>
      </c>
      <c r="H23" s="185">
        <v>0</v>
      </c>
      <c r="I23" s="185">
        <v>0</v>
      </c>
      <c r="J23" s="185">
        <v>0</v>
      </c>
      <c r="K23" s="185">
        <v>0</v>
      </c>
      <c r="L23" s="185">
        <v>0</v>
      </c>
      <c r="M23" s="185">
        <v>0</v>
      </c>
      <c r="N23" s="185">
        <v>0</v>
      </c>
      <c r="O23" s="185">
        <v>0</v>
      </c>
      <c r="P23" s="185">
        <v>0</v>
      </c>
      <c r="Q23" s="186"/>
      <c r="R23" s="187"/>
    </row>
    <row r="24" spans="1:18" x14ac:dyDescent="0.2">
      <c r="A24" s="182">
        <v>14</v>
      </c>
      <c r="B24" s="85" t="s">
        <v>167</v>
      </c>
      <c r="C24" s="82" t="s">
        <v>371</v>
      </c>
      <c r="D24" s="185">
        <f t="shared" si="5"/>
        <v>0</v>
      </c>
      <c r="E24" s="185">
        <v>0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  <c r="K24" s="185">
        <v>0</v>
      </c>
      <c r="L24" s="185">
        <v>0</v>
      </c>
      <c r="M24" s="185">
        <v>0</v>
      </c>
      <c r="N24" s="185">
        <v>0</v>
      </c>
      <c r="O24" s="185">
        <v>0</v>
      </c>
      <c r="P24" s="185">
        <v>0</v>
      </c>
      <c r="Q24" s="186"/>
      <c r="R24" s="187"/>
    </row>
    <row r="25" spans="1:18" ht="12.75" x14ac:dyDescent="0.2">
      <c r="A25" s="182">
        <v>15</v>
      </c>
      <c r="B25" s="189" t="s">
        <v>39</v>
      </c>
      <c r="C25" s="190" t="s">
        <v>40</v>
      </c>
      <c r="D25" s="185">
        <f t="shared" si="5"/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185">
        <v>0</v>
      </c>
      <c r="N25" s="185">
        <v>0</v>
      </c>
      <c r="O25" s="185">
        <v>0</v>
      </c>
      <c r="P25" s="185">
        <v>0</v>
      </c>
      <c r="Q25" s="186"/>
      <c r="R25" s="187"/>
    </row>
    <row r="26" spans="1:18" ht="12.75" x14ac:dyDescent="0.2">
      <c r="A26" s="182">
        <v>16</v>
      </c>
      <c r="B26" s="189" t="s">
        <v>41</v>
      </c>
      <c r="C26" s="190" t="s">
        <v>42</v>
      </c>
      <c r="D26" s="185">
        <f t="shared" si="5"/>
        <v>5092</v>
      </c>
      <c r="E26" s="185">
        <v>0</v>
      </c>
      <c r="F26" s="185">
        <v>0</v>
      </c>
      <c r="G26" s="185">
        <v>4706</v>
      </c>
      <c r="H26" s="185">
        <v>386</v>
      </c>
      <c r="I26" s="185">
        <v>0</v>
      </c>
      <c r="J26" s="185">
        <v>0</v>
      </c>
      <c r="K26" s="185">
        <v>0</v>
      </c>
      <c r="L26" s="185">
        <v>0</v>
      </c>
      <c r="M26" s="185">
        <v>2266</v>
      </c>
      <c r="N26" s="185">
        <v>186</v>
      </c>
      <c r="O26" s="185">
        <v>0</v>
      </c>
      <c r="P26" s="185">
        <v>0</v>
      </c>
      <c r="Q26" s="186"/>
      <c r="R26" s="187"/>
    </row>
    <row r="27" spans="1:18" ht="12.75" x14ac:dyDescent="0.2">
      <c r="A27" s="182">
        <v>17</v>
      </c>
      <c r="B27" s="189" t="s">
        <v>43</v>
      </c>
      <c r="C27" s="190" t="s">
        <v>372</v>
      </c>
      <c r="D27" s="185">
        <f t="shared" si="5"/>
        <v>2410</v>
      </c>
      <c r="E27" s="185">
        <v>0</v>
      </c>
      <c r="F27" s="185">
        <v>0</v>
      </c>
      <c r="G27" s="185">
        <v>1897</v>
      </c>
      <c r="H27" s="185">
        <v>513</v>
      </c>
      <c r="I27" s="185">
        <v>0</v>
      </c>
      <c r="J27" s="185">
        <v>0</v>
      </c>
      <c r="K27" s="185">
        <v>0</v>
      </c>
      <c r="L27" s="185">
        <v>0</v>
      </c>
      <c r="M27" s="185">
        <v>881</v>
      </c>
      <c r="N27" s="185">
        <v>238</v>
      </c>
      <c r="O27" s="185">
        <v>0</v>
      </c>
      <c r="P27" s="185">
        <v>0</v>
      </c>
      <c r="Q27" s="186"/>
      <c r="R27" s="187"/>
    </row>
    <row r="28" spans="1:18" ht="12.75" x14ac:dyDescent="0.2">
      <c r="A28" s="182">
        <v>18</v>
      </c>
      <c r="B28" s="189" t="s">
        <v>44</v>
      </c>
      <c r="C28" s="190" t="s">
        <v>45</v>
      </c>
      <c r="D28" s="185">
        <f t="shared" si="5"/>
        <v>3744</v>
      </c>
      <c r="E28" s="185">
        <v>0</v>
      </c>
      <c r="F28" s="185">
        <v>0</v>
      </c>
      <c r="G28" s="185">
        <v>2995</v>
      </c>
      <c r="H28" s="185">
        <v>749</v>
      </c>
      <c r="I28" s="185">
        <v>0</v>
      </c>
      <c r="J28" s="185">
        <v>0</v>
      </c>
      <c r="K28" s="185">
        <v>0</v>
      </c>
      <c r="L28" s="185">
        <v>0</v>
      </c>
      <c r="M28" s="185">
        <v>1395</v>
      </c>
      <c r="N28" s="185">
        <v>349</v>
      </c>
      <c r="O28" s="185">
        <v>0</v>
      </c>
      <c r="P28" s="185">
        <v>0</v>
      </c>
      <c r="Q28" s="186"/>
      <c r="R28" s="187"/>
    </row>
    <row r="29" spans="1:18" ht="12.75" x14ac:dyDescent="0.2">
      <c r="A29" s="182">
        <v>19</v>
      </c>
      <c r="B29" s="183" t="s">
        <v>46</v>
      </c>
      <c r="C29" s="184" t="s">
        <v>47</v>
      </c>
      <c r="D29" s="185">
        <f t="shared" si="5"/>
        <v>166</v>
      </c>
      <c r="E29" s="185">
        <v>0</v>
      </c>
      <c r="F29" s="185">
        <v>0</v>
      </c>
      <c r="G29" s="185">
        <v>131</v>
      </c>
      <c r="H29" s="185">
        <v>35</v>
      </c>
      <c r="I29" s="185">
        <v>0</v>
      </c>
      <c r="J29" s="185">
        <v>0</v>
      </c>
      <c r="K29" s="185">
        <v>0</v>
      </c>
      <c r="L29" s="185">
        <v>0</v>
      </c>
      <c r="M29" s="185">
        <v>56</v>
      </c>
      <c r="N29" s="185">
        <v>15</v>
      </c>
      <c r="O29" s="185">
        <v>0</v>
      </c>
      <c r="P29" s="185">
        <v>0</v>
      </c>
      <c r="Q29" s="186"/>
      <c r="R29" s="187"/>
    </row>
    <row r="30" spans="1:18" ht="12.75" x14ac:dyDescent="0.2">
      <c r="A30" s="182">
        <v>20</v>
      </c>
      <c r="B30" s="183" t="s">
        <v>48</v>
      </c>
      <c r="C30" s="184" t="s">
        <v>373</v>
      </c>
      <c r="D30" s="185">
        <f t="shared" si="5"/>
        <v>0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6"/>
      <c r="R30" s="187"/>
    </row>
    <row r="31" spans="1:18" ht="12.75" x14ac:dyDescent="0.2">
      <c r="A31" s="182">
        <v>21</v>
      </c>
      <c r="B31" s="183" t="s">
        <v>49</v>
      </c>
      <c r="C31" s="184" t="s">
        <v>50</v>
      </c>
      <c r="D31" s="185">
        <f t="shared" si="5"/>
        <v>2289</v>
      </c>
      <c r="E31" s="185">
        <v>0</v>
      </c>
      <c r="F31" s="185">
        <v>0</v>
      </c>
      <c r="G31" s="185">
        <v>1337</v>
      </c>
      <c r="H31" s="185">
        <v>952</v>
      </c>
      <c r="I31" s="185">
        <v>0</v>
      </c>
      <c r="J31" s="185">
        <v>0</v>
      </c>
      <c r="K31" s="185">
        <v>0</v>
      </c>
      <c r="L31" s="185">
        <v>0</v>
      </c>
      <c r="M31" s="185">
        <v>593</v>
      </c>
      <c r="N31" s="185">
        <v>422</v>
      </c>
      <c r="O31" s="185">
        <v>0</v>
      </c>
      <c r="P31" s="185">
        <v>0</v>
      </c>
      <c r="Q31" s="186"/>
      <c r="R31" s="187"/>
    </row>
    <row r="32" spans="1:18" ht="12.75" x14ac:dyDescent="0.2">
      <c r="A32" s="182">
        <v>22</v>
      </c>
      <c r="B32" s="183" t="s">
        <v>51</v>
      </c>
      <c r="C32" s="184" t="s">
        <v>52</v>
      </c>
      <c r="D32" s="185">
        <f t="shared" si="5"/>
        <v>4701</v>
      </c>
      <c r="E32" s="185">
        <v>0</v>
      </c>
      <c r="F32" s="185">
        <v>0</v>
      </c>
      <c r="G32" s="185">
        <v>2728</v>
      </c>
      <c r="H32" s="185">
        <v>1973</v>
      </c>
      <c r="I32" s="185">
        <v>0</v>
      </c>
      <c r="J32" s="185">
        <v>0</v>
      </c>
      <c r="K32" s="185">
        <v>0</v>
      </c>
      <c r="L32" s="185">
        <v>0</v>
      </c>
      <c r="M32" s="185">
        <v>1308</v>
      </c>
      <c r="N32" s="185">
        <v>946</v>
      </c>
      <c r="O32" s="185">
        <v>0</v>
      </c>
      <c r="P32" s="185">
        <v>0</v>
      </c>
      <c r="Q32" s="186"/>
      <c r="R32" s="187"/>
    </row>
    <row r="33" spans="1:18" ht="13.5" customHeight="1" x14ac:dyDescent="0.2">
      <c r="A33" s="182">
        <v>23</v>
      </c>
      <c r="B33" s="189" t="s">
        <v>53</v>
      </c>
      <c r="C33" s="190" t="s">
        <v>374</v>
      </c>
      <c r="D33" s="185">
        <f t="shared" si="5"/>
        <v>4162</v>
      </c>
      <c r="E33" s="185">
        <v>0</v>
      </c>
      <c r="F33" s="185">
        <v>0</v>
      </c>
      <c r="G33" s="185">
        <v>2415</v>
      </c>
      <c r="H33" s="185">
        <v>1747</v>
      </c>
      <c r="I33" s="185">
        <v>0</v>
      </c>
      <c r="J33" s="185">
        <v>0</v>
      </c>
      <c r="K33" s="185">
        <v>0</v>
      </c>
      <c r="L33" s="185">
        <v>0</v>
      </c>
      <c r="M33" s="185">
        <v>1208</v>
      </c>
      <c r="N33" s="185">
        <v>874</v>
      </c>
      <c r="O33" s="185">
        <v>0</v>
      </c>
      <c r="P33" s="185">
        <v>0</v>
      </c>
      <c r="Q33" s="186"/>
      <c r="R33" s="187"/>
    </row>
    <row r="34" spans="1:18" ht="13.5" customHeight="1" x14ac:dyDescent="0.2">
      <c r="A34" s="182">
        <v>24</v>
      </c>
      <c r="B34" s="97" t="s">
        <v>316</v>
      </c>
      <c r="C34" s="86" t="s">
        <v>375</v>
      </c>
      <c r="D34" s="185">
        <f t="shared" si="5"/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6"/>
      <c r="R34" s="187"/>
    </row>
    <row r="35" spans="1:18" ht="27.75" customHeight="1" x14ac:dyDescent="0.2">
      <c r="A35" s="182">
        <v>25</v>
      </c>
      <c r="B35" s="97" t="s">
        <v>318</v>
      </c>
      <c r="C35" s="86" t="s">
        <v>376</v>
      </c>
      <c r="D35" s="185">
        <f t="shared" si="5"/>
        <v>0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K35" s="185"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6"/>
      <c r="R35" s="187"/>
    </row>
    <row r="36" spans="1:18" ht="12.75" x14ac:dyDescent="0.2">
      <c r="A36" s="182">
        <v>26</v>
      </c>
      <c r="B36" s="183" t="s">
        <v>6</v>
      </c>
      <c r="C36" s="192" t="s">
        <v>377</v>
      </c>
      <c r="D36" s="185">
        <f t="shared" si="5"/>
        <v>0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0</v>
      </c>
      <c r="Q36" s="186"/>
      <c r="R36" s="187"/>
    </row>
    <row r="37" spans="1:18" ht="12.75" x14ac:dyDescent="0.2">
      <c r="A37" s="182">
        <v>27</v>
      </c>
      <c r="B37" s="189" t="s">
        <v>5</v>
      </c>
      <c r="C37" s="190" t="s">
        <v>378</v>
      </c>
      <c r="D37" s="185">
        <f t="shared" si="5"/>
        <v>962</v>
      </c>
      <c r="E37" s="185">
        <v>0</v>
      </c>
      <c r="F37" s="185">
        <v>0</v>
      </c>
      <c r="G37" s="185">
        <v>541</v>
      </c>
      <c r="H37" s="185">
        <v>421</v>
      </c>
      <c r="I37" s="185">
        <v>0</v>
      </c>
      <c r="J37" s="185">
        <v>0</v>
      </c>
      <c r="K37" s="185">
        <v>0</v>
      </c>
      <c r="L37" s="185">
        <v>0</v>
      </c>
      <c r="M37" s="185">
        <v>271</v>
      </c>
      <c r="N37" s="185">
        <v>211</v>
      </c>
      <c r="O37" s="185">
        <v>0</v>
      </c>
      <c r="P37" s="185">
        <v>0</v>
      </c>
      <c r="Q37" s="186"/>
      <c r="R37" s="187"/>
    </row>
    <row r="38" spans="1:18" ht="12.75" x14ac:dyDescent="0.2">
      <c r="A38" s="182">
        <v>28</v>
      </c>
      <c r="B38" s="189" t="s">
        <v>54</v>
      </c>
      <c r="C38" s="190" t="s">
        <v>379</v>
      </c>
      <c r="D38" s="185">
        <f t="shared" si="5"/>
        <v>200</v>
      </c>
      <c r="E38" s="185">
        <v>0</v>
      </c>
      <c r="F38" s="185">
        <v>0</v>
      </c>
      <c r="G38" s="185">
        <v>0</v>
      </c>
      <c r="H38" s="185">
        <v>200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100</v>
      </c>
      <c r="O38" s="185">
        <v>0</v>
      </c>
      <c r="P38" s="185">
        <v>0</v>
      </c>
      <c r="Q38" s="186"/>
      <c r="R38" s="187"/>
    </row>
    <row r="39" spans="1:18" ht="12.75" x14ac:dyDescent="0.2">
      <c r="A39" s="182">
        <v>29</v>
      </c>
      <c r="B39" s="183" t="s">
        <v>168</v>
      </c>
      <c r="C39" s="184" t="s">
        <v>169</v>
      </c>
      <c r="D39" s="185">
        <f t="shared" si="5"/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6"/>
      <c r="R39" s="187"/>
    </row>
    <row r="40" spans="1:18" ht="12.75" x14ac:dyDescent="0.2">
      <c r="A40" s="182">
        <v>30</v>
      </c>
      <c r="B40" s="188" t="s">
        <v>170</v>
      </c>
      <c r="C40" s="192" t="s">
        <v>171</v>
      </c>
      <c r="D40" s="185">
        <f t="shared" si="5"/>
        <v>9694</v>
      </c>
      <c r="E40" s="185">
        <v>1021</v>
      </c>
      <c r="F40" s="185">
        <v>8673</v>
      </c>
      <c r="G40" s="185">
        <v>0</v>
      </c>
      <c r="H40" s="185">
        <v>0</v>
      </c>
      <c r="I40" s="185">
        <v>0</v>
      </c>
      <c r="J40" s="185">
        <v>0</v>
      </c>
      <c r="K40" s="185">
        <v>441</v>
      </c>
      <c r="L40" s="185">
        <v>3745</v>
      </c>
      <c r="M40" s="185">
        <v>0</v>
      </c>
      <c r="N40" s="185">
        <v>0</v>
      </c>
      <c r="O40" s="185">
        <v>0</v>
      </c>
      <c r="P40" s="185">
        <v>0</v>
      </c>
      <c r="Q40" s="186"/>
      <c r="R40" s="187"/>
    </row>
    <row r="41" spans="1:18" ht="24" x14ac:dyDescent="0.2">
      <c r="A41" s="182">
        <v>31</v>
      </c>
      <c r="B41" s="142" t="s">
        <v>320</v>
      </c>
      <c r="C41" s="82" t="s">
        <v>380</v>
      </c>
      <c r="D41" s="185">
        <f t="shared" si="5"/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v>0</v>
      </c>
      <c r="N41" s="185">
        <v>0</v>
      </c>
      <c r="O41" s="185">
        <v>0</v>
      </c>
      <c r="P41" s="185">
        <v>0</v>
      </c>
      <c r="Q41" s="186"/>
      <c r="R41" s="187"/>
    </row>
    <row r="42" spans="1:18" ht="25.5" x14ac:dyDescent="0.2">
      <c r="A42" s="182">
        <v>32</v>
      </c>
      <c r="B42" s="189" t="s">
        <v>55</v>
      </c>
      <c r="C42" s="190" t="s">
        <v>381</v>
      </c>
      <c r="D42" s="185">
        <f t="shared" si="5"/>
        <v>35</v>
      </c>
      <c r="E42" s="185">
        <v>0</v>
      </c>
      <c r="F42" s="185">
        <v>0</v>
      </c>
      <c r="G42" s="185">
        <v>35</v>
      </c>
      <c r="H42" s="185">
        <v>0</v>
      </c>
      <c r="I42" s="185">
        <v>0</v>
      </c>
      <c r="J42" s="185">
        <v>0</v>
      </c>
      <c r="K42" s="185">
        <v>0</v>
      </c>
      <c r="L42" s="185">
        <v>0</v>
      </c>
      <c r="M42" s="185">
        <v>18</v>
      </c>
      <c r="N42" s="185">
        <v>0</v>
      </c>
      <c r="O42" s="185">
        <v>0</v>
      </c>
      <c r="P42" s="185">
        <v>0</v>
      </c>
      <c r="Q42" s="186"/>
      <c r="R42" s="187"/>
    </row>
    <row r="43" spans="1:18" ht="12.75" x14ac:dyDescent="0.2">
      <c r="A43" s="182">
        <v>33</v>
      </c>
      <c r="B43" s="188" t="s">
        <v>56</v>
      </c>
      <c r="C43" s="184" t="s">
        <v>57</v>
      </c>
      <c r="D43" s="185">
        <f t="shared" si="5"/>
        <v>1370</v>
      </c>
      <c r="E43" s="185">
        <v>0</v>
      </c>
      <c r="F43" s="185">
        <v>0</v>
      </c>
      <c r="G43" s="185">
        <v>824</v>
      </c>
      <c r="H43" s="185">
        <v>546</v>
      </c>
      <c r="I43" s="185">
        <v>0</v>
      </c>
      <c r="J43" s="185">
        <v>0</v>
      </c>
      <c r="K43" s="185">
        <v>0</v>
      </c>
      <c r="L43" s="185">
        <v>0</v>
      </c>
      <c r="M43" s="185">
        <v>359</v>
      </c>
      <c r="N43" s="185">
        <v>238</v>
      </c>
      <c r="O43" s="185">
        <v>0</v>
      </c>
      <c r="P43" s="185">
        <v>0</v>
      </c>
      <c r="Q43" s="186"/>
      <c r="R43" s="187"/>
    </row>
    <row r="44" spans="1:18" ht="12.75" x14ac:dyDescent="0.2">
      <c r="A44" s="182">
        <v>34</v>
      </c>
      <c r="B44" s="191" t="s">
        <v>58</v>
      </c>
      <c r="C44" s="192" t="s">
        <v>59</v>
      </c>
      <c r="D44" s="185">
        <f t="shared" si="5"/>
        <v>10717</v>
      </c>
      <c r="E44" s="185">
        <v>0</v>
      </c>
      <c r="F44" s="185">
        <v>0</v>
      </c>
      <c r="G44" s="185">
        <v>5228</v>
      </c>
      <c r="H44" s="185">
        <v>5489</v>
      </c>
      <c r="I44" s="185">
        <v>0</v>
      </c>
      <c r="J44" s="185">
        <v>0</v>
      </c>
      <c r="K44" s="185">
        <v>0</v>
      </c>
      <c r="L44" s="185">
        <v>0</v>
      </c>
      <c r="M44" s="185">
        <v>2228</v>
      </c>
      <c r="N44" s="185">
        <v>2339</v>
      </c>
      <c r="O44" s="185">
        <v>0</v>
      </c>
      <c r="P44" s="185">
        <v>0</v>
      </c>
      <c r="Q44" s="186"/>
      <c r="R44" s="187"/>
    </row>
    <row r="45" spans="1:18" ht="12.75" x14ac:dyDescent="0.2">
      <c r="A45" s="182">
        <v>35</v>
      </c>
      <c r="B45" s="183" t="s">
        <v>172</v>
      </c>
      <c r="C45" s="184" t="s">
        <v>173</v>
      </c>
      <c r="D45" s="185">
        <f t="shared" si="5"/>
        <v>0</v>
      </c>
      <c r="E45" s="185">
        <v>0</v>
      </c>
      <c r="F45" s="185">
        <v>0</v>
      </c>
      <c r="G45" s="185">
        <v>0</v>
      </c>
      <c r="H45" s="185">
        <v>0</v>
      </c>
      <c r="I45" s="185">
        <v>0</v>
      </c>
      <c r="J45" s="185">
        <v>0</v>
      </c>
      <c r="K45" s="185">
        <v>0</v>
      </c>
      <c r="L45" s="185">
        <v>0</v>
      </c>
      <c r="M45" s="185">
        <v>0</v>
      </c>
      <c r="N45" s="185">
        <v>0</v>
      </c>
      <c r="O45" s="185">
        <v>0</v>
      </c>
      <c r="P45" s="185">
        <v>0</v>
      </c>
      <c r="Q45" s="186"/>
      <c r="R45" s="187"/>
    </row>
    <row r="46" spans="1:18" ht="12.75" x14ac:dyDescent="0.2">
      <c r="A46" s="182">
        <v>36</v>
      </c>
      <c r="B46" s="188" t="s">
        <v>60</v>
      </c>
      <c r="C46" s="184" t="s">
        <v>61</v>
      </c>
      <c r="D46" s="185">
        <f t="shared" si="5"/>
        <v>1170</v>
      </c>
      <c r="E46" s="185">
        <v>0</v>
      </c>
      <c r="F46" s="185">
        <v>0</v>
      </c>
      <c r="G46" s="185">
        <v>1080</v>
      </c>
      <c r="H46" s="185">
        <v>90</v>
      </c>
      <c r="I46" s="185">
        <v>0</v>
      </c>
      <c r="J46" s="185">
        <v>0</v>
      </c>
      <c r="K46" s="185">
        <v>0</v>
      </c>
      <c r="L46" s="185">
        <v>0</v>
      </c>
      <c r="M46" s="185">
        <v>480</v>
      </c>
      <c r="N46" s="185">
        <v>40</v>
      </c>
      <c r="O46" s="185">
        <v>0</v>
      </c>
      <c r="P46" s="185">
        <v>0</v>
      </c>
      <c r="Q46" s="186"/>
      <c r="R46" s="187"/>
    </row>
    <row r="47" spans="1:18" ht="12.75" x14ac:dyDescent="0.2">
      <c r="A47" s="182">
        <v>37</v>
      </c>
      <c r="B47" s="189" t="s">
        <v>62</v>
      </c>
      <c r="C47" s="190" t="s">
        <v>63</v>
      </c>
      <c r="D47" s="185">
        <f t="shared" si="5"/>
        <v>7211</v>
      </c>
      <c r="E47" s="185">
        <v>0</v>
      </c>
      <c r="F47" s="185">
        <v>0</v>
      </c>
      <c r="G47" s="185">
        <v>5142</v>
      </c>
      <c r="H47" s="185">
        <v>2069</v>
      </c>
      <c r="I47" s="185">
        <v>0</v>
      </c>
      <c r="J47" s="185">
        <v>0</v>
      </c>
      <c r="K47" s="185">
        <v>0</v>
      </c>
      <c r="L47" s="185">
        <v>0</v>
      </c>
      <c r="M47" s="185">
        <v>1786</v>
      </c>
      <c r="N47" s="185">
        <v>721</v>
      </c>
      <c r="O47" s="185">
        <v>0</v>
      </c>
      <c r="P47" s="185">
        <v>0</v>
      </c>
      <c r="Q47" s="186"/>
      <c r="R47" s="187"/>
    </row>
    <row r="48" spans="1:18" ht="12.75" x14ac:dyDescent="0.2">
      <c r="A48" s="182">
        <v>38</v>
      </c>
      <c r="B48" s="188" t="s">
        <v>64</v>
      </c>
      <c r="C48" s="184" t="s">
        <v>65</v>
      </c>
      <c r="D48" s="185">
        <f t="shared" si="5"/>
        <v>367</v>
      </c>
      <c r="E48" s="185">
        <v>0</v>
      </c>
      <c r="F48" s="185">
        <v>0</v>
      </c>
      <c r="G48" s="185">
        <v>367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135</v>
      </c>
      <c r="N48" s="185">
        <v>0</v>
      </c>
      <c r="O48" s="185">
        <v>0</v>
      </c>
      <c r="P48" s="185">
        <v>0</v>
      </c>
      <c r="Q48" s="186"/>
      <c r="R48" s="187"/>
    </row>
    <row r="49" spans="1:18" ht="12.75" x14ac:dyDescent="0.2">
      <c r="A49" s="182">
        <v>39</v>
      </c>
      <c r="B49" s="183" t="s">
        <v>66</v>
      </c>
      <c r="C49" s="184" t="s">
        <v>382</v>
      </c>
      <c r="D49" s="185">
        <f t="shared" si="5"/>
        <v>3244</v>
      </c>
      <c r="E49" s="185">
        <v>0</v>
      </c>
      <c r="F49" s="185">
        <v>0</v>
      </c>
      <c r="G49" s="185">
        <v>2454</v>
      </c>
      <c r="H49" s="185">
        <v>790</v>
      </c>
      <c r="I49" s="185">
        <v>0</v>
      </c>
      <c r="J49" s="185">
        <v>0</v>
      </c>
      <c r="K49" s="185">
        <v>0</v>
      </c>
      <c r="L49" s="185">
        <v>0</v>
      </c>
      <c r="M49" s="185">
        <v>1079</v>
      </c>
      <c r="N49" s="185">
        <v>348</v>
      </c>
      <c r="O49" s="185">
        <v>0</v>
      </c>
      <c r="P49" s="185">
        <v>0</v>
      </c>
      <c r="Q49" s="186"/>
      <c r="R49" s="187"/>
    </row>
    <row r="50" spans="1:18" ht="12.75" x14ac:dyDescent="0.2">
      <c r="A50" s="182">
        <v>40</v>
      </c>
      <c r="B50" s="193" t="s">
        <v>67</v>
      </c>
      <c r="C50" s="194" t="s">
        <v>383</v>
      </c>
      <c r="D50" s="185">
        <f t="shared" si="5"/>
        <v>1438</v>
      </c>
      <c r="E50" s="185">
        <v>0</v>
      </c>
      <c r="F50" s="185">
        <v>0</v>
      </c>
      <c r="G50" s="185">
        <v>912</v>
      </c>
      <c r="H50" s="185">
        <v>526</v>
      </c>
      <c r="I50" s="185">
        <v>0</v>
      </c>
      <c r="J50" s="185">
        <v>0</v>
      </c>
      <c r="K50" s="185">
        <v>0</v>
      </c>
      <c r="L50" s="185">
        <v>0</v>
      </c>
      <c r="M50" s="185">
        <v>288</v>
      </c>
      <c r="N50" s="185">
        <v>166</v>
      </c>
      <c r="O50" s="185">
        <v>0</v>
      </c>
      <c r="P50" s="185">
        <v>0</v>
      </c>
      <c r="Q50" s="186"/>
      <c r="R50" s="187"/>
    </row>
    <row r="51" spans="1:18" ht="12.75" x14ac:dyDescent="0.2">
      <c r="A51" s="182">
        <v>41</v>
      </c>
      <c r="B51" s="183" t="s">
        <v>68</v>
      </c>
      <c r="C51" s="184" t="s">
        <v>384</v>
      </c>
      <c r="D51" s="185">
        <f t="shared" si="5"/>
        <v>105</v>
      </c>
      <c r="E51" s="185">
        <v>0</v>
      </c>
      <c r="F51" s="185">
        <v>0</v>
      </c>
      <c r="G51" s="185">
        <v>104</v>
      </c>
      <c r="H51" s="185">
        <v>1</v>
      </c>
      <c r="I51" s="185">
        <v>0</v>
      </c>
      <c r="J51" s="185">
        <v>0</v>
      </c>
      <c r="K51" s="185">
        <v>0</v>
      </c>
      <c r="L51" s="185">
        <v>0</v>
      </c>
      <c r="M51" s="185">
        <v>26</v>
      </c>
      <c r="N51" s="185">
        <v>1</v>
      </c>
      <c r="O51" s="185">
        <v>0</v>
      </c>
      <c r="P51" s="185">
        <v>0</v>
      </c>
      <c r="Q51" s="186"/>
      <c r="R51" s="187"/>
    </row>
    <row r="52" spans="1:18" ht="12.75" x14ac:dyDescent="0.2">
      <c r="A52" s="182">
        <v>42</v>
      </c>
      <c r="B52" s="191" t="s">
        <v>69</v>
      </c>
      <c r="C52" s="192" t="s">
        <v>70</v>
      </c>
      <c r="D52" s="185">
        <f t="shared" si="5"/>
        <v>1596</v>
      </c>
      <c r="E52" s="185">
        <v>0</v>
      </c>
      <c r="F52" s="185">
        <v>0</v>
      </c>
      <c r="G52" s="185">
        <v>1318</v>
      </c>
      <c r="H52" s="185">
        <v>278</v>
      </c>
      <c r="I52" s="185">
        <v>0</v>
      </c>
      <c r="J52" s="185">
        <v>0</v>
      </c>
      <c r="K52" s="185">
        <v>0</v>
      </c>
      <c r="L52" s="185">
        <v>0</v>
      </c>
      <c r="M52" s="185">
        <v>597</v>
      </c>
      <c r="N52" s="185">
        <v>126</v>
      </c>
      <c r="O52" s="185">
        <v>0</v>
      </c>
      <c r="P52" s="185">
        <v>0</v>
      </c>
      <c r="Q52" s="186"/>
      <c r="R52" s="187"/>
    </row>
    <row r="53" spans="1:18" ht="12.75" x14ac:dyDescent="0.2">
      <c r="A53" s="182">
        <v>43</v>
      </c>
      <c r="B53" s="189" t="s">
        <v>174</v>
      </c>
      <c r="C53" s="190" t="s">
        <v>175</v>
      </c>
      <c r="D53" s="185">
        <f t="shared" si="5"/>
        <v>291</v>
      </c>
      <c r="E53" s="185">
        <v>0</v>
      </c>
      <c r="F53" s="185">
        <v>0</v>
      </c>
      <c r="G53" s="185">
        <v>263</v>
      </c>
      <c r="H53" s="185">
        <v>28</v>
      </c>
      <c r="I53" s="185">
        <v>0</v>
      </c>
      <c r="J53" s="185">
        <v>0</v>
      </c>
      <c r="K53" s="185">
        <v>0</v>
      </c>
      <c r="L53" s="185">
        <v>0</v>
      </c>
      <c r="M53" s="185">
        <f>90+23</f>
        <v>113</v>
      </c>
      <c r="N53" s="185">
        <f>19-19</f>
        <v>0</v>
      </c>
      <c r="O53" s="185">
        <v>0</v>
      </c>
      <c r="P53" s="185">
        <v>0</v>
      </c>
      <c r="Q53" s="186"/>
      <c r="R53" s="187"/>
    </row>
    <row r="54" spans="1:18" ht="12.75" x14ac:dyDescent="0.2">
      <c r="A54" s="182">
        <v>44</v>
      </c>
      <c r="B54" s="188" t="s">
        <v>71</v>
      </c>
      <c r="C54" s="184" t="s">
        <v>385</v>
      </c>
      <c r="D54" s="185">
        <f t="shared" si="5"/>
        <v>1100</v>
      </c>
      <c r="E54" s="185">
        <v>0</v>
      </c>
      <c r="F54" s="185">
        <v>0</v>
      </c>
      <c r="G54" s="185">
        <v>1100</v>
      </c>
      <c r="H54" s="185">
        <v>0</v>
      </c>
      <c r="I54" s="185">
        <v>0</v>
      </c>
      <c r="J54" s="185">
        <v>0</v>
      </c>
      <c r="K54" s="185">
        <v>0</v>
      </c>
      <c r="L54" s="185">
        <v>0</v>
      </c>
      <c r="M54" s="185">
        <v>550</v>
      </c>
      <c r="N54" s="185">
        <v>0</v>
      </c>
      <c r="O54" s="185">
        <v>0</v>
      </c>
      <c r="P54" s="185">
        <v>0</v>
      </c>
      <c r="Q54" s="186"/>
      <c r="R54" s="187"/>
    </row>
    <row r="55" spans="1:18" ht="12.75" x14ac:dyDescent="0.2">
      <c r="A55" s="182">
        <v>45</v>
      </c>
      <c r="B55" s="189" t="s">
        <v>72</v>
      </c>
      <c r="C55" s="190" t="s">
        <v>73</v>
      </c>
      <c r="D55" s="185">
        <f t="shared" si="5"/>
        <v>8014</v>
      </c>
      <c r="E55" s="185">
        <v>0</v>
      </c>
      <c r="F55" s="185">
        <v>0</v>
      </c>
      <c r="G55" s="185">
        <v>0</v>
      </c>
      <c r="H55" s="185">
        <v>8014</v>
      </c>
      <c r="I55" s="185">
        <v>0</v>
      </c>
      <c r="J55" s="185">
        <v>0</v>
      </c>
      <c r="K55" s="185">
        <v>0</v>
      </c>
      <c r="L55" s="185">
        <v>0</v>
      </c>
      <c r="M55" s="185">
        <v>0</v>
      </c>
      <c r="N55" s="185">
        <v>3683</v>
      </c>
      <c r="O55" s="185">
        <v>0</v>
      </c>
      <c r="P55" s="185">
        <v>0</v>
      </c>
      <c r="Q55" s="186"/>
      <c r="R55" s="187"/>
    </row>
    <row r="56" spans="1:18" ht="12.75" x14ac:dyDescent="0.2">
      <c r="A56" s="182">
        <v>46</v>
      </c>
      <c r="B56" s="183" t="s">
        <v>74</v>
      </c>
      <c r="C56" s="184" t="s">
        <v>386</v>
      </c>
      <c r="D56" s="185">
        <f t="shared" si="5"/>
        <v>1478</v>
      </c>
      <c r="E56" s="185">
        <v>0</v>
      </c>
      <c r="F56" s="185">
        <v>0</v>
      </c>
      <c r="G56" s="185">
        <v>1252</v>
      </c>
      <c r="H56" s="185">
        <v>226</v>
      </c>
      <c r="I56" s="185">
        <v>0</v>
      </c>
      <c r="J56" s="185">
        <v>0</v>
      </c>
      <c r="K56" s="185">
        <v>0</v>
      </c>
      <c r="L56" s="185">
        <v>0</v>
      </c>
      <c r="M56" s="185">
        <v>584</v>
      </c>
      <c r="N56" s="185">
        <v>106</v>
      </c>
      <c r="O56" s="185">
        <v>0</v>
      </c>
      <c r="P56" s="185">
        <v>0</v>
      </c>
      <c r="Q56" s="186"/>
      <c r="R56" s="187"/>
    </row>
    <row r="57" spans="1:18" ht="12.75" x14ac:dyDescent="0.2">
      <c r="A57" s="182">
        <v>47</v>
      </c>
      <c r="B57" s="183" t="s">
        <v>75</v>
      </c>
      <c r="C57" s="184" t="s">
        <v>76</v>
      </c>
      <c r="D57" s="185">
        <f t="shared" si="5"/>
        <v>1875</v>
      </c>
      <c r="E57" s="185">
        <v>0</v>
      </c>
      <c r="F57" s="185">
        <v>0</v>
      </c>
      <c r="G57" s="185">
        <v>1041</v>
      </c>
      <c r="H57" s="185">
        <v>834</v>
      </c>
      <c r="I57" s="185">
        <v>0</v>
      </c>
      <c r="J57" s="185">
        <v>0</v>
      </c>
      <c r="K57" s="185">
        <v>0</v>
      </c>
      <c r="L57" s="185">
        <v>0</v>
      </c>
      <c r="M57" s="185">
        <v>462</v>
      </c>
      <c r="N57" s="185">
        <v>370</v>
      </c>
      <c r="O57" s="185">
        <v>0</v>
      </c>
      <c r="P57" s="185">
        <v>0</v>
      </c>
      <c r="Q57" s="186"/>
      <c r="R57" s="187"/>
    </row>
    <row r="58" spans="1:18" ht="12.75" x14ac:dyDescent="0.2">
      <c r="A58" s="182">
        <v>48</v>
      </c>
      <c r="B58" s="195" t="s">
        <v>77</v>
      </c>
      <c r="C58" s="196" t="s">
        <v>78</v>
      </c>
      <c r="D58" s="185">
        <f t="shared" si="5"/>
        <v>550</v>
      </c>
      <c r="E58" s="185">
        <v>0</v>
      </c>
      <c r="F58" s="185">
        <v>0</v>
      </c>
      <c r="G58" s="185">
        <v>500</v>
      </c>
      <c r="H58" s="185">
        <v>50</v>
      </c>
      <c r="I58" s="185">
        <v>0</v>
      </c>
      <c r="J58" s="185">
        <v>0</v>
      </c>
      <c r="K58" s="185">
        <v>0</v>
      </c>
      <c r="L58" s="185">
        <v>0</v>
      </c>
      <c r="M58" s="185">
        <v>250</v>
      </c>
      <c r="N58" s="185">
        <v>25</v>
      </c>
      <c r="O58" s="185">
        <v>0</v>
      </c>
      <c r="P58" s="185">
        <v>0</v>
      </c>
      <c r="Q58" s="186"/>
      <c r="R58" s="187"/>
    </row>
    <row r="59" spans="1:18" ht="12.75" x14ac:dyDescent="0.2">
      <c r="A59" s="182">
        <v>49</v>
      </c>
      <c r="B59" s="189" t="s">
        <v>79</v>
      </c>
      <c r="C59" s="190" t="s">
        <v>387</v>
      </c>
      <c r="D59" s="185">
        <f t="shared" si="5"/>
        <v>2021</v>
      </c>
      <c r="E59" s="185">
        <v>0</v>
      </c>
      <c r="F59" s="185">
        <v>0</v>
      </c>
      <c r="G59" s="185">
        <v>769</v>
      </c>
      <c r="H59" s="185">
        <v>1252</v>
      </c>
      <c r="I59" s="185">
        <v>0</v>
      </c>
      <c r="J59" s="185">
        <v>0</v>
      </c>
      <c r="K59" s="185">
        <v>0</v>
      </c>
      <c r="L59" s="185">
        <v>0</v>
      </c>
      <c r="M59" s="185">
        <v>324</v>
      </c>
      <c r="N59" s="185">
        <v>527</v>
      </c>
      <c r="O59" s="185">
        <v>0</v>
      </c>
      <c r="P59" s="185">
        <v>0</v>
      </c>
      <c r="Q59" s="186"/>
      <c r="R59" s="187"/>
    </row>
    <row r="60" spans="1:18" ht="12.75" x14ac:dyDescent="0.2">
      <c r="A60" s="182">
        <v>50</v>
      </c>
      <c r="B60" s="188" t="s">
        <v>80</v>
      </c>
      <c r="C60" s="184" t="s">
        <v>81</v>
      </c>
      <c r="D60" s="185">
        <f t="shared" si="5"/>
        <v>2608</v>
      </c>
      <c r="E60" s="185">
        <v>0</v>
      </c>
      <c r="F60" s="185">
        <v>0</v>
      </c>
      <c r="G60" s="185">
        <v>1296</v>
      </c>
      <c r="H60" s="185">
        <v>1312</v>
      </c>
      <c r="I60" s="185">
        <v>0</v>
      </c>
      <c r="J60" s="185">
        <v>0</v>
      </c>
      <c r="K60" s="185">
        <v>0</v>
      </c>
      <c r="L60" s="185">
        <v>0</v>
      </c>
      <c r="M60" s="185">
        <v>432</v>
      </c>
      <c r="N60" s="185">
        <v>438</v>
      </c>
      <c r="O60" s="185">
        <v>0</v>
      </c>
      <c r="P60" s="185">
        <v>0</v>
      </c>
      <c r="Q60" s="186"/>
      <c r="R60" s="187"/>
    </row>
    <row r="61" spans="1:18" ht="12.75" x14ac:dyDescent="0.2">
      <c r="A61" s="182">
        <v>51</v>
      </c>
      <c r="B61" s="189" t="s">
        <v>82</v>
      </c>
      <c r="C61" s="190" t="s">
        <v>83</v>
      </c>
      <c r="D61" s="185">
        <f t="shared" si="5"/>
        <v>182</v>
      </c>
      <c r="E61" s="185">
        <v>0</v>
      </c>
      <c r="F61" s="185">
        <v>0</v>
      </c>
      <c r="G61" s="185">
        <v>119</v>
      </c>
      <c r="H61" s="185">
        <v>63</v>
      </c>
      <c r="I61" s="185">
        <v>0</v>
      </c>
      <c r="J61" s="185">
        <v>0</v>
      </c>
      <c r="K61" s="185">
        <v>0</v>
      </c>
      <c r="L61" s="185">
        <v>0</v>
      </c>
      <c r="M61" s="185">
        <v>53</v>
      </c>
      <c r="N61" s="185">
        <v>28</v>
      </c>
      <c r="O61" s="185">
        <v>0</v>
      </c>
      <c r="P61" s="185">
        <v>0</v>
      </c>
      <c r="Q61" s="186"/>
      <c r="R61" s="187"/>
    </row>
    <row r="62" spans="1:18" ht="12.75" x14ac:dyDescent="0.2">
      <c r="A62" s="182">
        <v>52</v>
      </c>
      <c r="B62" s="188" t="s">
        <v>84</v>
      </c>
      <c r="C62" s="184" t="s">
        <v>85</v>
      </c>
      <c r="D62" s="185">
        <f t="shared" si="5"/>
        <v>427</v>
      </c>
      <c r="E62" s="185">
        <v>0</v>
      </c>
      <c r="F62" s="185">
        <v>0</v>
      </c>
      <c r="G62" s="185">
        <v>233</v>
      </c>
      <c r="H62" s="185">
        <v>194</v>
      </c>
      <c r="I62" s="185">
        <v>0</v>
      </c>
      <c r="J62" s="185">
        <v>0</v>
      </c>
      <c r="K62" s="185">
        <v>0</v>
      </c>
      <c r="L62" s="185">
        <v>0</v>
      </c>
      <c r="M62" s="185">
        <v>83</v>
      </c>
      <c r="N62" s="185">
        <v>69</v>
      </c>
      <c r="O62" s="185">
        <v>0</v>
      </c>
      <c r="P62" s="185">
        <v>0</v>
      </c>
      <c r="Q62" s="186"/>
      <c r="R62" s="187"/>
    </row>
    <row r="63" spans="1:18" ht="12.75" x14ac:dyDescent="0.2">
      <c r="A63" s="182">
        <v>53</v>
      </c>
      <c r="B63" s="189" t="s">
        <v>86</v>
      </c>
      <c r="C63" s="190" t="s">
        <v>388</v>
      </c>
      <c r="D63" s="185">
        <f t="shared" si="5"/>
        <v>577</v>
      </c>
      <c r="E63" s="185">
        <v>0</v>
      </c>
      <c r="F63" s="185">
        <v>0</v>
      </c>
      <c r="G63" s="185">
        <v>495</v>
      </c>
      <c r="H63" s="185">
        <v>82</v>
      </c>
      <c r="I63" s="185">
        <v>0</v>
      </c>
      <c r="J63" s="185">
        <v>0</v>
      </c>
      <c r="K63" s="185">
        <v>0</v>
      </c>
      <c r="L63" s="185">
        <v>0</v>
      </c>
      <c r="M63" s="185">
        <v>195</v>
      </c>
      <c r="N63" s="185">
        <v>32</v>
      </c>
      <c r="O63" s="185">
        <v>0</v>
      </c>
      <c r="P63" s="185">
        <v>0</v>
      </c>
      <c r="Q63" s="186"/>
      <c r="R63" s="187"/>
    </row>
    <row r="64" spans="1:18" ht="12.75" x14ac:dyDescent="0.2">
      <c r="A64" s="182">
        <v>54</v>
      </c>
      <c r="B64" s="189" t="s">
        <v>87</v>
      </c>
      <c r="C64" s="190" t="s">
        <v>88</v>
      </c>
      <c r="D64" s="185">
        <f t="shared" si="5"/>
        <v>5939</v>
      </c>
      <c r="E64" s="185">
        <v>0</v>
      </c>
      <c r="F64" s="185">
        <v>0</v>
      </c>
      <c r="G64" s="185">
        <v>4434</v>
      </c>
      <c r="H64" s="185">
        <v>1505</v>
      </c>
      <c r="I64" s="185">
        <v>0</v>
      </c>
      <c r="J64" s="185">
        <v>0</v>
      </c>
      <c r="K64" s="185">
        <v>0</v>
      </c>
      <c r="L64" s="185">
        <v>0</v>
      </c>
      <c r="M64" s="185">
        <v>2072</v>
      </c>
      <c r="N64" s="185">
        <v>705</v>
      </c>
      <c r="O64" s="185">
        <v>0</v>
      </c>
      <c r="P64" s="185">
        <v>0</v>
      </c>
      <c r="Q64" s="186"/>
      <c r="R64" s="187"/>
    </row>
    <row r="65" spans="1:18" ht="12.75" x14ac:dyDescent="0.2">
      <c r="A65" s="182">
        <v>55</v>
      </c>
      <c r="B65" s="189" t="s">
        <v>89</v>
      </c>
      <c r="C65" s="190" t="s">
        <v>389</v>
      </c>
      <c r="D65" s="185">
        <f t="shared" si="5"/>
        <v>2245</v>
      </c>
      <c r="E65" s="185">
        <v>0</v>
      </c>
      <c r="F65" s="185">
        <v>0</v>
      </c>
      <c r="G65" s="185">
        <v>1635</v>
      </c>
      <c r="H65" s="185">
        <v>610</v>
      </c>
      <c r="I65" s="185">
        <v>0</v>
      </c>
      <c r="J65" s="185">
        <v>0</v>
      </c>
      <c r="K65" s="185">
        <v>0</v>
      </c>
      <c r="L65" s="185">
        <v>0</v>
      </c>
      <c r="M65" s="185">
        <v>759</v>
      </c>
      <c r="N65" s="185">
        <v>283</v>
      </c>
      <c r="O65" s="185">
        <v>0</v>
      </c>
      <c r="P65" s="185">
        <v>0</v>
      </c>
      <c r="Q65" s="186"/>
      <c r="R65" s="187"/>
    </row>
    <row r="66" spans="1:18" x14ac:dyDescent="0.2">
      <c r="A66" s="182">
        <v>56</v>
      </c>
      <c r="B66" s="97" t="s">
        <v>176</v>
      </c>
      <c r="C66" s="86" t="s">
        <v>390</v>
      </c>
      <c r="D66" s="185">
        <f t="shared" si="5"/>
        <v>0</v>
      </c>
      <c r="E66" s="185">
        <v>0</v>
      </c>
      <c r="F66" s="185">
        <v>0</v>
      </c>
      <c r="G66" s="185">
        <v>0</v>
      </c>
      <c r="H66" s="185">
        <v>0</v>
      </c>
      <c r="I66" s="185">
        <v>0</v>
      </c>
      <c r="J66" s="185">
        <v>0</v>
      </c>
      <c r="K66" s="185">
        <v>0</v>
      </c>
      <c r="L66" s="185">
        <v>0</v>
      </c>
      <c r="M66" s="185">
        <v>0</v>
      </c>
      <c r="N66" s="185">
        <v>0</v>
      </c>
      <c r="O66" s="185">
        <v>0</v>
      </c>
      <c r="P66" s="185">
        <v>0</v>
      </c>
      <c r="Q66" s="186"/>
      <c r="R66" s="187"/>
    </row>
    <row r="67" spans="1:18" x14ac:dyDescent="0.2">
      <c r="A67" s="182">
        <v>57</v>
      </c>
      <c r="B67" s="97" t="s">
        <v>322</v>
      </c>
      <c r="C67" s="86" t="s">
        <v>323</v>
      </c>
      <c r="D67" s="185">
        <f t="shared" si="5"/>
        <v>0</v>
      </c>
      <c r="E67" s="185">
        <v>0</v>
      </c>
      <c r="F67" s="185">
        <v>0</v>
      </c>
      <c r="G67" s="185">
        <v>0</v>
      </c>
      <c r="H67" s="185">
        <v>0</v>
      </c>
      <c r="I67" s="185">
        <v>0</v>
      </c>
      <c r="J67" s="185">
        <v>0</v>
      </c>
      <c r="K67" s="185">
        <v>0</v>
      </c>
      <c r="L67" s="185">
        <v>0</v>
      </c>
      <c r="M67" s="185">
        <v>0</v>
      </c>
      <c r="N67" s="185">
        <v>0</v>
      </c>
      <c r="O67" s="185">
        <v>0</v>
      </c>
      <c r="P67" s="185">
        <v>0</v>
      </c>
      <c r="Q67" s="186"/>
      <c r="R67" s="187"/>
    </row>
    <row r="68" spans="1:18" ht="25.5" x14ac:dyDescent="0.2">
      <c r="A68" s="182">
        <v>58</v>
      </c>
      <c r="B68" s="189" t="s">
        <v>90</v>
      </c>
      <c r="C68" s="190" t="s">
        <v>391</v>
      </c>
      <c r="D68" s="185">
        <f t="shared" si="5"/>
        <v>0</v>
      </c>
      <c r="E68" s="185">
        <v>0</v>
      </c>
      <c r="F68" s="185">
        <v>0</v>
      </c>
      <c r="G68" s="185">
        <v>0</v>
      </c>
      <c r="H68" s="185">
        <v>0</v>
      </c>
      <c r="I68" s="185">
        <v>0</v>
      </c>
      <c r="J68" s="185">
        <v>0</v>
      </c>
      <c r="K68" s="185">
        <v>0</v>
      </c>
      <c r="L68" s="185">
        <v>0</v>
      </c>
      <c r="M68" s="185">
        <v>0</v>
      </c>
      <c r="N68" s="185">
        <v>0</v>
      </c>
      <c r="O68" s="185">
        <v>0</v>
      </c>
      <c r="P68" s="185">
        <v>0</v>
      </c>
      <c r="Q68" s="186"/>
      <c r="R68" s="187"/>
    </row>
    <row r="69" spans="1:18" ht="25.5" x14ac:dyDescent="0.2">
      <c r="A69" s="182">
        <v>59</v>
      </c>
      <c r="B69" s="188" t="s">
        <v>91</v>
      </c>
      <c r="C69" s="190" t="s">
        <v>392</v>
      </c>
      <c r="D69" s="185">
        <f t="shared" si="5"/>
        <v>0</v>
      </c>
      <c r="E69" s="185">
        <v>0</v>
      </c>
      <c r="F69" s="185">
        <v>0</v>
      </c>
      <c r="G69" s="185">
        <v>0</v>
      </c>
      <c r="H69" s="185">
        <v>0</v>
      </c>
      <c r="I69" s="185">
        <v>0</v>
      </c>
      <c r="J69" s="185">
        <v>0</v>
      </c>
      <c r="K69" s="185">
        <v>0</v>
      </c>
      <c r="L69" s="185">
        <v>0</v>
      </c>
      <c r="M69" s="185">
        <v>0</v>
      </c>
      <c r="N69" s="185">
        <v>0</v>
      </c>
      <c r="O69" s="185">
        <v>0</v>
      </c>
      <c r="P69" s="185">
        <v>0</v>
      </c>
      <c r="Q69" s="186"/>
      <c r="R69" s="187"/>
    </row>
    <row r="70" spans="1:18" ht="25.5" x14ac:dyDescent="0.2">
      <c r="A70" s="182">
        <v>60</v>
      </c>
      <c r="B70" s="191" t="s">
        <v>92</v>
      </c>
      <c r="C70" s="192" t="s">
        <v>393</v>
      </c>
      <c r="D70" s="185">
        <f t="shared" si="5"/>
        <v>2308</v>
      </c>
      <c r="E70" s="185">
        <v>0</v>
      </c>
      <c r="F70" s="197">
        <v>0</v>
      </c>
      <c r="G70" s="197">
        <v>0</v>
      </c>
      <c r="H70" s="197">
        <v>2308</v>
      </c>
      <c r="I70" s="197">
        <v>0</v>
      </c>
      <c r="J70" s="197">
        <v>0</v>
      </c>
      <c r="K70" s="185">
        <v>0</v>
      </c>
      <c r="L70" s="185">
        <v>0</v>
      </c>
      <c r="M70" s="185">
        <v>0</v>
      </c>
      <c r="N70" s="185">
        <v>808</v>
      </c>
      <c r="O70" s="185">
        <v>0</v>
      </c>
      <c r="P70" s="185">
        <v>0</v>
      </c>
      <c r="Q70" s="186"/>
      <c r="R70" s="187"/>
    </row>
    <row r="71" spans="1:18" ht="25.5" x14ac:dyDescent="0.2">
      <c r="A71" s="182">
        <v>61</v>
      </c>
      <c r="B71" s="188" t="s">
        <v>93</v>
      </c>
      <c r="C71" s="190" t="s">
        <v>394</v>
      </c>
      <c r="D71" s="185">
        <f t="shared" si="5"/>
        <v>0</v>
      </c>
      <c r="E71" s="185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85"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6"/>
      <c r="R71" s="187"/>
    </row>
    <row r="72" spans="1:18" ht="25.5" x14ac:dyDescent="0.2">
      <c r="A72" s="182">
        <v>62</v>
      </c>
      <c r="B72" s="189" t="s">
        <v>94</v>
      </c>
      <c r="C72" s="190" t="s">
        <v>395</v>
      </c>
      <c r="D72" s="185">
        <f t="shared" si="5"/>
        <v>1800</v>
      </c>
      <c r="E72" s="185">
        <v>0</v>
      </c>
      <c r="F72" s="197">
        <v>0</v>
      </c>
      <c r="G72" s="197">
        <v>0</v>
      </c>
      <c r="H72" s="197">
        <v>1800</v>
      </c>
      <c r="I72" s="197">
        <v>0</v>
      </c>
      <c r="J72" s="197">
        <v>0</v>
      </c>
      <c r="K72" s="185">
        <v>0</v>
      </c>
      <c r="L72" s="185">
        <v>0</v>
      </c>
      <c r="M72" s="185">
        <v>0</v>
      </c>
      <c r="N72" s="185">
        <v>900</v>
      </c>
      <c r="O72" s="185">
        <v>0</v>
      </c>
      <c r="P72" s="185">
        <v>0</v>
      </c>
      <c r="Q72" s="186"/>
      <c r="R72" s="187"/>
    </row>
    <row r="73" spans="1:18" ht="29.25" customHeight="1" x14ac:dyDescent="0.2">
      <c r="A73" s="182">
        <v>63</v>
      </c>
      <c r="B73" s="183" t="s">
        <v>177</v>
      </c>
      <c r="C73" s="190" t="s">
        <v>396</v>
      </c>
      <c r="D73" s="185">
        <f t="shared" si="5"/>
        <v>27364</v>
      </c>
      <c r="E73" s="185">
        <v>0</v>
      </c>
      <c r="F73" s="185">
        <v>27364</v>
      </c>
      <c r="G73" s="197">
        <v>0</v>
      </c>
      <c r="H73" s="197">
        <v>0</v>
      </c>
      <c r="I73" s="197">
        <v>0</v>
      </c>
      <c r="J73" s="197">
        <v>0</v>
      </c>
      <c r="K73" s="185">
        <v>0</v>
      </c>
      <c r="L73" s="185">
        <f>12182+3000</f>
        <v>15182</v>
      </c>
      <c r="M73" s="185">
        <v>0</v>
      </c>
      <c r="N73" s="185">
        <v>0</v>
      </c>
      <c r="O73" s="185">
        <v>0</v>
      </c>
      <c r="P73" s="185">
        <v>0</v>
      </c>
      <c r="Q73" s="186"/>
      <c r="R73" s="187"/>
    </row>
    <row r="74" spans="1:18" ht="30" customHeight="1" x14ac:dyDescent="0.2">
      <c r="A74" s="182">
        <v>64</v>
      </c>
      <c r="B74" s="183" t="s">
        <v>178</v>
      </c>
      <c r="C74" s="190" t="s">
        <v>397</v>
      </c>
      <c r="D74" s="185">
        <f t="shared" si="5"/>
        <v>15121</v>
      </c>
      <c r="E74" s="185">
        <v>0</v>
      </c>
      <c r="F74" s="185">
        <v>15121</v>
      </c>
      <c r="G74" s="197">
        <v>0</v>
      </c>
      <c r="H74" s="197">
        <v>0</v>
      </c>
      <c r="I74" s="197">
        <v>0</v>
      </c>
      <c r="J74" s="197">
        <v>0</v>
      </c>
      <c r="K74" s="185">
        <v>0</v>
      </c>
      <c r="L74" s="185">
        <v>8298</v>
      </c>
      <c r="M74" s="185">
        <v>0</v>
      </c>
      <c r="N74" s="185">
        <v>0</v>
      </c>
      <c r="O74" s="185">
        <v>0</v>
      </c>
      <c r="P74" s="185">
        <v>0</v>
      </c>
      <c r="Q74" s="186"/>
      <c r="R74" s="187"/>
    </row>
    <row r="75" spans="1:18" ht="12.75" x14ac:dyDescent="0.2">
      <c r="A75" s="182">
        <v>65</v>
      </c>
      <c r="B75" s="188" t="s">
        <v>95</v>
      </c>
      <c r="C75" s="190" t="s">
        <v>398</v>
      </c>
      <c r="D75" s="185">
        <f t="shared" si="5"/>
        <v>0</v>
      </c>
      <c r="E75" s="185">
        <v>0</v>
      </c>
      <c r="F75" s="185">
        <v>0</v>
      </c>
      <c r="G75" s="185">
        <v>0</v>
      </c>
      <c r="H75" s="185">
        <v>0</v>
      </c>
      <c r="I75" s="185">
        <v>0</v>
      </c>
      <c r="J75" s="185">
        <v>0</v>
      </c>
      <c r="K75" s="185"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6"/>
      <c r="R75" s="187"/>
    </row>
    <row r="76" spans="1:18" ht="12.75" x14ac:dyDescent="0.2">
      <c r="A76" s="182">
        <v>66</v>
      </c>
      <c r="B76" s="183" t="s">
        <v>96</v>
      </c>
      <c r="C76" s="190" t="s">
        <v>399</v>
      </c>
      <c r="D76" s="185">
        <f t="shared" ref="D76:D139" si="6">E76+F76+G76+H76+I76+J76</f>
        <v>0</v>
      </c>
      <c r="E76" s="185">
        <v>0</v>
      </c>
      <c r="F76" s="185">
        <v>0</v>
      </c>
      <c r="G76" s="185">
        <v>0</v>
      </c>
      <c r="H76" s="185">
        <v>0</v>
      </c>
      <c r="I76" s="185">
        <v>0</v>
      </c>
      <c r="J76" s="185">
        <v>0</v>
      </c>
      <c r="K76" s="185">
        <v>0</v>
      </c>
      <c r="L76" s="185">
        <v>0</v>
      </c>
      <c r="M76" s="185">
        <f>300-300</f>
        <v>0</v>
      </c>
      <c r="N76" s="185">
        <v>0</v>
      </c>
      <c r="O76" s="185">
        <v>0</v>
      </c>
      <c r="P76" s="185">
        <v>0</v>
      </c>
      <c r="Q76" s="186"/>
      <c r="R76" s="187"/>
    </row>
    <row r="77" spans="1:18" ht="12.75" x14ac:dyDescent="0.2">
      <c r="A77" s="182">
        <v>67</v>
      </c>
      <c r="B77" s="188" t="s">
        <v>97</v>
      </c>
      <c r="C77" s="190" t="s">
        <v>400</v>
      </c>
      <c r="D77" s="185">
        <f t="shared" si="6"/>
        <v>2156</v>
      </c>
      <c r="E77" s="185">
        <v>0</v>
      </c>
      <c r="F77" s="185">
        <v>0</v>
      </c>
      <c r="G77" s="185">
        <v>2156</v>
      </c>
      <c r="H77" s="185">
        <v>0</v>
      </c>
      <c r="I77" s="185">
        <v>0</v>
      </c>
      <c r="J77" s="185">
        <v>0</v>
      </c>
      <c r="K77" s="185">
        <v>0</v>
      </c>
      <c r="L77" s="185">
        <v>0</v>
      </c>
      <c r="M77" s="185">
        <v>1056</v>
      </c>
      <c r="N77" s="185">
        <v>0</v>
      </c>
      <c r="O77" s="185">
        <v>0</v>
      </c>
      <c r="P77" s="185">
        <v>0</v>
      </c>
      <c r="Q77" s="186"/>
      <c r="R77" s="187"/>
    </row>
    <row r="78" spans="1:18" ht="12.75" x14ac:dyDescent="0.2">
      <c r="A78" s="182">
        <v>68</v>
      </c>
      <c r="B78" s="188" t="s">
        <v>98</v>
      </c>
      <c r="C78" s="190" t="s">
        <v>401</v>
      </c>
      <c r="D78" s="185">
        <f t="shared" si="6"/>
        <v>0</v>
      </c>
      <c r="E78" s="185">
        <v>0</v>
      </c>
      <c r="F78" s="185">
        <v>0</v>
      </c>
      <c r="G78" s="185">
        <v>0</v>
      </c>
      <c r="H78" s="185">
        <v>0</v>
      </c>
      <c r="I78" s="185">
        <v>0</v>
      </c>
      <c r="J78" s="185">
        <v>0</v>
      </c>
      <c r="K78" s="185">
        <v>0</v>
      </c>
      <c r="L78" s="185">
        <v>0</v>
      </c>
      <c r="M78" s="185">
        <v>0</v>
      </c>
      <c r="N78" s="185">
        <v>0</v>
      </c>
      <c r="O78" s="185">
        <v>0</v>
      </c>
      <c r="P78" s="185">
        <v>0</v>
      </c>
      <c r="Q78" s="186"/>
      <c r="R78" s="187"/>
    </row>
    <row r="79" spans="1:18" ht="12.75" x14ac:dyDescent="0.2">
      <c r="A79" s="182">
        <v>69</v>
      </c>
      <c r="B79" s="188" t="s">
        <v>99</v>
      </c>
      <c r="C79" s="190" t="s">
        <v>402</v>
      </c>
      <c r="D79" s="185">
        <f t="shared" si="6"/>
        <v>0</v>
      </c>
      <c r="E79" s="185">
        <v>0</v>
      </c>
      <c r="F79" s="185">
        <v>0</v>
      </c>
      <c r="G79" s="185">
        <v>0</v>
      </c>
      <c r="H79" s="185">
        <v>0</v>
      </c>
      <c r="I79" s="185">
        <v>0</v>
      </c>
      <c r="J79" s="185">
        <v>0</v>
      </c>
      <c r="K79" s="185">
        <v>0</v>
      </c>
      <c r="L79" s="185">
        <v>0</v>
      </c>
      <c r="M79" s="185">
        <v>0</v>
      </c>
      <c r="N79" s="185">
        <v>0</v>
      </c>
      <c r="O79" s="185">
        <v>0</v>
      </c>
      <c r="P79" s="185">
        <v>0</v>
      </c>
      <c r="Q79" s="186"/>
      <c r="R79" s="187"/>
    </row>
    <row r="80" spans="1:18" ht="12.75" x14ac:dyDescent="0.2">
      <c r="A80" s="182">
        <v>70</v>
      </c>
      <c r="B80" s="189" t="s">
        <v>100</v>
      </c>
      <c r="C80" s="190" t="s">
        <v>403</v>
      </c>
      <c r="D80" s="185">
        <f t="shared" si="6"/>
        <v>0</v>
      </c>
      <c r="E80" s="185">
        <v>0</v>
      </c>
      <c r="F80" s="185">
        <v>0</v>
      </c>
      <c r="G80" s="185">
        <v>0</v>
      </c>
      <c r="H80" s="185">
        <v>0</v>
      </c>
      <c r="I80" s="185">
        <v>0</v>
      </c>
      <c r="J80" s="185">
        <v>0</v>
      </c>
      <c r="K80" s="185">
        <v>0</v>
      </c>
      <c r="L80" s="185">
        <v>0</v>
      </c>
      <c r="M80" s="185">
        <v>0</v>
      </c>
      <c r="N80" s="185">
        <v>0</v>
      </c>
      <c r="O80" s="185">
        <v>0</v>
      </c>
      <c r="P80" s="185">
        <v>0</v>
      </c>
      <c r="Q80" s="186"/>
      <c r="R80" s="187"/>
    </row>
    <row r="81" spans="1:18" ht="12.75" x14ac:dyDescent="0.2">
      <c r="A81" s="182">
        <v>71</v>
      </c>
      <c r="B81" s="188" t="s">
        <v>101</v>
      </c>
      <c r="C81" s="184" t="s">
        <v>404</v>
      </c>
      <c r="D81" s="185">
        <f t="shared" si="6"/>
        <v>0</v>
      </c>
      <c r="E81" s="185">
        <v>0</v>
      </c>
      <c r="F81" s="185">
        <v>0</v>
      </c>
      <c r="G81" s="185">
        <v>0</v>
      </c>
      <c r="H81" s="185">
        <v>0</v>
      </c>
      <c r="I81" s="185">
        <v>0</v>
      </c>
      <c r="J81" s="185">
        <v>0</v>
      </c>
      <c r="K81" s="185">
        <v>0</v>
      </c>
      <c r="L81" s="185">
        <v>0</v>
      </c>
      <c r="M81" s="185">
        <v>0</v>
      </c>
      <c r="N81" s="185">
        <v>0</v>
      </c>
      <c r="O81" s="185">
        <v>0</v>
      </c>
      <c r="P81" s="185">
        <v>0</v>
      </c>
      <c r="Q81" s="186"/>
      <c r="R81" s="187"/>
    </row>
    <row r="82" spans="1:18" ht="12.75" x14ac:dyDescent="0.2">
      <c r="A82" s="182">
        <v>72</v>
      </c>
      <c r="B82" s="189" t="s">
        <v>102</v>
      </c>
      <c r="C82" s="190" t="s">
        <v>405</v>
      </c>
      <c r="D82" s="185">
        <f t="shared" si="6"/>
        <v>0</v>
      </c>
      <c r="E82" s="185">
        <v>0</v>
      </c>
      <c r="F82" s="185">
        <v>0</v>
      </c>
      <c r="G82" s="185">
        <v>0</v>
      </c>
      <c r="H82" s="185">
        <v>0</v>
      </c>
      <c r="I82" s="185">
        <v>0</v>
      </c>
      <c r="J82" s="185">
        <v>0</v>
      </c>
      <c r="K82" s="185">
        <v>0</v>
      </c>
      <c r="L82" s="185">
        <v>0</v>
      </c>
      <c r="M82" s="185">
        <v>0</v>
      </c>
      <c r="N82" s="185">
        <v>0</v>
      </c>
      <c r="O82" s="185">
        <v>0</v>
      </c>
      <c r="P82" s="185">
        <v>0</v>
      </c>
      <c r="Q82" s="186"/>
      <c r="R82" s="187"/>
    </row>
    <row r="83" spans="1:18" ht="12.75" x14ac:dyDescent="0.2">
      <c r="A83" s="182">
        <v>73</v>
      </c>
      <c r="B83" s="188" t="s">
        <v>103</v>
      </c>
      <c r="C83" s="190" t="s">
        <v>406</v>
      </c>
      <c r="D83" s="185">
        <f t="shared" si="6"/>
        <v>1500</v>
      </c>
      <c r="E83" s="185">
        <v>0</v>
      </c>
      <c r="F83" s="185">
        <v>0</v>
      </c>
      <c r="G83" s="185">
        <v>1500</v>
      </c>
      <c r="H83" s="185">
        <v>0</v>
      </c>
      <c r="I83" s="185">
        <v>0</v>
      </c>
      <c r="J83" s="185">
        <v>0</v>
      </c>
      <c r="K83" s="185">
        <v>0</v>
      </c>
      <c r="L83" s="185">
        <v>0</v>
      </c>
      <c r="M83" s="185">
        <v>750</v>
      </c>
      <c r="N83" s="185">
        <v>0</v>
      </c>
      <c r="O83" s="185">
        <v>0</v>
      </c>
      <c r="P83" s="185">
        <v>0</v>
      </c>
      <c r="Q83" s="186"/>
      <c r="R83" s="187"/>
    </row>
    <row r="84" spans="1:18" ht="12.75" x14ac:dyDescent="0.2">
      <c r="A84" s="182">
        <v>74</v>
      </c>
      <c r="B84" s="189" t="s">
        <v>104</v>
      </c>
      <c r="C84" s="190" t="s">
        <v>407</v>
      </c>
      <c r="D84" s="185">
        <f t="shared" si="6"/>
        <v>0</v>
      </c>
      <c r="E84" s="185">
        <v>0</v>
      </c>
      <c r="F84" s="185">
        <v>0</v>
      </c>
      <c r="G84" s="185">
        <v>0</v>
      </c>
      <c r="H84" s="185">
        <v>0</v>
      </c>
      <c r="I84" s="185">
        <v>0</v>
      </c>
      <c r="J84" s="185">
        <v>0</v>
      </c>
      <c r="K84" s="185">
        <v>0</v>
      </c>
      <c r="L84" s="185">
        <v>0</v>
      </c>
      <c r="M84" s="185">
        <v>0</v>
      </c>
      <c r="N84" s="185">
        <v>0</v>
      </c>
      <c r="O84" s="185">
        <v>0</v>
      </c>
      <c r="P84" s="185">
        <v>0</v>
      </c>
      <c r="Q84" s="186"/>
      <c r="R84" s="187"/>
    </row>
    <row r="85" spans="1:18" ht="12.75" x14ac:dyDescent="0.2">
      <c r="A85" s="182">
        <v>75</v>
      </c>
      <c r="B85" s="189" t="s">
        <v>105</v>
      </c>
      <c r="C85" s="190" t="s">
        <v>408</v>
      </c>
      <c r="D85" s="185">
        <f t="shared" si="6"/>
        <v>0</v>
      </c>
      <c r="E85" s="185">
        <v>0</v>
      </c>
      <c r="F85" s="185">
        <v>0</v>
      </c>
      <c r="G85" s="185">
        <v>0</v>
      </c>
      <c r="H85" s="185">
        <v>0</v>
      </c>
      <c r="I85" s="185">
        <v>0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0</v>
      </c>
      <c r="Q85" s="186"/>
      <c r="R85" s="187"/>
    </row>
    <row r="86" spans="1:18" ht="25.5" x14ac:dyDescent="0.2">
      <c r="A86" s="182">
        <v>76</v>
      </c>
      <c r="B86" s="198" t="s">
        <v>179</v>
      </c>
      <c r="C86" s="196" t="s">
        <v>409</v>
      </c>
      <c r="D86" s="185">
        <f t="shared" si="6"/>
        <v>2456</v>
      </c>
      <c r="E86" s="185">
        <v>2456</v>
      </c>
      <c r="F86" s="185">
        <v>0</v>
      </c>
      <c r="G86" s="185">
        <v>0</v>
      </c>
      <c r="H86" s="185">
        <v>0</v>
      </c>
      <c r="I86" s="185">
        <v>0</v>
      </c>
      <c r="J86" s="185">
        <v>0</v>
      </c>
      <c r="K86" s="185">
        <v>1161</v>
      </c>
      <c r="L86" s="185">
        <v>0</v>
      </c>
      <c r="M86" s="185">
        <v>0</v>
      </c>
      <c r="N86" s="185">
        <v>0</v>
      </c>
      <c r="O86" s="185">
        <v>0</v>
      </c>
      <c r="P86" s="185">
        <v>0</v>
      </c>
      <c r="Q86" s="186"/>
      <c r="R86" s="187"/>
    </row>
    <row r="87" spans="1:18" ht="25.5" x14ac:dyDescent="0.2">
      <c r="A87" s="182">
        <v>77</v>
      </c>
      <c r="B87" s="183" t="s">
        <v>180</v>
      </c>
      <c r="C87" s="190" t="s">
        <v>410</v>
      </c>
      <c r="D87" s="185">
        <f t="shared" si="6"/>
        <v>3636</v>
      </c>
      <c r="E87" s="185">
        <v>3636</v>
      </c>
      <c r="F87" s="185">
        <v>0</v>
      </c>
      <c r="G87" s="185">
        <v>0</v>
      </c>
      <c r="H87" s="185">
        <v>0</v>
      </c>
      <c r="I87" s="185">
        <v>0</v>
      </c>
      <c r="J87" s="185">
        <v>0</v>
      </c>
      <c r="K87" s="185">
        <v>1805</v>
      </c>
      <c r="L87" s="185">
        <v>0</v>
      </c>
      <c r="M87" s="185">
        <v>0</v>
      </c>
      <c r="N87" s="185">
        <v>0</v>
      </c>
      <c r="O87" s="185">
        <v>0</v>
      </c>
      <c r="P87" s="185">
        <v>0</v>
      </c>
      <c r="Q87" s="186"/>
      <c r="R87" s="187"/>
    </row>
    <row r="88" spans="1:18" ht="25.5" x14ac:dyDescent="0.2">
      <c r="A88" s="182">
        <v>78</v>
      </c>
      <c r="B88" s="188" t="s">
        <v>181</v>
      </c>
      <c r="C88" s="190" t="s">
        <v>411</v>
      </c>
      <c r="D88" s="185">
        <f t="shared" si="6"/>
        <v>3977</v>
      </c>
      <c r="E88" s="185">
        <v>3977</v>
      </c>
      <c r="F88" s="185">
        <v>0</v>
      </c>
      <c r="G88" s="185">
        <v>0</v>
      </c>
      <c r="H88" s="185">
        <v>0</v>
      </c>
      <c r="I88" s="185">
        <v>0</v>
      </c>
      <c r="J88" s="185">
        <v>0</v>
      </c>
      <c r="K88" s="185">
        <v>1968</v>
      </c>
      <c r="L88" s="185">
        <v>0</v>
      </c>
      <c r="M88" s="185">
        <v>0</v>
      </c>
      <c r="N88" s="185">
        <v>0</v>
      </c>
      <c r="O88" s="185">
        <v>0</v>
      </c>
      <c r="P88" s="185">
        <v>0</v>
      </c>
      <c r="Q88" s="186"/>
      <c r="R88" s="187"/>
    </row>
    <row r="89" spans="1:18" ht="25.5" x14ac:dyDescent="0.2">
      <c r="A89" s="182">
        <v>79</v>
      </c>
      <c r="B89" s="188" t="s">
        <v>182</v>
      </c>
      <c r="C89" s="190" t="s">
        <v>412</v>
      </c>
      <c r="D89" s="185">
        <f t="shared" si="6"/>
        <v>2622</v>
      </c>
      <c r="E89" s="185">
        <f>2622</f>
        <v>2622</v>
      </c>
      <c r="F89" s="185">
        <v>0</v>
      </c>
      <c r="G89" s="185">
        <v>0</v>
      </c>
      <c r="H89" s="185">
        <v>0</v>
      </c>
      <c r="I89" s="185">
        <v>0</v>
      </c>
      <c r="J89" s="185">
        <v>0</v>
      </c>
      <c r="K89" s="185">
        <f>1641-700</f>
        <v>941</v>
      </c>
      <c r="L89" s="185">
        <v>0</v>
      </c>
      <c r="M89" s="185">
        <v>0</v>
      </c>
      <c r="N89" s="185">
        <v>0</v>
      </c>
      <c r="O89" s="185">
        <v>0</v>
      </c>
      <c r="P89" s="185">
        <v>0</v>
      </c>
      <c r="Q89" s="186"/>
      <c r="R89" s="187"/>
    </row>
    <row r="90" spans="1:18" ht="25.5" x14ac:dyDescent="0.2">
      <c r="A90" s="182">
        <v>80</v>
      </c>
      <c r="B90" s="183" t="s">
        <v>183</v>
      </c>
      <c r="C90" s="190" t="s">
        <v>413</v>
      </c>
      <c r="D90" s="185">
        <f t="shared" si="6"/>
        <v>10950</v>
      </c>
      <c r="E90" s="185">
        <v>3963</v>
      </c>
      <c r="F90" s="185">
        <v>6987</v>
      </c>
      <c r="G90" s="185">
        <v>0</v>
      </c>
      <c r="H90" s="185">
        <v>0</v>
      </c>
      <c r="I90" s="185">
        <v>0</v>
      </c>
      <c r="J90" s="185">
        <v>0</v>
      </c>
      <c r="K90" s="185">
        <v>1850</v>
      </c>
      <c r="L90" s="185">
        <v>3818</v>
      </c>
      <c r="M90" s="185">
        <v>0</v>
      </c>
      <c r="N90" s="185">
        <v>0</v>
      </c>
      <c r="O90" s="185">
        <v>0</v>
      </c>
      <c r="P90" s="185">
        <v>0</v>
      </c>
      <c r="Q90" s="186"/>
      <c r="R90" s="187"/>
    </row>
    <row r="91" spans="1:18" ht="25.5" x14ac:dyDescent="0.2">
      <c r="A91" s="182">
        <v>81</v>
      </c>
      <c r="B91" s="183" t="s">
        <v>184</v>
      </c>
      <c r="C91" s="190" t="s">
        <v>414</v>
      </c>
      <c r="D91" s="185">
        <f t="shared" si="6"/>
        <v>2748</v>
      </c>
      <c r="E91" s="185">
        <v>2748</v>
      </c>
      <c r="F91" s="185">
        <v>0</v>
      </c>
      <c r="G91" s="185">
        <v>0</v>
      </c>
      <c r="H91" s="185">
        <v>0</v>
      </c>
      <c r="I91" s="185">
        <v>0</v>
      </c>
      <c r="J91" s="185">
        <v>0</v>
      </c>
      <c r="K91" s="185">
        <v>1343</v>
      </c>
      <c r="L91" s="185">
        <v>0</v>
      </c>
      <c r="M91" s="185">
        <v>0</v>
      </c>
      <c r="N91" s="185">
        <v>0</v>
      </c>
      <c r="O91" s="185">
        <v>0</v>
      </c>
      <c r="P91" s="185">
        <v>0</v>
      </c>
      <c r="Q91" s="186"/>
      <c r="R91" s="187"/>
    </row>
    <row r="92" spans="1:18" ht="25.5" x14ac:dyDescent="0.2">
      <c r="A92" s="182">
        <v>82</v>
      </c>
      <c r="B92" s="183" t="s">
        <v>185</v>
      </c>
      <c r="C92" s="190" t="s">
        <v>415</v>
      </c>
      <c r="D92" s="185">
        <f t="shared" si="6"/>
        <v>2774</v>
      </c>
      <c r="E92" s="185">
        <v>2774</v>
      </c>
      <c r="F92" s="185">
        <v>0</v>
      </c>
      <c r="G92" s="185">
        <v>0</v>
      </c>
      <c r="H92" s="185">
        <v>0</v>
      </c>
      <c r="I92" s="185">
        <v>0</v>
      </c>
      <c r="J92" s="185">
        <v>0</v>
      </c>
      <c r="K92" s="185">
        <v>1364</v>
      </c>
      <c r="L92" s="185">
        <v>0</v>
      </c>
      <c r="M92" s="185">
        <v>0</v>
      </c>
      <c r="N92" s="185">
        <v>0</v>
      </c>
      <c r="O92" s="185">
        <v>0</v>
      </c>
      <c r="P92" s="185">
        <v>0</v>
      </c>
      <c r="Q92" s="186"/>
      <c r="R92" s="187"/>
    </row>
    <row r="93" spans="1:18" ht="25.5" x14ac:dyDescent="0.2">
      <c r="A93" s="182">
        <v>83</v>
      </c>
      <c r="B93" s="189" t="s">
        <v>106</v>
      </c>
      <c r="C93" s="190" t="s">
        <v>107</v>
      </c>
      <c r="D93" s="185">
        <f t="shared" si="6"/>
        <v>0</v>
      </c>
      <c r="E93" s="185">
        <v>0</v>
      </c>
      <c r="F93" s="185">
        <v>0</v>
      </c>
      <c r="G93" s="185">
        <v>0</v>
      </c>
      <c r="H93" s="185">
        <v>0</v>
      </c>
      <c r="I93" s="185">
        <v>0</v>
      </c>
      <c r="J93" s="185">
        <v>0</v>
      </c>
      <c r="K93" s="185">
        <v>0</v>
      </c>
      <c r="L93" s="185">
        <v>0</v>
      </c>
      <c r="M93" s="185">
        <v>0</v>
      </c>
      <c r="N93" s="185">
        <v>0</v>
      </c>
      <c r="O93" s="185">
        <v>0</v>
      </c>
      <c r="P93" s="185">
        <v>0</v>
      </c>
      <c r="Q93" s="186"/>
      <c r="R93" s="187"/>
    </row>
    <row r="94" spans="1:18" ht="12.75" x14ac:dyDescent="0.2">
      <c r="A94" s="182">
        <v>84</v>
      </c>
      <c r="B94" s="183" t="s">
        <v>108</v>
      </c>
      <c r="C94" s="190" t="s">
        <v>416</v>
      </c>
      <c r="D94" s="185">
        <f t="shared" si="6"/>
        <v>0</v>
      </c>
      <c r="E94" s="185">
        <v>0</v>
      </c>
      <c r="F94" s="185">
        <v>0</v>
      </c>
      <c r="G94" s="185">
        <v>0</v>
      </c>
      <c r="H94" s="185">
        <v>0</v>
      </c>
      <c r="I94" s="185">
        <v>0</v>
      </c>
      <c r="J94" s="185">
        <v>0</v>
      </c>
      <c r="K94" s="185">
        <v>0</v>
      </c>
      <c r="L94" s="185">
        <v>0</v>
      </c>
      <c r="M94" s="185">
        <v>0</v>
      </c>
      <c r="N94" s="185">
        <v>0</v>
      </c>
      <c r="O94" s="185">
        <v>0</v>
      </c>
      <c r="P94" s="185">
        <v>0</v>
      </c>
      <c r="Q94" s="186"/>
      <c r="R94" s="187"/>
    </row>
    <row r="95" spans="1:18" ht="12.75" x14ac:dyDescent="0.2">
      <c r="A95" s="182">
        <v>85</v>
      </c>
      <c r="B95" s="189" t="s">
        <v>109</v>
      </c>
      <c r="C95" s="190" t="s">
        <v>417</v>
      </c>
      <c r="D95" s="185">
        <f t="shared" si="6"/>
        <v>2450</v>
      </c>
      <c r="E95" s="185">
        <v>0</v>
      </c>
      <c r="F95" s="185">
        <v>0</v>
      </c>
      <c r="G95" s="185">
        <v>2450</v>
      </c>
      <c r="H95" s="185">
        <v>0</v>
      </c>
      <c r="I95" s="185">
        <v>0</v>
      </c>
      <c r="J95" s="185">
        <v>0</v>
      </c>
      <c r="K95" s="185">
        <v>0</v>
      </c>
      <c r="L95" s="185">
        <v>0</v>
      </c>
      <c r="M95" s="185">
        <v>700</v>
      </c>
      <c r="N95" s="185">
        <v>0</v>
      </c>
      <c r="O95" s="185">
        <v>0</v>
      </c>
      <c r="P95" s="185">
        <v>0</v>
      </c>
      <c r="Q95" s="186"/>
      <c r="R95" s="187"/>
    </row>
    <row r="96" spans="1:18" ht="12.75" x14ac:dyDescent="0.2">
      <c r="A96" s="182">
        <v>86</v>
      </c>
      <c r="B96" s="191" t="s">
        <v>110</v>
      </c>
      <c r="C96" s="192" t="s">
        <v>418</v>
      </c>
      <c r="D96" s="185">
        <f t="shared" si="6"/>
        <v>2167</v>
      </c>
      <c r="E96" s="185">
        <v>0</v>
      </c>
      <c r="F96" s="185">
        <v>0</v>
      </c>
      <c r="G96" s="185">
        <v>2167</v>
      </c>
      <c r="H96" s="185">
        <v>0</v>
      </c>
      <c r="I96" s="185">
        <v>0</v>
      </c>
      <c r="J96" s="185">
        <v>0</v>
      </c>
      <c r="K96" s="185">
        <v>0</v>
      </c>
      <c r="L96" s="185">
        <v>0</v>
      </c>
      <c r="M96" s="185">
        <v>542</v>
      </c>
      <c r="N96" s="185">
        <v>0</v>
      </c>
      <c r="O96" s="185">
        <v>0</v>
      </c>
      <c r="P96" s="185">
        <v>0</v>
      </c>
      <c r="Q96" s="186"/>
      <c r="R96" s="187"/>
    </row>
    <row r="97" spans="1:18" ht="12.75" x14ac:dyDescent="0.2">
      <c r="A97" s="182">
        <v>87</v>
      </c>
      <c r="B97" s="183" t="s">
        <v>111</v>
      </c>
      <c r="C97" s="190" t="s">
        <v>419</v>
      </c>
      <c r="D97" s="185">
        <f t="shared" si="6"/>
        <v>0</v>
      </c>
      <c r="E97" s="185">
        <v>0</v>
      </c>
      <c r="F97" s="185">
        <v>0</v>
      </c>
      <c r="G97" s="185">
        <v>0</v>
      </c>
      <c r="H97" s="185">
        <v>0</v>
      </c>
      <c r="I97" s="185">
        <v>0</v>
      </c>
      <c r="J97" s="185">
        <v>0</v>
      </c>
      <c r="K97" s="185">
        <v>0</v>
      </c>
      <c r="L97" s="185">
        <v>0</v>
      </c>
      <c r="M97" s="185">
        <v>0</v>
      </c>
      <c r="N97" s="185">
        <v>0</v>
      </c>
      <c r="O97" s="185">
        <v>0</v>
      </c>
      <c r="P97" s="185">
        <v>0</v>
      </c>
      <c r="Q97" s="186"/>
      <c r="R97" s="187"/>
    </row>
    <row r="98" spans="1:18" ht="12.75" x14ac:dyDescent="0.2">
      <c r="A98" s="182">
        <v>88</v>
      </c>
      <c r="B98" s="183" t="s">
        <v>112</v>
      </c>
      <c r="C98" s="190" t="s">
        <v>420</v>
      </c>
      <c r="D98" s="185">
        <f t="shared" si="6"/>
        <v>3461</v>
      </c>
      <c r="E98" s="185">
        <v>0</v>
      </c>
      <c r="F98" s="185">
        <v>0</v>
      </c>
      <c r="G98" s="185">
        <v>3461</v>
      </c>
      <c r="H98" s="185">
        <v>0</v>
      </c>
      <c r="I98" s="185">
        <v>0</v>
      </c>
      <c r="J98" s="185">
        <v>0</v>
      </c>
      <c r="K98" s="185">
        <v>0</v>
      </c>
      <c r="L98" s="185">
        <v>0</v>
      </c>
      <c r="M98" s="185">
        <v>1561</v>
      </c>
      <c r="N98" s="185">
        <v>0</v>
      </c>
      <c r="O98" s="185">
        <v>0</v>
      </c>
      <c r="P98" s="185">
        <v>0</v>
      </c>
      <c r="Q98" s="186"/>
      <c r="R98" s="187"/>
    </row>
    <row r="99" spans="1:18" ht="12.75" x14ac:dyDescent="0.2">
      <c r="A99" s="182">
        <v>89</v>
      </c>
      <c r="B99" s="191" t="s">
        <v>113</v>
      </c>
      <c r="C99" s="192" t="s">
        <v>421</v>
      </c>
      <c r="D99" s="185">
        <f t="shared" si="6"/>
        <v>0</v>
      </c>
      <c r="E99" s="185">
        <v>0</v>
      </c>
      <c r="F99" s="185">
        <v>0</v>
      </c>
      <c r="G99" s="185">
        <v>0</v>
      </c>
      <c r="H99" s="185">
        <v>0</v>
      </c>
      <c r="I99" s="185">
        <v>0</v>
      </c>
      <c r="J99" s="185">
        <v>0</v>
      </c>
      <c r="K99" s="185">
        <v>0</v>
      </c>
      <c r="L99" s="185">
        <v>0</v>
      </c>
      <c r="M99" s="185">
        <v>0</v>
      </c>
      <c r="N99" s="185">
        <v>0</v>
      </c>
      <c r="O99" s="185">
        <v>0</v>
      </c>
      <c r="P99" s="185">
        <v>0</v>
      </c>
      <c r="Q99" s="186"/>
      <c r="R99" s="187"/>
    </row>
    <row r="100" spans="1:18" ht="12.75" x14ac:dyDescent="0.2">
      <c r="A100" s="182">
        <v>90</v>
      </c>
      <c r="B100" s="183" t="s">
        <v>9</v>
      </c>
      <c r="C100" s="190" t="s">
        <v>422</v>
      </c>
      <c r="D100" s="185">
        <f t="shared" si="6"/>
        <v>793</v>
      </c>
      <c r="E100" s="185">
        <v>0</v>
      </c>
      <c r="F100" s="185">
        <v>0</v>
      </c>
      <c r="G100" s="185">
        <v>793</v>
      </c>
      <c r="H100" s="185">
        <v>0</v>
      </c>
      <c r="I100" s="185">
        <v>0</v>
      </c>
      <c r="J100" s="185">
        <v>0</v>
      </c>
      <c r="K100" s="185">
        <v>0</v>
      </c>
      <c r="L100" s="185">
        <v>0</v>
      </c>
      <c r="M100" s="185">
        <v>373</v>
      </c>
      <c r="N100" s="185">
        <v>0</v>
      </c>
      <c r="O100" s="185">
        <v>0</v>
      </c>
      <c r="P100" s="185">
        <v>0</v>
      </c>
      <c r="Q100" s="186"/>
      <c r="R100" s="187"/>
    </row>
    <row r="101" spans="1:18" ht="12.75" x14ac:dyDescent="0.2">
      <c r="A101" s="182">
        <v>91</v>
      </c>
      <c r="B101" s="191" t="s">
        <v>114</v>
      </c>
      <c r="C101" s="192" t="s">
        <v>423</v>
      </c>
      <c r="D101" s="185">
        <f t="shared" si="6"/>
        <v>0</v>
      </c>
      <c r="E101" s="185">
        <v>0</v>
      </c>
      <c r="F101" s="185">
        <v>0</v>
      </c>
      <c r="G101" s="185">
        <v>0</v>
      </c>
      <c r="H101" s="185">
        <v>0</v>
      </c>
      <c r="I101" s="185">
        <v>0</v>
      </c>
      <c r="J101" s="185">
        <v>0</v>
      </c>
      <c r="K101" s="185">
        <v>0</v>
      </c>
      <c r="L101" s="185">
        <v>0</v>
      </c>
      <c r="M101" s="185">
        <v>0</v>
      </c>
      <c r="N101" s="185">
        <v>0</v>
      </c>
      <c r="O101" s="185">
        <v>0</v>
      </c>
      <c r="P101" s="185">
        <v>0</v>
      </c>
      <c r="Q101" s="186"/>
      <c r="R101" s="187"/>
    </row>
    <row r="102" spans="1:18" x14ac:dyDescent="0.2">
      <c r="A102" s="182">
        <v>92</v>
      </c>
      <c r="B102" s="148" t="s">
        <v>324</v>
      </c>
      <c r="C102" s="86" t="s">
        <v>424</v>
      </c>
      <c r="D102" s="185">
        <f t="shared" si="6"/>
        <v>0</v>
      </c>
      <c r="E102" s="185">
        <v>0</v>
      </c>
      <c r="F102" s="185">
        <v>0</v>
      </c>
      <c r="G102" s="185">
        <v>0</v>
      </c>
      <c r="H102" s="185">
        <v>0</v>
      </c>
      <c r="I102" s="185">
        <v>0</v>
      </c>
      <c r="J102" s="185">
        <v>0</v>
      </c>
      <c r="K102" s="185">
        <v>0</v>
      </c>
      <c r="L102" s="185">
        <v>0</v>
      </c>
      <c r="M102" s="185">
        <v>0</v>
      </c>
      <c r="N102" s="185">
        <v>0</v>
      </c>
      <c r="O102" s="185">
        <v>0</v>
      </c>
      <c r="P102" s="185">
        <v>0</v>
      </c>
      <c r="Q102" s="186"/>
      <c r="R102" s="187"/>
    </row>
    <row r="103" spans="1:18" ht="25.5" x14ac:dyDescent="0.2">
      <c r="A103" s="182">
        <v>93</v>
      </c>
      <c r="B103" s="189" t="s">
        <v>115</v>
      </c>
      <c r="C103" s="190" t="s">
        <v>116</v>
      </c>
      <c r="D103" s="185">
        <f t="shared" si="6"/>
        <v>3600</v>
      </c>
      <c r="E103" s="185">
        <v>0</v>
      </c>
      <c r="F103" s="185">
        <v>0</v>
      </c>
      <c r="G103" s="185">
        <v>3600</v>
      </c>
      <c r="H103" s="185">
        <v>0</v>
      </c>
      <c r="I103" s="185">
        <v>0</v>
      </c>
      <c r="J103" s="185">
        <v>0</v>
      </c>
      <c r="K103" s="185">
        <v>0</v>
      </c>
      <c r="L103" s="185">
        <v>0</v>
      </c>
      <c r="M103" s="185">
        <v>1800</v>
      </c>
      <c r="N103" s="185">
        <v>0</v>
      </c>
      <c r="O103" s="185">
        <v>0</v>
      </c>
      <c r="P103" s="185">
        <v>0</v>
      </c>
      <c r="Q103" s="186"/>
      <c r="R103" s="187"/>
    </row>
    <row r="104" spans="1:18" ht="25.5" x14ac:dyDescent="0.2">
      <c r="A104" s="182">
        <v>94</v>
      </c>
      <c r="B104" s="188" t="s">
        <v>186</v>
      </c>
      <c r="C104" s="184" t="s">
        <v>425</v>
      </c>
      <c r="D104" s="185">
        <f t="shared" si="6"/>
        <v>300</v>
      </c>
      <c r="E104" s="185">
        <v>300</v>
      </c>
      <c r="F104" s="185">
        <v>0</v>
      </c>
      <c r="G104" s="185">
        <v>0</v>
      </c>
      <c r="H104" s="185">
        <v>0</v>
      </c>
      <c r="I104" s="185">
        <v>0</v>
      </c>
      <c r="J104" s="185">
        <v>0</v>
      </c>
      <c r="K104" s="185">
        <v>150</v>
      </c>
      <c r="L104" s="185">
        <v>0</v>
      </c>
      <c r="M104" s="185">
        <v>0</v>
      </c>
      <c r="N104" s="185">
        <v>0</v>
      </c>
      <c r="O104" s="185">
        <v>0</v>
      </c>
      <c r="P104" s="185">
        <v>0</v>
      </c>
      <c r="Q104" s="186"/>
      <c r="R104" s="187"/>
    </row>
    <row r="105" spans="1:18" ht="12.75" x14ac:dyDescent="0.2">
      <c r="A105" s="182">
        <v>95</v>
      </c>
      <c r="B105" s="188" t="s">
        <v>117</v>
      </c>
      <c r="C105" s="192" t="s">
        <v>426</v>
      </c>
      <c r="D105" s="185">
        <f t="shared" si="6"/>
        <v>670</v>
      </c>
      <c r="E105" s="185">
        <v>0</v>
      </c>
      <c r="F105" s="185">
        <v>0</v>
      </c>
      <c r="G105" s="185">
        <v>670</v>
      </c>
      <c r="H105" s="185">
        <v>0</v>
      </c>
      <c r="I105" s="185">
        <v>0</v>
      </c>
      <c r="J105" s="185">
        <v>0</v>
      </c>
      <c r="K105" s="185">
        <v>0</v>
      </c>
      <c r="L105" s="185">
        <v>0</v>
      </c>
      <c r="M105" s="185">
        <v>335</v>
      </c>
      <c r="N105" s="185">
        <v>0</v>
      </c>
      <c r="O105" s="185">
        <v>0</v>
      </c>
      <c r="P105" s="185">
        <v>0</v>
      </c>
      <c r="Q105" s="186"/>
      <c r="R105" s="187"/>
    </row>
    <row r="106" spans="1:18" ht="12.75" x14ac:dyDescent="0.2">
      <c r="A106" s="182">
        <v>96</v>
      </c>
      <c r="B106" s="189" t="s">
        <v>118</v>
      </c>
      <c r="C106" s="190" t="s">
        <v>427</v>
      </c>
      <c r="D106" s="185">
        <f t="shared" si="6"/>
        <v>1600</v>
      </c>
      <c r="E106" s="185">
        <v>0</v>
      </c>
      <c r="F106" s="185">
        <v>0</v>
      </c>
      <c r="G106" s="185">
        <v>1600</v>
      </c>
      <c r="H106" s="185">
        <v>0</v>
      </c>
      <c r="I106" s="185">
        <v>0</v>
      </c>
      <c r="J106" s="185">
        <v>0</v>
      </c>
      <c r="K106" s="185">
        <v>0</v>
      </c>
      <c r="L106" s="185">
        <v>0</v>
      </c>
      <c r="M106" s="185">
        <v>800</v>
      </c>
      <c r="N106" s="185">
        <v>0</v>
      </c>
      <c r="O106" s="185">
        <v>0</v>
      </c>
      <c r="P106" s="185">
        <v>0</v>
      </c>
      <c r="Q106" s="186"/>
      <c r="R106" s="187"/>
    </row>
    <row r="107" spans="1:18" ht="12.75" x14ac:dyDescent="0.2">
      <c r="A107" s="182">
        <v>97</v>
      </c>
      <c r="B107" s="188" t="s">
        <v>119</v>
      </c>
      <c r="C107" s="199" t="s">
        <v>120</v>
      </c>
      <c r="D107" s="185">
        <f t="shared" si="6"/>
        <v>550</v>
      </c>
      <c r="E107" s="185">
        <v>0</v>
      </c>
      <c r="F107" s="185">
        <v>0</v>
      </c>
      <c r="G107" s="185">
        <v>458</v>
      </c>
      <c r="H107" s="185">
        <v>92</v>
      </c>
      <c r="I107" s="185">
        <v>0</v>
      </c>
      <c r="J107" s="185">
        <v>0</v>
      </c>
      <c r="K107" s="185">
        <v>0</v>
      </c>
      <c r="L107" s="185">
        <v>0</v>
      </c>
      <c r="M107" s="185">
        <v>208</v>
      </c>
      <c r="N107" s="185">
        <v>42</v>
      </c>
      <c r="O107" s="185">
        <v>0</v>
      </c>
      <c r="P107" s="185">
        <v>0</v>
      </c>
      <c r="Q107" s="186"/>
      <c r="R107" s="187"/>
    </row>
    <row r="108" spans="1:18" ht="12.75" x14ac:dyDescent="0.2">
      <c r="A108" s="182">
        <v>98</v>
      </c>
      <c r="B108" s="189" t="s">
        <v>121</v>
      </c>
      <c r="C108" s="190" t="s">
        <v>122</v>
      </c>
      <c r="D108" s="185">
        <f t="shared" si="6"/>
        <v>0</v>
      </c>
      <c r="E108" s="185">
        <v>0</v>
      </c>
      <c r="F108" s="185">
        <v>0</v>
      </c>
      <c r="G108" s="185">
        <v>0</v>
      </c>
      <c r="H108" s="185">
        <v>0</v>
      </c>
      <c r="I108" s="185">
        <v>0</v>
      </c>
      <c r="J108" s="185">
        <v>0</v>
      </c>
      <c r="K108" s="185">
        <v>0</v>
      </c>
      <c r="L108" s="185">
        <v>0</v>
      </c>
      <c r="M108" s="185">
        <v>0</v>
      </c>
      <c r="N108" s="185">
        <v>0</v>
      </c>
      <c r="O108" s="185">
        <v>0</v>
      </c>
      <c r="P108" s="185">
        <v>0</v>
      </c>
      <c r="Q108" s="186"/>
      <c r="R108" s="187"/>
    </row>
    <row r="109" spans="1:18" ht="12.75" x14ac:dyDescent="0.2">
      <c r="A109" s="182">
        <v>99</v>
      </c>
      <c r="B109" s="189" t="s">
        <v>123</v>
      </c>
      <c r="C109" s="190" t="s">
        <v>124</v>
      </c>
      <c r="D109" s="185">
        <f t="shared" si="6"/>
        <v>1466</v>
      </c>
      <c r="E109" s="185">
        <v>0</v>
      </c>
      <c r="F109" s="185">
        <v>0</v>
      </c>
      <c r="G109" s="185">
        <v>1466</v>
      </c>
      <c r="H109" s="185">
        <v>0</v>
      </c>
      <c r="I109" s="185">
        <v>0</v>
      </c>
      <c r="J109" s="185">
        <v>0</v>
      </c>
      <c r="K109" s="185">
        <v>0</v>
      </c>
      <c r="L109" s="185">
        <v>0</v>
      </c>
      <c r="M109" s="185">
        <v>626</v>
      </c>
      <c r="N109" s="185">
        <v>0</v>
      </c>
      <c r="O109" s="185">
        <v>0</v>
      </c>
      <c r="P109" s="185">
        <v>0</v>
      </c>
      <c r="Q109" s="186"/>
      <c r="R109" s="187"/>
    </row>
    <row r="110" spans="1:18" ht="12.75" x14ac:dyDescent="0.2">
      <c r="A110" s="182">
        <v>100</v>
      </c>
      <c r="B110" s="188" t="s">
        <v>125</v>
      </c>
      <c r="C110" s="192" t="s">
        <v>126</v>
      </c>
      <c r="D110" s="185">
        <f t="shared" si="6"/>
        <v>1214</v>
      </c>
      <c r="E110" s="185">
        <v>0</v>
      </c>
      <c r="F110" s="185">
        <v>0</v>
      </c>
      <c r="G110" s="185">
        <v>747</v>
      </c>
      <c r="H110" s="185">
        <v>467</v>
      </c>
      <c r="I110" s="185">
        <v>0</v>
      </c>
      <c r="J110" s="185">
        <v>0</v>
      </c>
      <c r="K110" s="185">
        <v>0</v>
      </c>
      <c r="L110" s="185">
        <v>0</v>
      </c>
      <c r="M110" s="185">
        <v>347</v>
      </c>
      <c r="N110" s="185">
        <v>217</v>
      </c>
      <c r="O110" s="185">
        <v>0</v>
      </c>
      <c r="P110" s="185">
        <v>0</v>
      </c>
      <c r="Q110" s="186"/>
      <c r="R110" s="187"/>
    </row>
    <row r="111" spans="1:18" ht="12.75" x14ac:dyDescent="0.2">
      <c r="A111" s="182">
        <v>101</v>
      </c>
      <c r="B111" s="188" t="s">
        <v>127</v>
      </c>
      <c r="C111" s="184" t="s">
        <v>128</v>
      </c>
      <c r="D111" s="185">
        <f t="shared" si="6"/>
        <v>277</v>
      </c>
      <c r="E111" s="185">
        <v>0</v>
      </c>
      <c r="F111" s="185">
        <v>0</v>
      </c>
      <c r="G111" s="185">
        <v>277</v>
      </c>
      <c r="H111" s="185">
        <v>0</v>
      </c>
      <c r="I111" s="185">
        <v>0</v>
      </c>
      <c r="J111" s="185">
        <v>0</v>
      </c>
      <c r="K111" s="185">
        <v>0</v>
      </c>
      <c r="L111" s="185">
        <v>0</v>
      </c>
      <c r="M111" s="185">
        <v>111</v>
      </c>
      <c r="N111" s="185">
        <v>0</v>
      </c>
      <c r="O111" s="185">
        <v>0</v>
      </c>
      <c r="P111" s="185">
        <v>0</v>
      </c>
      <c r="Q111" s="186"/>
      <c r="R111" s="187"/>
    </row>
    <row r="112" spans="1:18" ht="12.75" x14ac:dyDescent="0.2">
      <c r="A112" s="182">
        <v>102</v>
      </c>
      <c r="B112" s="183" t="s">
        <v>129</v>
      </c>
      <c r="C112" s="184" t="s">
        <v>130</v>
      </c>
      <c r="D112" s="185">
        <f t="shared" si="6"/>
        <v>352</v>
      </c>
      <c r="E112" s="185">
        <v>0</v>
      </c>
      <c r="F112" s="185">
        <v>0</v>
      </c>
      <c r="G112" s="185">
        <v>176</v>
      </c>
      <c r="H112" s="185">
        <v>176</v>
      </c>
      <c r="I112" s="185">
        <v>0</v>
      </c>
      <c r="J112" s="185">
        <v>0</v>
      </c>
      <c r="K112" s="185">
        <v>0</v>
      </c>
      <c r="L112" s="185">
        <v>0</v>
      </c>
      <c r="M112" s="185">
        <v>76</v>
      </c>
      <c r="N112" s="185">
        <v>76</v>
      </c>
      <c r="O112" s="185">
        <v>0</v>
      </c>
      <c r="P112" s="185">
        <v>0</v>
      </c>
      <c r="Q112" s="186"/>
      <c r="R112" s="187"/>
    </row>
    <row r="113" spans="1:18" ht="12.75" x14ac:dyDescent="0.2">
      <c r="A113" s="182">
        <v>103</v>
      </c>
      <c r="B113" s="183" t="s">
        <v>131</v>
      </c>
      <c r="C113" s="184" t="s">
        <v>132</v>
      </c>
      <c r="D113" s="185">
        <f t="shared" si="6"/>
        <v>1338</v>
      </c>
      <c r="E113" s="185">
        <v>0</v>
      </c>
      <c r="F113" s="185">
        <v>0</v>
      </c>
      <c r="G113" s="185">
        <v>1193</v>
      </c>
      <c r="H113" s="185">
        <v>145</v>
      </c>
      <c r="I113" s="185">
        <v>0</v>
      </c>
      <c r="J113" s="185">
        <v>0</v>
      </c>
      <c r="K113" s="185">
        <v>0</v>
      </c>
      <c r="L113" s="185">
        <v>0</v>
      </c>
      <c r="M113" s="185">
        <v>418</v>
      </c>
      <c r="N113" s="185">
        <v>51</v>
      </c>
      <c r="O113" s="185">
        <v>0</v>
      </c>
      <c r="P113" s="185">
        <v>0</v>
      </c>
      <c r="Q113" s="186"/>
      <c r="R113" s="187"/>
    </row>
    <row r="114" spans="1:18" ht="12.75" x14ac:dyDescent="0.2">
      <c r="A114" s="182">
        <v>104</v>
      </c>
      <c r="B114" s="189" t="s">
        <v>133</v>
      </c>
      <c r="C114" s="190" t="s">
        <v>134</v>
      </c>
      <c r="D114" s="185">
        <f t="shared" si="6"/>
        <v>1483</v>
      </c>
      <c r="E114" s="185">
        <v>0</v>
      </c>
      <c r="F114" s="185">
        <v>0</v>
      </c>
      <c r="G114" s="185">
        <v>1483</v>
      </c>
      <c r="H114" s="185">
        <v>0</v>
      </c>
      <c r="I114" s="185">
        <v>0</v>
      </c>
      <c r="J114" s="185">
        <v>0</v>
      </c>
      <c r="K114" s="185">
        <v>0</v>
      </c>
      <c r="L114" s="185">
        <v>0</v>
      </c>
      <c r="M114" s="185">
        <v>58</v>
      </c>
      <c r="N114" s="185">
        <v>0</v>
      </c>
      <c r="O114" s="185">
        <v>0</v>
      </c>
      <c r="P114" s="185">
        <v>0</v>
      </c>
      <c r="Q114" s="186"/>
      <c r="R114" s="187"/>
    </row>
    <row r="115" spans="1:18" ht="12.75" x14ac:dyDescent="0.2">
      <c r="A115" s="182">
        <v>105</v>
      </c>
      <c r="B115" s="191" t="s">
        <v>135</v>
      </c>
      <c r="C115" s="192" t="s">
        <v>136</v>
      </c>
      <c r="D115" s="185">
        <f t="shared" si="6"/>
        <v>439</v>
      </c>
      <c r="E115" s="185">
        <v>0</v>
      </c>
      <c r="F115" s="185">
        <v>0</v>
      </c>
      <c r="G115" s="185">
        <v>308</v>
      </c>
      <c r="H115" s="185">
        <v>131</v>
      </c>
      <c r="I115" s="185">
        <v>0</v>
      </c>
      <c r="J115" s="185">
        <v>0</v>
      </c>
      <c r="K115" s="185">
        <v>0</v>
      </c>
      <c r="L115" s="185">
        <v>0</v>
      </c>
      <c r="M115" s="185">
        <v>120</v>
      </c>
      <c r="N115" s="185">
        <v>51</v>
      </c>
      <c r="O115" s="185">
        <v>0</v>
      </c>
      <c r="P115" s="185">
        <v>0</v>
      </c>
      <c r="Q115" s="186"/>
      <c r="R115" s="187"/>
    </row>
    <row r="116" spans="1:18" ht="12.75" x14ac:dyDescent="0.2">
      <c r="A116" s="182">
        <v>106</v>
      </c>
      <c r="B116" s="183" t="s">
        <v>137</v>
      </c>
      <c r="C116" s="184" t="s">
        <v>138</v>
      </c>
      <c r="D116" s="185">
        <f t="shared" si="6"/>
        <v>2791</v>
      </c>
      <c r="E116" s="185">
        <v>0</v>
      </c>
      <c r="F116" s="185">
        <v>0</v>
      </c>
      <c r="G116" s="185">
        <v>2083</v>
      </c>
      <c r="H116" s="185">
        <v>708</v>
      </c>
      <c r="I116" s="185">
        <v>0</v>
      </c>
      <c r="J116" s="185">
        <v>0</v>
      </c>
      <c r="K116" s="185">
        <v>0</v>
      </c>
      <c r="L116" s="185">
        <v>0</v>
      </c>
      <c r="M116" s="185">
        <v>833</v>
      </c>
      <c r="N116" s="185">
        <v>283</v>
      </c>
      <c r="O116" s="185">
        <v>0</v>
      </c>
      <c r="P116" s="185">
        <v>0</v>
      </c>
      <c r="Q116" s="186"/>
      <c r="R116" s="187"/>
    </row>
    <row r="117" spans="1:18" ht="12.75" x14ac:dyDescent="0.2">
      <c r="A117" s="182">
        <v>107</v>
      </c>
      <c r="B117" s="188" t="s">
        <v>139</v>
      </c>
      <c r="C117" s="184" t="s">
        <v>140</v>
      </c>
      <c r="D117" s="185">
        <f t="shared" si="6"/>
        <v>1643</v>
      </c>
      <c r="E117" s="185">
        <v>0</v>
      </c>
      <c r="F117" s="185">
        <v>0</v>
      </c>
      <c r="G117" s="185">
        <v>1643</v>
      </c>
      <c r="H117" s="185">
        <v>0</v>
      </c>
      <c r="I117" s="185">
        <v>0</v>
      </c>
      <c r="J117" s="185">
        <v>0</v>
      </c>
      <c r="K117" s="185">
        <v>0</v>
      </c>
      <c r="L117" s="185">
        <v>0</v>
      </c>
      <c r="M117" s="185">
        <v>643</v>
      </c>
      <c r="N117" s="185">
        <v>0</v>
      </c>
      <c r="O117" s="185">
        <v>0</v>
      </c>
      <c r="P117" s="185">
        <v>0</v>
      </c>
      <c r="Q117" s="186"/>
      <c r="R117" s="187"/>
    </row>
    <row r="118" spans="1:18" ht="12.75" x14ac:dyDescent="0.2">
      <c r="A118" s="182">
        <v>108</v>
      </c>
      <c r="B118" s="189" t="s">
        <v>141</v>
      </c>
      <c r="C118" s="190" t="s">
        <v>142</v>
      </c>
      <c r="D118" s="185">
        <f t="shared" si="6"/>
        <v>4375</v>
      </c>
      <c r="E118" s="185">
        <v>0</v>
      </c>
      <c r="F118" s="185">
        <v>0</v>
      </c>
      <c r="G118" s="185">
        <v>3500</v>
      </c>
      <c r="H118" s="185">
        <v>875</v>
      </c>
      <c r="I118" s="185">
        <v>0</v>
      </c>
      <c r="J118" s="185">
        <v>0</v>
      </c>
      <c r="K118" s="185">
        <v>0</v>
      </c>
      <c r="L118" s="185">
        <v>0</v>
      </c>
      <c r="M118" s="185">
        <v>1500</v>
      </c>
      <c r="N118" s="185">
        <v>375</v>
      </c>
      <c r="O118" s="185">
        <v>0</v>
      </c>
      <c r="P118" s="185">
        <v>0</v>
      </c>
      <c r="Q118" s="186"/>
      <c r="R118" s="187"/>
    </row>
    <row r="119" spans="1:18" ht="12.75" x14ac:dyDescent="0.2">
      <c r="A119" s="182">
        <v>109</v>
      </c>
      <c r="B119" s="189" t="s">
        <v>143</v>
      </c>
      <c r="C119" s="190" t="s">
        <v>144</v>
      </c>
      <c r="D119" s="185">
        <f t="shared" si="6"/>
        <v>1600</v>
      </c>
      <c r="E119" s="185">
        <v>0</v>
      </c>
      <c r="F119" s="185">
        <v>0</v>
      </c>
      <c r="G119" s="185">
        <v>1392</v>
      </c>
      <c r="H119" s="185">
        <v>208</v>
      </c>
      <c r="I119" s="185">
        <v>0</v>
      </c>
      <c r="J119" s="185">
        <v>0</v>
      </c>
      <c r="K119" s="185">
        <v>0</v>
      </c>
      <c r="L119" s="185">
        <v>0</v>
      </c>
      <c r="M119" s="185">
        <v>557</v>
      </c>
      <c r="N119" s="185">
        <v>83</v>
      </c>
      <c r="O119" s="185">
        <v>0</v>
      </c>
      <c r="P119" s="185">
        <v>0</v>
      </c>
      <c r="Q119" s="186"/>
      <c r="R119" s="187"/>
    </row>
    <row r="120" spans="1:18" ht="12.75" x14ac:dyDescent="0.2">
      <c r="A120" s="182">
        <v>110</v>
      </c>
      <c r="B120" s="183" t="s">
        <v>145</v>
      </c>
      <c r="C120" s="184" t="s">
        <v>146</v>
      </c>
      <c r="D120" s="185">
        <f t="shared" si="6"/>
        <v>993</v>
      </c>
      <c r="E120" s="185">
        <v>0</v>
      </c>
      <c r="F120" s="185">
        <v>0</v>
      </c>
      <c r="G120" s="185">
        <v>993</v>
      </c>
      <c r="H120" s="185">
        <v>0</v>
      </c>
      <c r="I120" s="185">
        <v>0</v>
      </c>
      <c r="J120" s="185">
        <v>0</v>
      </c>
      <c r="K120" s="185">
        <v>0</v>
      </c>
      <c r="L120" s="185">
        <v>0</v>
      </c>
      <c r="M120" s="185">
        <v>393</v>
      </c>
      <c r="N120" s="185">
        <v>0</v>
      </c>
      <c r="O120" s="185">
        <v>0</v>
      </c>
      <c r="P120" s="185">
        <v>0</v>
      </c>
      <c r="Q120" s="186"/>
      <c r="R120" s="187"/>
    </row>
    <row r="121" spans="1:18" ht="12.75" x14ac:dyDescent="0.2">
      <c r="A121" s="182">
        <v>111</v>
      </c>
      <c r="B121" s="188" t="s">
        <v>147</v>
      </c>
      <c r="C121" s="184" t="s">
        <v>428</v>
      </c>
      <c r="D121" s="185">
        <f t="shared" si="6"/>
        <v>1030</v>
      </c>
      <c r="E121" s="185">
        <v>0</v>
      </c>
      <c r="F121" s="185">
        <v>0</v>
      </c>
      <c r="G121" s="185">
        <v>785</v>
      </c>
      <c r="H121" s="185">
        <v>245</v>
      </c>
      <c r="I121" s="185">
        <v>0</v>
      </c>
      <c r="J121" s="185">
        <v>0</v>
      </c>
      <c r="K121" s="185">
        <v>0</v>
      </c>
      <c r="L121" s="185">
        <v>0</v>
      </c>
      <c r="M121" s="185">
        <v>305</v>
      </c>
      <c r="N121" s="185">
        <v>95</v>
      </c>
      <c r="O121" s="185">
        <v>0</v>
      </c>
      <c r="P121" s="185">
        <v>0</v>
      </c>
      <c r="Q121" s="186"/>
      <c r="R121" s="187"/>
    </row>
    <row r="122" spans="1:18" ht="12.75" x14ac:dyDescent="0.2">
      <c r="A122" s="182">
        <v>112</v>
      </c>
      <c r="B122" s="183" t="s">
        <v>187</v>
      </c>
      <c r="C122" s="190" t="s">
        <v>429</v>
      </c>
      <c r="D122" s="185">
        <f t="shared" si="6"/>
        <v>0</v>
      </c>
      <c r="E122" s="185">
        <v>0</v>
      </c>
      <c r="F122" s="185">
        <v>0</v>
      </c>
      <c r="G122" s="185">
        <v>0</v>
      </c>
      <c r="H122" s="185">
        <v>0</v>
      </c>
      <c r="I122" s="185">
        <v>0</v>
      </c>
      <c r="J122" s="185">
        <v>0</v>
      </c>
      <c r="K122" s="185">
        <v>0</v>
      </c>
      <c r="L122" s="185">
        <v>0</v>
      </c>
      <c r="M122" s="185">
        <v>0</v>
      </c>
      <c r="N122" s="185">
        <v>0</v>
      </c>
      <c r="O122" s="185">
        <v>0</v>
      </c>
      <c r="P122" s="185">
        <v>0</v>
      </c>
      <c r="Q122" s="186"/>
      <c r="R122" s="187"/>
    </row>
    <row r="123" spans="1:18" x14ac:dyDescent="0.2">
      <c r="A123" s="182">
        <v>113</v>
      </c>
      <c r="B123" s="142" t="s">
        <v>326</v>
      </c>
      <c r="C123" s="82" t="s">
        <v>327</v>
      </c>
      <c r="D123" s="185">
        <f t="shared" si="6"/>
        <v>0</v>
      </c>
      <c r="E123" s="185">
        <v>0</v>
      </c>
      <c r="F123" s="185">
        <v>0</v>
      </c>
      <c r="G123" s="185">
        <v>0</v>
      </c>
      <c r="H123" s="185">
        <v>0</v>
      </c>
      <c r="I123" s="185">
        <v>0</v>
      </c>
      <c r="J123" s="185">
        <v>0</v>
      </c>
      <c r="K123" s="185">
        <v>0</v>
      </c>
      <c r="L123" s="185">
        <v>0</v>
      </c>
      <c r="M123" s="185">
        <v>0</v>
      </c>
      <c r="N123" s="185">
        <v>0</v>
      </c>
      <c r="O123" s="185">
        <v>0</v>
      </c>
      <c r="P123" s="185">
        <v>0</v>
      </c>
      <c r="Q123" s="186"/>
      <c r="R123" s="187"/>
    </row>
    <row r="124" spans="1:18" ht="12.75" x14ac:dyDescent="0.2">
      <c r="A124" s="182">
        <v>114</v>
      </c>
      <c r="B124" s="189" t="s">
        <v>188</v>
      </c>
      <c r="C124" s="190" t="s">
        <v>430</v>
      </c>
      <c r="D124" s="185">
        <f t="shared" si="6"/>
        <v>0</v>
      </c>
      <c r="E124" s="185">
        <v>0</v>
      </c>
      <c r="F124" s="185">
        <v>0</v>
      </c>
      <c r="G124" s="185">
        <v>0</v>
      </c>
      <c r="H124" s="185">
        <v>0</v>
      </c>
      <c r="I124" s="185">
        <v>0</v>
      </c>
      <c r="J124" s="185">
        <v>0</v>
      </c>
      <c r="K124" s="185">
        <v>0</v>
      </c>
      <c r="L124" s="185">
        <v>0</v>
      </c>
      <c r="M124" s="185">
        <v>0</v>
      </c>
      <c r="N124" s="185">
        <v>0</v>
      </c>
      <c r="O124" s="185">
        <v>0</v>
      </c>
      <c r="P124" s="185">
        <v>0</v>
      </c>
      <c r="Q124" s="186"/>
      <c r="R124" s="187"/>
    </row>
    <row r="125" spans="1:18" ht="12.75" x14ac:dyDescent="0.2">
      <c r="A125" s="182">
        <v>115</v>
      </c>
      <c r="B125" s="189" t="s">
        <v>189</v>
      </c>
      <c r="C125" s="190" t="s">
        <v>431</v>
      </c>
      <c r="D125" s="185">
        <f t="shared" si="6"/>
        <v>0</v>
      </c>
      <c r="E125" s="185">
        <v>0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0</v>
      </c>
      <c r="Q125" s="186"/>
      <c r="R125" s="187"/>
    </row>
    <row r="126" spans="1:18" x14ac:dyDescent="0.2">
      <c r="A126" s="182">
        <v>116</v>
      </c>
      <c r="B126" s="97" t="s">
        <v>328</v>
      </c>
      <c r="C126" s="86" t="s">
        <v>329</v>
      </c>
      <c r="D126" s="185">
        <f t="shared" si="6"/>
        <v>0</v>
      </c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0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6"/>
      <c r="R126" s="187"/>
    </row>
    <row r="127" spans="1:18" ht="24" x14ac:dyDescent="0.2">
      <c r="A127" s="182">
        <v>117</v>
      </c>
      <c r="B127" s="97" t="s">
        <v>190</v>
      </c>
      <c r="C127" s="86" t="s">
        <v>432</v>
      </c>
      <c r="D127" s="185">
        <f t="shared" si="6"/>
        <v>0</v>
      </c>
      <c r="E127" s="185">
        <v>0</v>
      </c>
      <c r="F127" s="185">
        <v>0</v>
      </c>
      <c r="G127" s="185">
        <v>0</v>
      </c>
      <c r="H127" s="185">
        <v>0</v>
      </c>
      <c r="I127" s="185">
        <v>0</v>
      </c>
      <c r="J127" s="185">
        <v>0</v>
      </c>
      <c r="K127" s="185"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6"/>
      <c r="R127" s="187"/>
    </row>
    <row r="128" spans="1:18" x14ac:dyDescent="0.2">
      <c r="A128" s="182">
        <v>118</v>
      </c>
      <c r="B128" s="97" t="s">
        <v>330</v>
      </c>
      <c r="C128" s="86" t="s">
        <v>331</v>
      </c>
      <c r="D128" s="185">
        <f t="shared" si="6"/>
        <v>0</v>
      </c>
      <c r="E128" s="185">
        <v>0</v>
      </c>
      <c r="F128" s="185">
        <v>0</v>
      </c>
      <c r="G128" s="185">
        <v>0</v>
      </c>
      <c r="H128" s="185">
        <v>0</v>
      </c>
      <c r="I128" s="185">
        <v>0</v>
      </c>
      <c r="J128" s="185">
        <v>0</v>
      </c>
      <c r="K128" s="185"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6"/>
      <c r="R128" s="187"/>
    </row>
    <row r="129" spans="1:18" ht="12.75" x14ac:dyDescent="0.2">
      <c r="A129" s="182">
        <v>119</v>
      </c>
      <c r="B129" s="189" t="s">
        <v>191</v>
      </c>
      <c r="C129" s="190" t="s">
        <v>433</v>
      </c>
      <c r="D129" s="185">
        <f t="shared" si="6"/>
        <v>0</v>
      </c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6"/>
      <c r="R129" s="187"/>
    </row>
    <row r="130" spans="1:18" x14ac:dyDescent="0.2">
      <c r="A130" s="182">
        <v>120</v>
      </c>
      <c r="B130" s="200" t="s">
        <v>434</v>
      </c>
      <c r="C130" s="201" t="s">
        <v>435</v>
      </c>
      <c r="D130" s="185">
        <f t="shared" si="6"/>
        <v>0</v>
      </c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0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6"/>
      <c r="R130" s="187"/>
    </row>
    <row r="131" spans="1:18" ht="12.75" x14ac:dyDescent="0.2">
      <c r="A131" s="182">
        <v>121</v>
      </c>
      <c r="B131" s="131" t="s">
        <v>436</v>
      </c>
      <c r="C131" s="132" t="s">
        <v>460</v>
      </c>
      <c r="D131" s="185">
        <f t="shared" si="6"/>
        <v>0</v>
      </c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6"/>
      <c r="R131" s="187"/>
    </row>
    <row r="132" spans="1:18" x14ac:dyDescent="0.2">
      <c r="A132" s="182">
        <v>122</v>
      </c>
      <c r="B132" s="97" t="s">
        <v>192</v>
      </c>
      <c r="C132" s="86" t="s">
        <v>438</v>
      </c>
      <c r="D132" s="185">
        <f t="shared" si="6"/>
        <v>0</v>
      </c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0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6"/>
      <c r="R132" s="187"/>
    </row>
    <row r="133" spans="1:18" x14ac:dyDescent="0.2">
      <c r="A133" s="182">
        <v>123</v>
      </c>
      <c r="B133" s="85" t="s">
        <v>332</v>
      </c>
      <c r="C133" s="102" t="s">
        <v>439</v>
      </c>
      <c r="D133" s="185">
        <f t="shared" si="6"/>
        <v>0</v>
      </c>
      <c r="E133" s="185">
        <v>0</v>
      </c>
      <c r="F133" s="185">
        <v>0</v>
      </c>
      <c r="G133" s="185">
        <v>0</v>
      </c>
      <c r="H133" s="185">
        <v>0</v>
      </c>
      <c r="I133" s="185">
        <v>0</v>
      </c>
      <c r="J133" s="185">
        <v>0</v>
      </c>
      <c r="K133" s="185">
        <v>0</v>
      </c>
      <c r="L133" s="185">
        <v>0</v>
      </c>
      <c r="M133" s="185">
        <v>0</v>
      </c>
      <c r="N133" s="185">
        <v>0</v>
      </c>
      <c r="O133" s="185">
        <v>0</v>
      </c>
      <c r="P133" s="185">
        <v>0</v>
      </c>
      <c r="Q133" s="186"/>
      <c r="R133" s="187"/>
    </row>
    <row r="134" spans="1:18" ht="24" x14ac:dyDescent="0.2">
      <c r="A134" s="182">
        <v>124</v>
      </c>
      <c r="B134" s="97" t="s">
        <v>334</v>
      </c>
      <c r="C134" s="86" t="s">
        <v>440</v>
      </c>
      <c r="D134" s="185">
        <f t="shared" si="6"/>
        <v>0</v>
      </c>
      <c r="E134" s="185">
        <v>0</v>
      </c>
      <c r="F134" s="185">
        <v>0</v>
      </c>
      <c r="G134" s="185">
        <v>0</v>
      </c>
      <c r="H134" s="185">
        <v>0</v>
      </c>
      <c r="I134" s="185">
        <v>0</v>
      </c>
      <c r="J134" s="185">
        <v>0</v>
      </c>
      <c r="K134" s="185">
        <v>0</v>
      </c>
      <c r="L134" s="185">
        <v>0</v>
      </c>
      <c r="M134" s="185">
        <v>0</v>
      </c>
      <c r="N134" s="185">
        <v>0</v>
      </c>
      <c r="O134" s="185">
        <v>0</v>
      </c>
      <c r="P134" s="185">
        <v>0</v>
      </c>
      <c r="Q134" s="186"/>
      <c r="R134" s="187"/>
    </row>
    <row r="135" spans="1:18" ht="24" x14ac:dyDescent="0.2">
      <c r="A135" s="182">
        <v>125</v>
      </c>
      <c r="B135" s="97" t="s">
        <v>336</v>
      </c>
      <c r="C135" s="86" t="s">
        <v>441</v>
      </c>
      <c r="D135" s="185">
        <f t="shared" si="6"/>
        <v>0</v>
      </c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6"/>
      <c r="R135" s="187"/>
    </row>
    <row r="136" spans="1:18" ht="12.75" x14ac:dyDescent="0.2">
      <c r="A136" s="182">
        <v>126</v>
      </c>
      <c r="B136" s="188" t="s">
        <v>148</v>
      </c>
      <c r="C136" s="190" t="s">
        <v>442</v>
      </c>
      <c r="D136" s="185">
        <f t="shared" si="6"/>
        <v>12</v>
      </c>
      <c r="E136" s="185">
        <v>12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6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6"/>
      <c r="R136" s="187"/>
    </row>
    <row r="137" spans="1:18" x14ac:dyDescent="0.2">
      <c r="A137" s="182">
        <v>127</v>
      </c>
      <c r="B137" s="103" t="s">
        <v>338</v>
      </c>
      <c r="C137" s="104" t="s">
        <v>339</v>
      </c>
      <c r="D137" s="185">
        <f t="shared" si="6"/>
        <v>0</v>
      </c>
      <c r="E137" s="185">
        <v>0</v>
      </c>
      <c r="F137" s="185">
        <v>0</v>
      </c>
      <c r="G137" s="185">
        <v>0</v>
      </c>
      <c r="H137" s="185">
        <v>0</v>
      </c>
      <c r="I137" s="185">
        <v>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6"/>
      <c r="R137" s="187"/>
    </row>
    <row r="138" spans="1:18" x14ac:dyDescent="0.2">
      <c r="A138" s="182">
        <v>128</v>
      </c>
      <c r="B138" s="97" t="s">
        <v>340</v>
      </c>
      <c r="C138" s="86" t="s">
        <v>341</v>
      </c>
      <c r="D138" s="185">
        <f t="shared" si="6"/>
        <v>0</v>
      </c>
      <c r="E138" s="185">
        <v>0</v>
      </c>
      <c r="F138" s="185">
        <v>0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0</v>
      </c>
      <c r="M138" s="185">
        <v>0</v>
      </c>
      <c r="N138" s="185">
        <v>0</v>
      </c>
      <c r="O138" s="185">
        <v>0</v>
      </c>
      <c r="P138" s="185">
        <v>0</v>
      </c>
      <c r="Q138" s="186"/>
      <c r="R138" s="187"/>
    </row>
    <row r="139" spans="1:18" ht="12.75" x14ac:dyDescent="0.2">
      <c r="A139" s="182">
        <v>129</v>
      </c>
      <c r="B139" s="183" t="s">
        <v>193</v>
      </c>
      <c r="C139" s="184" t="s">
        <v>443</v>
      </c>
      <c r="D139" s="185">
        <f t="shared" si="6"/>
        <v>0</v>
      </c>
      <c r="E139" s="185">
        <v>0</v>
      </c>
      <c r="F139" s="185">
        <v>0</v>
      </c>
      <c r="G139" s="185">
        <v>0</v>
      </c>
      <c r="H139" s="185">
        <v>0</v>
      </c>
      <c r="I139" s="185">
        <v>0</v>
      </c>
      <c r="J139" s="185">
        <v>0</v>
      </c>
      <c r="K139" s="185"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6"/>
      <c r="R139" s="187"/>
    </row>
    <row r="140" spans="1:18" x14ac:dyDescent="0.2">
      <c r="A140" s="182">
        <v>130</v>
      </c>
      <c r="B140" s="94" t="s">
        <v>194</v>
      </c>
      <c r="C140" s="82" t="s">
        <v>444</v>
      </c>
      <c r="D140" s="185">
        <f t="shared" ref="D140:D158" si="7">E140+F140+G140+H140+I140+J140</f>
        <v>0</v>
      </c>
      <c r="E140" s="185">
        <v>0</v>
      </c>
      <c r="F140" s="185"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6"/>
      <c r="R140" s="187"/>
    </row>
    <row r="141" spans="1:18" ht="12.75" x14ac:dyDescent="0.2">
      <c r="A141" s="182">
        <v>131</v>
      </c>
      <c r="B141" s="189" t="s">
        <v>195</v>
      </c>
      <c r="C141" s="190" t="s">
        <v>445</v>
      </c>
      <c r="D141" s="185">
        <f t="shared" si="7"/>
        <v>0</v>
      </c>
      <c r="E141" s="185">
        <v>0</v>
      </c>
      <c r="F141" s="185">
        <v>0</v>
      </c>
      <c r="G141" s="185">
        <v>0</v>
      </c>
      <c r="H141" s="185">
        <v>0</v>
      </c>
      <c r="I141" s="185">
        <v>0</v>
      </c>
      <c r="J141" s="185">
        <v>0</v>
      </c>
      <c r="K141" s="185"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6"/>
      <c r="R141" s="187"/>
    </row>
    <row r="142" spans="1:18" x14ac:dyDescent="0.2">
      <c r="A142" s="182">
        <v>132</v>
      </c>
      <c r="B142" s="97" t="s">
        <v>446</v>
      </c>
      <c r="C142" s="86" t="s">
        <v>447</v>
      </c>
      <c r="D142" s="185">
        <f t="shared" si="7"/>
        <v>0</v>
      </c>
      <c r="E142" s="185">
        <v>0</v>
      </c>
      <c r="F142" s="185">
        <v>0</v>
      </c>
      <c r="G142" s="185">
        <v>0</v>
      </c>
      <c r="H142" s="185">
        <v>0</v>
      </c>
      <c r="I142" s="185">
        <v>0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6"/>
      <c r="R142" s="187"/>
    </row>
    <row r="143" spans="1:18" ht="12.75" x14ac:dyDescent="0.2">
      <c r="A143" s="182">
        <v>133</v>
      </c>
      <c r="B143" s="189" t="s">
        <v>15</v>
      </c>
      <c r="C143" s="190" t="s">
        <v>448</v>
      </c>
      <c r="D143" s="185">
        <f t="shared" si="7"/>
        <v>620</v>
      </c>
      <c r="E143" s="185">
        <v>0</v>
      </c>
      <c r="F143" s="185">
        <v>0</v>
      </c>
      <c r="G143" s="185">
        <v>0</v>
      </c>
      <c r="H143" s="185">
        <v>0</v>
      </c>
      <c r="I143" s="185">
        <v>620</v>
      </c>
      <c r="J143" s="185">
        <v>0</v>
      </c>
      <c r="K143" s="185">
        <v>0</v>
      </c>
      <c r="L143" s="185">
        <v>0</v>
      </c>
      <c r="M143" s="185">
        <v>0</v>
      </c>
      <c r="N143" s="185">
        <v>0</v>
      </c>
      <c r="O143" s="185">
        <f>0+620</f>
        <v>620</v>
      </c>
      <c r="P143" s="185">
        <v>0</v>
      </c>
      <c r="Q143" s="186"/>
      <c r="R143" s="187"/>
    </row>
    <row r="144" spans="1:18" ht="12.75" x14ac:dyDescent="0.2">
      <c r="A144" s="182">
        <v>134</v>
      </c>
      <c r="B144" s="189" t="s">
        <v>342</v>
      </c>
      <c r="C144" s="190" t="s">
        <v>343</v>
      </c>
      <c r="D144" s="185">
        <f t="shared" si="7"/>
        <v>0</v>
      </c>
      <c r="E144" s="185">
        <v>0</v>
      </c>
      <c r="F144" s="185">
        <v>0</v>
      </c>
      <c r="G144" s="185">
        <v>0</v>
      </c>
      <c r="H144" s="185">
        <v>0</v>
      </c>
      <c r="I144" s="185">
        <v>0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185">
        <v>0</v>
      </c>
      <c r="Q144" s="186"/>
      <c r="R144" s="187"/>
    </row>
    <row r="145" spans="1:18" ht="12.75" x14ac:dyDescent="0.2">
      <c r="A145" s="182">
        <v>135</v>
      </c>
      <c r="B145" s="189" t="s">
        <v>14</v>
      </c>
      <c r="C145" s="190" t="s">
        <v>13</v>
      </c>
      <c r="D145" s="185">
        <f t="shared" si="7"/>
        <v>0</v>
      </c>
      <c r="E145" s="185">
        <v>0</v>
      </c>
      <c r="F145" s="185">
        <v>0</v>
      </c>
      <c r="G145" s="185">
        <v>0</v>
      </c>
      <c r="H145" s="185">
        <v>0</v>
      </c>
      <c r="I145" s="185">
        <v>0</v>
      </c>
      <c r="J145" s="185">
        <v>0</v>
      </c>
      <c r="K145" s="185">
        <v>0</v>
      </c>
      <c r="L145" s="185">
        <v>0</v>
      </c>
      <c r="M145" s="185">
        <v>0</v>
      </c>
      <c r="N145" s="185">
        <v>0</v>
      </c>
      <c r="O145" s="185">
        <v>0</v>
      </c>
      <c r="P145" s="185">
        <v>0</v>
      </c>
      <c r="Q145" s="186"/>
      <c r="R145" s="187"/>
    </row>
    <row r="146" spans="1:18" ht="12.75" x14ac:dyDescent="0.2">
      <c r="A146" s="182">
        <v>136</v>
      </c>
      <c r="B146" s="183" t="s">
        <v>10</v>
      </c>
      <c r="C146" s="184" t="s">
        <v>7</v>
      </c>
      <c r="D146" s="185">
        <f t="shared" si="7"/>
        <v>2123</v>
      </c>
      <c r="E146" s="185">
        <v>0</v>
      </c>
      <c r="F146" s="185">
        <v>0</v>
      </c>
      <c r="G146" s="185">
        <v>0</v>
      </c>
      <c r="H146" s="185">
        <v>0</v>
      </c>
      <c r="I146" s="185">
        <v>0</v>
      </c>
      <c r="J146" s="185">
        <f>2654-531</f>
        <v>2123</v>
      </c>
      <c r="K146" s="185">
        <v>0</v>
      </c>
      <c r="L146" s="185">
        <v>0</v>
      </c>
      <c r="M146" s="185">
        <v>0</v>
      </c>
      <c r="N146" s="185">
        <v>0</v>
      </c>
      <c r="O146" s="185">
        <v>0</v>
      </c>
      <c r="P146" s="185">
        <f>3214-2967</f>
        <v>247</v>
      </c>
      <c r="Q146" s="186"/>
      <c r="R146" s="187"/>
    </row>
    <row r="147" spans="1:18" ht="12.75" x14ac:dyDescent="0.2">
      <c r="A147" s="182">
        <v>137</v>
      </c>
      <c r="B147" s="189" t="s">
        <v>196</v>
      </c>
      <c r="C147" s="190" t="s">
        <v>449</v>
      </c>
      <c r="D147" s="185">
        <f t="shared" si="7"/>
        <v>0</v>
      </c>
      <c r="E147" s="185">
        <v>0</v>
      </c>
      <c r="F147" s="185">
        <v>0</v>
      </c>
      <c r="G147" s="185">
        <v>0</v>
      </c>
      <c r="H147" s="185">
        <v>0</v>
      </c>
      <c r="I147" s="185">
        <v>0</v>
      </c>
      <c r="J147" s="185">
        <v>0</v>
      </c>
      <c r="K147" s="185">
        <v>0</v>
      </c>
      <c r="L147" s="185">
        <v>0</v>
      </c>
      <c r="M147" s="185">
        <v>0</v>
      </c>
      <c r="N147" s="185">
        <v>0</v>
      </c>
      <c r="O147" s="185">
        <v>0</v>
      </c>
      <c r="P147" s="185">
        <v>0</v>
      </c>
      <c r="Q147" s="186"/>
      <c r="R147" s="187"/>
    </row>
    <row r="148" spans="1:18" ht="12.75" x14ac:dyDescent="0.2">
      <c r="A148" s="182">
        <v>138</v>
      </c>
      <c r="B148" s="183" t="s">
        <v>149</v>
      </c>
      <c r="C148" s="190" t="s">
        <v>150</v>
      </c>
      <c r="D148" s="185">
        <f t="shared" si="7"/>
        <v>0</v>
      </c>
      <c r="E148" s="185">
        <v>0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0</v>
      </c>
      <c r="P148" s="185">
        <v>0</v>
      </c>
      <c r="Q148" s="186"/>
      <c r="R148" s="187"/>
    </row>
    <row r="149" spans="1:18" ht="12.75" x14ac:dyDescent="0.2">
      <c r="A149" s="182">
        <v>139</v>
      </c>
      <c r="B149" s="191" t="s">
        <v>151</v>
      </c>
      <c r="C149" s="192" t="s">
        <v>152</v>
      </c>
      <c r="D149" s="185">
        <f t="shared" si="7"/>
        <v>0</v>
      </c>
      <c r="E149" s="185">
        <v>0</v>
      </c>
      <c r="F149" s="185">
        <v>0</v>
      </c>
      <c r="G149" s="185">
        <v>0</v>
      </c>
      <c r="H149" s="185">
        <v>0</v>
      </c>
      <c r="I149" s="185">
        <v>0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185">
        <v>0</v>
      </c>
      <c r="Q149" s="186"/>
      <c r="R149" s="187"/>
    </row>
    <row r="150" spans="1:18" ht="12.75" x14ac:dyDescent="0.2">
      <c r="A150" s="182">
        <v>140</v>
      </c>
      <c r="B150" s="189" t="s">
        <v>344</v>
      </c>
      <c r="C150" s="190" t="s">
        <v>345</v>
      </c>
      <c r="D150" s="185">
        <f t="shared" si="7"/>
        <v>0</v>
      </c>
      <c r="E150" s="185">
        <v>0</v>
      </c>
      <c r="F150" s="185">
        <v>0</v>
      </c>
      <c r="G150" s="185">
        <v>0</v>
      </c>
      <c r="H150" s="185">
        <v>0</v>
      </c>
      <c r="I150" s="185">
        <v>0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185">
        <v>0</v>
      </c>
      <c r="Q150" s="186"/>
      <c r="R150" s="187"/>
    </row>
    <row r="151" spans="1:18" ht="12.75" x14ac:dyDescent="0.2">
      <c r="A151" s="182">
        <v>141</v>
      </c>
      <c r="B151" s="189" t="s">
        <v>197</v>
      </c>
      <c r="C151" s="190" t="s">
        <v>198</v>
      </c>
      <c r="D151" s="185">
        <f t="shared" si="7"/>
        <v>0</v>
      </c>
      <c r="E151" s="185">
        <v>0</v>
      </c>
      <c r="F151" s="185">
        <v>0</v>
      </c>
      <c r="G151" s="185">
        <v>0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6"/>
      <c r="R151" s="187"/>
    </row>
    <row r="152" spans="1:18" ht="12.75" x14ac:dyDescent="0.2">
      <c r="A152" s="182">
        <v>142</v>
      </c>
      <c r="B152" s="189" t="s">
        <v>346</v>
      </c>
      <c r="C152" s="190" t="s">
        <v>347</v>
      </c>
      <c r="D152" s="185">
        <f t="shared" si="7"/>
        <v>2267</v>
      </c>
      <c r="E152" s="185">
        <v>0</v>
      </c>
      <c r="F152" s="185">
        <v>0</v>
      </c>
      <c r="G152" s="185">
        <v>0</v>
      </c>
      <c r="H152" s="185">
        <v>0</v>
      </c>
      <c r="I152" s="185">
        <v>2267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1134</v>
      </c>
      <c r="P152" s="185">
        <v>0</v>
      </c>
      <c r="Q152" s="186"/>
      <c r="R152" s="187"/>
    </row>
    <row r="153" spans="1:18" ht="12.75" x14ac:dyDescent="0.2">
      <c r="A153" s="182">
        <v>143</v>
      </c>
      <c r="B153" s="191" t="s">
        <v>12</v>
      </c>
      <c r="C153" s="192" t="s">
        <v>2</v>
      </c>
      <c r="D153" s="185">
        <f t="shared" si="7"/>
        <v>0</v>
      </c>
      <c r="E153" s="185">
        <v>0</v>
      </c>
      <c r="F153" s="185">
        <v>0</v>
      </c>
      <c r="G153" s="185">
        <v>0</v>
      </c>
      <c r="H153" s="185">
        <v>0</v>
      </c>
      <c r="I153" s="185">
        <v>0</v>
      </c>
      <c r="J153" s="185">
        <v>0</v>
      </c>
      <c r="K153" s="185">
        <v>0</v>
      </c>
      <c r="L153" s="185">
        <v>0</v>
      </c>
      <c r="M153" s="185">
        <v>0</v>
      </c>
      <c r="N153" s="185">
        <v>0</v>
      </c>
      <c r="O153" s="185">
        <v>0</v>
      </c>
      <c r="P153" s="185">
        <v>0</v>
      </c>
      <c r="Q153" s="186"/>
      <c r="R153" s="187"/>
    </row>
    <row r="154" spans="1:18" ht="12.75" x14ac:dyDescent="0.2">
      <c r="A154" s="182">
        <v>144</v>
      </c>
      <c r="B154" s="188" t="s">
        <v>3</v>
      </c>
      <c r="C154" s="192" t="s">
        <v>450</v>
      </c>
      <c r="D154" s="185">
        <f t="shared" si="7"/>
        <v>884</v>
      </c>
      <c r="E154" s="185">
        <v>0</v>
      </c>
      <c r="F154" s="185">
        <v>0</v>
      </c>
      <c r="G154" s="185">
        <v>430</v>
      </c>
      <c r="H154" s="185">
        <v>454</v>
      </c>
      <c r="I154" s="185">
        <v>0</v>
      </c>
      <c r="J154" s="185">
        <v>0</v>
      </c>
      <c r="K154" s="185">
        <v>0</v>
      </c>
      <c r="L154" s="185">
        <v>0</v>
      </c>
      <c r="M154" s="185">
        <v>215</v>
      </c>
      <c r="N154" s="185">
        <v>227</v>
      </c>
      <c r="O154" s="185">
        <v>0</v>
      </c>
      <c r="P154" s="185">
        <v>0</v>
      </c>
      <c r="Q154" s="186"/>
      <c r="R154" s="187"/>
    </row>
    <row r="155" spans="1:18" ht="12.75" x14ac:dyDescent="0.2">
      <c r="A155" s="182">
        <v>145</v>
      </c>
      <c r="B155" s="189" t="s">
        <v>11</v>
      </c>
      <c r="C155" s="190" t="s">
        <v>8</v>
      </c>
      <c r="D155" s="185">
        <f t="shared" si="7"/>
        <v>0</v>
      </c>
      <c r="E155" s="185">
        <v>0</v>
      </c>
      <c r="F155" s="185">
        <v>0</v>
      </c>
      <c r="G155" s="185">
        <v>0</v>
      </c>
      <c r="H155" s="185">
        <v>0</v>
      </c>
      <c r="I155" s="185">
        <v>0</v>
      </c>
      <c r="J155" s="185">
        <v>0</v>
      </c>
      <c r="K155" s="185">
        <v>0</v>
      </c>
      <c r="L155" s="185">
        <v>0</v>
      </c>
      <c r="M155" s="185">
        <v>0</v>
      </c>
      <c r="N155" s="185">
        <v>0</v>
      </c>
      <c r="O155" s="185">
        <v>0</v>
      </c>
      <c r="P155" s="185">
        <v>0</v>
      </c>
      <c r="Q155" s="186"/>
      <c r="R155" s="187"/>
    </row>
    <row r="156" spans="1:18" ht="12.75" x14ac:dyDescent="0.2">
      <c r="A156" s="182">
        <v>146</v>
      </c>
      <c r="B156" s="183" t="s">
        <v>200</v>
      </c>
      <c r="C156" s="184" t="s">
        <v>201</v>
      </c>
      <c r="D156" s="185">
        <f t="shared" si="7"/>
        <v>12716</v>
      </c>
      <c r="E156" s="185">
        <v>0</v>
      </c>
      <c r="F156" s="185">
        <v>0</v>
      </c>
      <c r="G156" s="185">
        <v>0</v>
      </c>
      <c r="H156" s="185">
        <v>0</v>
      </c>
      <c r="I156" s="185">
        <v>8442</v>
      </c>
      <c r="J156" s="185">
        <v>4274</v>
      </c>
      <c r="K156" s="185">
        <v>0</v>
      </c>
      <c r="L156" s="185">
        <v>0</v>
      </c>
      <c r="M156" s="185">
        <v>0</v>
      </c>
      <c r="N156" s="185">
        <v>0</v>
      </c>
      <c r="O156" s="185">
        <v>4221</v>
      </c>
      <c r="P156" s="185">
        <v>2137</v>
      </c>
      <c r="Q156" s="186"/>
      <c r="R156" s="187"/>
    </row>
    <row r="157" spans="1:18" x14ac:dyDescent="0.2">
      <c r="A157" s="182">
        <v>147</v>
      </c>
      <c r="B157" s="85" t="s">
        <v>202</v>
      </c>
      <c r="C157" s="82" t="s">
        <v>451</v>
      </c>
      <c r="D157" s="185">
        <f t="shared" si="7"/>
        <v>0</v>
      </c>
      <c r="E157" s="185">
        <v>0</v>
      </c>
      <c r="F157" s="185">
        <v>0</v>
      </c>
      <c r="G157" s="185">
        <v>0</v>
      </c>
      <c r="H157" s="185">
        <v>0</v>
      </c>
      <c r="I157" s="185">
        <v>0</v>
      </c>
      <c r="J157" s="185">
        <v>0</v>
      </c>
      <c r="K157" s="185">
        <v>0</v>
      </c>
      <c r="L157" s="185">
        <v>0</v>
      </c>
      <c r="M157" s="185">
        <v>0</v>
      </c>
      <c r="N157" s="185">
        <v>0</v>
      </c>
      <c r="O157" s="185">
        <v>0</v>
      </c>
      <c r="P157" s="185">
        <v>0</v>
      </c>
      <c r="Q157" s="186"/>
      <c r="R157" s="187"/>
    </row>
    <row r="158" spans="1:18" ht="12.75" x14ac:dyDescent="0.2">
      <c r="A158" s="182">
        <v>148</v>
      </c>
      <c r="B158" s="107" t="s">
        <v>348</v>
      </c>
      <c r="C158" s="108" t="s">
        <v>349</v>
      </c>
      <c r="D158" s="185">
        <f t="shared" si="7"/>
        <v>0</v>
      </c>
      <c r="E158" s="185">
        <v>0</v>
      </c>
      <c r="F158" s="185">
        <v>0</v>
      </c>
      <c r="G158" s="185">
        <v>0</v>
      </c>
      <c r="H158" s="185">
        <v>0</v>
      </c>
      <c r="I158" s="185">
        <v>0</v>
      </c>
      <c r="J158" s="185">
        <v>0</v>
      </c>
      <c r="K158" s="185">
        <v>0</v>
      </c>
      <c r="L158" s="185">
        <v>0</v>
      </c>
      <c r="M158" s="185">
        <v>0</v>
      </c>
      <c r="N158" s="185">
        <v>0</v>
      </c>
      <c r="O158" s="185">
        <v>0</v>
      </c>
      <c r="P158" s="185">
        <v>0</v>
      </c>
      <c r="Q158" s="186"/>
      <c r="R158" s="187"/>
    </row>
    <row r="159" spans="1:18" x14ac:dyDescent="0.2">
      <c r="E159" s="202"/>
    </row>
    <row r="163" spans="4:16" x14ac:dyDescent="0.2"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</row>
    <row r="165" spans="4:16" x14ac:dyDescent="0.2">
      <c r="I165" s="186"/>
      <c r="J165" s="186"/>
    </row>
  </sheetData>
  <mergeCells count="24">
    <mergeCell ref="A1:P1"/>
    <mergeCell ref="A2:A6"/>
    <mergeCell ref="B2:B6"/>
    <mergeCell ref="C2:C6"/>
    <mergeCell ref="D2:J2"/>
    <mergeCell ref="K2:P2"/>
    <mergeCell ref="D3:D6"/>
    <mergeCell ref="E3:J3"/>
    <mergeCell ref="K3:P3"/>
    <mergeCell ref="E4:F4"/>
    <mergeCell ref="O5:P5"/>
    <mergeCell ref="K4:L4"/>
    <mergeCell ref="M4:N4"/>
    <mergeCell ref="O4:P4"/>
    <mergeCell ref="K5:L5"/>
    <mergeCell ref="M5:N5"/>
    <mergeCell ref="A8:C8"/>
    <mergeCell ref="A9:C9"/>
    <mergeCell ref="A10:C10"/>
    <mergeCell ref="G4:H4"/>
    <mergeCell ref="I4:J4"/>
    <mergeCell ref="E5:F5"/>
    <mergeCell ref="G5:H5"/>
    <mergeCell ref="I5:J5"/>
  </mergeCells>
  <pageMargins left="0.45" right="0.11811023622047245" top="0.15748031496062992" bottom="0.15748031496062992" header="0.31496062992125984" footer="0.31496062992125984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2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S1" sqref="S1:T1048576"/>
    </sheetView>
  </sheetViews>
  <sheetFormatPr defaultRowHeight="12" x14ac:dyDescent="0.2"/>
  <cols>
    <col min="1" max="1" width="5" style="186" customWidth="1"/>
    <col min="2" max="2" width="7.7109375" style="186" customWidth="1"/>
    <col min="3" max="3" width="30.85546875" style="186" customWidth="1"/>
    <col min="4" max="4" width="13.28515625" style="186" customWidth="1"/>
    <col min="5" max="7" width="10.7109375" style="186" customWidth="1"/>
    <col min="8" max="8" width="12.28515625" style="186" customWidth="1"/>
    <col min="9" max="9" width="12.140625" style="186" customWidth="1"/>
    <col min="10" max="12" width="10.7109375" style="186" customWidth="1"/>
    <col min="13" max="13" width="13" style="186" customWidth="1"/>
    <col min="14" max="16384" width="9.140625" style="186"/>
  </cols>
  <sheetData>
    <row r="1" spans="1:15" ht="51" customHeight="1" x14ac:dyDescent="0.2">
      <c r="A1" s="770" t="s">
        <v>479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</row>
    <row r="2" spans="1:15" ht="42.75" customHeight="1" x14ac:dyDescent="0.2">
      <c r="A2" s="771" t="s">
        <v>0</v>
      </c>
      <c r="B2" s="772" t="s">
        <v>351</v>
      </c>
      <c r="C2" s="771" t="s">
        <v>352</v>
      </c>
      <c r="D2" s="775" t="s">
        <v>480</v>
      </c>
      <c r="E2" s="776"/>
      <c r="F2" s="776"/>
      <c r="G2" s="776"/>
      <c r="H2" s="777"/>
      <c r="I2" s="778" t="s">
        <v>481</v>
      </c>
      <c r="J2" s="779"/>
      <c r="K2" s="779"/>
      <c r="L2" s="779"/>
      <c r="M2" s="780"/>
    </row>
    <row r="3" spans="1:15" ht="15" customHeight="1" x14ac:dyDescent="0.2">
      <c r="A3" s="771"/>
      <c r="B3" s="773"/>
      <c r="C3" s="771"/>
      <c r="D3" s="764" t="s">
        <v>1</v>
      </c>
      <c r="E3" s="775" t="s">
        <v>16</v>
      </c>
      <c r="F3" s="776"/>
      <c r="G3" s="776"/>
      <c r="H3" s="777"/>
      <c r="I3" s="781"/>
      <c r="J3" s="782"/>
      <c r="K3" s="782"/>
      <c r="L3" s="782"/>
      <c r="M3" s="783"/>
    </row>
    <row r="4" spans="1:15" ht="39.75" customHeight="1" x14ac:dyDescent="0.2">
      <c r="A4" s="771"/>
      <c r="B4" s="773"/>
      <c r="C4" s="771"/>
      <c r="D4" s="765"/>
      <c r="E4" s="784" t="s">
        <v>454</v>
      </c>
      <c r="F4" s="768"/>
      <c r="G4" s="767" t="s">
        <v>455</v>
      </c>
      <c r="H4" s="768"/>
      <c r="I4" s="764" t="s">
        <v>1</v>
      </c>
      <c r="J4" s="767" t="s">
        <v>454</v>
      </c>
      <c r="K4" s="768"/>
      <c r="L4" s="767" t="s">
        <v>455</v>
      </c>
      <c r="M4" s="768"/>
    </row>
    <row r="5" spans="1:15" ht="28.5" customHeight="1" x14ac:dyDescent="0.2">
      <c r="A5" s="771"/>
      <c r="B5" s="773"/>
      <c r="C5" s="771"/>
      <c r="D5" s="765"/>
      <c r="E5" s="767" t="s">
        <v>217</v>
      </c>
      <c r="F5" s="768"/>
      <c r="G5" s="769" t="s">
        <v>217</v>
      </c>
      <c r="H5" s="769"/>
      <c r="I5" s="765"/>
      <c r="J5" s="769" t="s">
        <v>217</v>
      </c>
      <c r="K5" s="769"/>
      <c r="L5" s="769" t="s">
        <v>217</v>
      </c>
      <c r="M5" s="769"/>
    </row>
    <row r="6" spans="1:15" ht="34.5" customHeight="1" x14ac:dyDescent="0.2">
      <c r="A6" s="771"/>
      <c r="B6" s="774"/>
      <c r="C6" s="771"/>
      <c r="D6" s="766"/>
      <c r="E6" s="203" t="s">
        <v>218</v>
      </c>
      <c r="F6" s="204" t="s">
        <v>219</v>
      </c>
      <c r="G6" s="205" t="s">
        <v>218</v>
      </c>
      <c r="H6" s="204" t="s">
        <v>219</v>
      </c>
      <c r="I6" s="766"/>
      <c r="J6" s="205" t="s">
        <v>218</v>
      </c>
      <c r="K6" s="204" t="s">
        <v>219</v>
      </c>
      <c r="L6" s="205" t="s">
        <v>218</v>
      </c>
      <c r="M6" s="204" t="s">
        <v>219</v>
      </c>
    </row>
    <row r="7" spans="1:15" s="180" customFormat="1" ht="11.25" x14ac:dyDescent="0.2">
      <c r="A7" s="206">
        <v>1</v>
      </c>
      <c r="B7" s="206">
        <v>2</v>
      </c>
      <c r="C7" s="206">
        <v>3</v>
      </c>
      <c r="D7" s="206">
        <v>4</v>
      </c>
      <c r="E7" s="206">
        <v>5</v>
      </c>
      <c r="F7" s="206">
        <v>6</v>
      </c>
      <c r="G7" s="206">
        <v>7</v>
      </c>
      <c r="H7" s="206">
        <v>8</v>
      </c>
      <c r="I7" s="206">
        <v>9</v>
      </c>
      <c r="J7" s="206">
        <v>10</v>
      </c>
      <c r="K7" s="206">
        <v>11</v>
      </c>
      <c r="L7" s="206">
        <v>12</v>
      </c>
      <c r="M7" s="206">
        <v>13</v>
      </c>
    </row>
    <row r="8" spans="1:15" s="180" customFormat="1" x14ac:dyDescent="0.2">
      <c r="A8" s="740" t="s">
        <v>1</v>
      </c>
      <c r="B8" s="740"/>
      <c r="C8" s="740"/>
      <c r="D8" s="178">
        <f>E8+F8+G8+H8</f>
        <v>138667</v>
      </c>
      <c r="E8" s="179">
        <f t="shared" ref="E8:H8" si="0">E9+E10</f>
        <v>3863</v>
      </c>
      <c r="F8" s="179">
        <f t="shared" si="0"/>
        <v>36405</v>
      </c>
      <c r="G8" s="179">
        <f t="shared" si="0"/>
        <v>64974</v>
      </c>
      <c r="H8" s="179">
        <f t="shared" si="0"/>
        <v>33425</v>
      </c>
      <c r="I8" s="178">
        <f>J8+K8+L8+M8</f>
        <v>86955</v>
      </c>
      <c r="J8" s="179">
        <f t="shared" ref="J8:M8" si="1">J9+J10</f>
        <v>2380</v>
      </c>
      <c r="K8" s="179">
        <f t="shared" si="1"/>
        <v>20139</v>
      </c>
      <c r="L8" s="179">
        <f t="shared" si="1"/>
        <v>45131</v>
      </c>
      <c r="M8" s="179">
        <f t="shared" si="1"/>
        <v>19305</v>
      </c>
    </row>
    <row r="9" spans="1:15" s="180" customFormat="1" x14ac:dyDescent="0.2">
      <c r="A9" s="741" t="s">
        <v>17</v>
      </c>
      <c r="B9" s="742"/>
      <c r="C9" s="743"/>
      <c r="D9" s="178">
        <f t="shared" ref="D9:D10" si="2">E9+F9+G9+H9</f>
        <v>0</v>
      </c>
      <c r="E9" s="179">
        <v>0</v>
      </c>
      <c r="F9" s="179">
        <v>0</v>
      </c>
      <c r="G9" s="179">
        <v>0</v>
      </c>
      <c r="H9" s="179">
        <v>0</v>
      </c>
      <c r="I9" s="178">
        <f t="shared" ref="I9:I10" si="3">J9+K9+L9+M9</f>
        <v>0</v>
      </c>
      <c r="J9" s="179">
        <v>0</v>
      </c>
      <c r="K9" s="179">
        <v>0</v>
      </c>
      <c r="L9" s="179">
        <v>0</v>
      </c>
      <c r="M9" s="179">
        <v>0</v>
      </c>
    </row>
    <row r="10" spans="1:15" s="180" customFormat="1" x14ac:dyDescent="0.2">
      <c r="A10" s="741" t="s">
        <v>18</v>
      </c>
      <c r="B10" s="742"/>
      <c r="C10" s="743"/>
      <c r="D10" s="178">
        <f t="shared" si="2"/>
        <v>138667</v>
      </c>
      <c r="E10" s="179">
        <f t="shared" ref="E10:H10" si="4">SUM(E11:E158)</f>
        <v>3863</v>
      </c>
      <c r="F10" s="179">
        <f t="shared" si="4"/>
        <v>36405</v>
      </c>
      <c r="G10" s="179">
        <f t="shared" si="4"/>
        <v>64974</v>
      </c>
      <c r="H10" s="179">
        <f t="shared" si="4"/>
        <v>33425</v>
      </c>
      <c r="I10" s="178">
        <f t="shared" si="3"/>
        <v>86955</v>
      </c>
      <c r="J10" s="179">
        <f t="shared" ref="J10:M10" si="5">SUM(J11:J158)</f>
        <v>2380</v>
      </c>
      <c r="K10" s="179">
        <f t="shared" si="5"/>
        <v>20139</v>
      </c>
      <c r="L10" s="179">
        <f t="shared" si="5"/>
        <v>45131</v>
      </c>
      <c r="M10" s="179">
        <f t="shared" si="5"/>
        <v>19305</v>
      </c>
    </row>
    <row r="11" spans="1:15" ht="12.75" x14ac:dyDescent="0.2">
      <c r="A11" s="207">
        <v>1</v>
      </c>
      <c r="B11" s="208" t="s">
        <v>19</v>
      </c>
      <c r="C11" s="209" t="s">
        <v>20</v>
      </c>
      <c r="D11" s="185">
        <f>E11+F11+G11+H11</f>
        <v>0</v>
      </c>
      <c r="E11" s="185">
        <v>0</v>
      </c>
      <c r="F11" s="185">
        <v>0</v>
      </c>
      <c r="G11" s="185">
        <v>0</v>
      </c>
      <c r="H11" s="185">
        <v>0</v>
      </c>
      <c r="I11" s="185">
        <f>J11+K11+L11+M11</f>
        <v>0</v>
      </c>
      <c r="J11" s="185">
        <v>0</v>
      </c>
      <c r="K11" s="185">
        <v>0</v>
      </c>
      <c r="L11" s="185">
        <v>0</v>
      </c>
      <c r="M11" s="185">
        <v>0</v>
      </c>
      <c r="O11" s="187"/>
    </row>
    <row r="12" spans="1:15" ht="12.75" x14ac:dyDescent="0.2">
      <c r="A12" s="207">
        <v>2</v>
      </c>
      <c r="B12" s="208" t="s">
        <v>21</v>
      </c>
      <c r="C12" s="209" t="s">
        <v>456</v>
      </c>
      <c r="D12" s="185">
        <f t="shared" ref="D12:D75" si="6">E12+F12+G12+H12</f>
        <v>0</v>
      </c>
      <c r="E12" s="185">
        <v>0</v>
      </c>
      <c r="F12" s="185">
        <v>0</v>
      </c>
      <c r="G12" s="185">
        <v>0</v>
      </c>
      <c r="H12" s="185">
        <v>0</v>
      </c>
      <c r="I12" s="185">
        <f t="shared" ref="I12:I75" si="7">J12+K12+L12+M12</f>
        <v>0</v>
      </c>
      <c r="J12" s="185">
        <v>0</v>
      </c>
      <c r="K12" s="185">
        <v>0</v>
      </c>
      <c r="L12" s="185">
        <v>0</v>
      </c>
      <c r="M12" s="185">
        <v>0</v>
      </c>
      <c r="O12" s="187"/>
    </row>
    <row r="13" spans="1:15" ht="12.75" x14ac:dyDescent="0.2">
      <c r="A13" s="207">
        <v>3</v>
      </c>
      <c r="B13" s="210" t="s">
        <v>22</v>
      </c>
      <c r="C13" s="211" t="s">
        <v>23</v>
      </c>
      <c r="D13" s="185">
        <f t="shared" si="6"/>
        <v>0</v>
      </c>
      <c r="E13" s="185">
        <v>0</v>
      </c>
      <c r="F13" s="185">
        <v>0</v>
      </c>
      <c r="G13" s="185">
        <v>0</v>
      </c>
      <c r="H13" s="185">
        <v>0</v>
      </c>
      <c r="I13" s="185">
        <f t="shared" si="7"/>
        <v>0</v>
      </c>
      <c r="J13" s="185">
        <v>0</v>
      </c>
      <c r="K13" s="185">
        <v>0</v>
      </c>
      <c r="L13" s="185">
        <v>0</v>
      </c>
      <c r="M13" s="185">
        <v>0</v>
      </c>
      <c r="O13" s="187"/>
    </row>
    <row r="14" spans="1:15" ht="12.75" x14ac:dyDescent="0.2">
      <c r="A14" s="207">
        <v>4</v>
      </c>
      <c r="B14" s="208" t="s">
        <v>24</v>
      </c>
      <c r="C14" s="209" t="s">
        <v>368</v>
      </c>
      <c r="D14" s="185">
        <f t="shared" si="6"/>
        <v>253</v>
      </c>
      <c r="E14" s="185">
        <v>0</v>
      </c>
      <c r="F14" s="185">
        <v>0</v>
      </c>
      <c r="G14" s="185">
        <v>186</v>
      </c>
      <c r="H14" s="185">
        <v>67</v>
      </c>
      <c r="I14" s="185">
        <f t="shared" si="7"/>
        <v>253</v>
      </c>
      <c r="J14" s="185">
        <v>0</v>
      </c>
      <c r="K14" s="185">
        <v>0</v>
      </c>
      <c r="L14" s="185">
        <v>186</v>
      </c>
      <c r="M14" s="185">
        <v>67</v>
      </c>
      <c r="O14" s="187"/>
    </row>
    <row r="15" spans="1:15" ht="12.75" x14ac:dyDescent="0.2">
      <c r="A15" s="207">
        <v>5</v>
      </c>
      <c r="B15" s="208" t="s">
        <v>25</v>
      </c>
      <c r="C15" s="209" t="s">
        <v>26</v>
      </c>
      <c r="D15" s="185">
        <f t="shared" si="6"/>
        <v>1695</v>
      </c>
      <c r="E15" s="185">
        <v>0</v>
      </c>
      <c r="F15" s="185">
        <v>0</v>
      </c>
      <c r="G15" s="185">
        <v>1695</v>
      </c>
      <c r="H15" s="185">
        <f>125-125</f>
        <v>0</v>
      </c>
      <c r="I15" s="185">
        <f t="shared" si="7"/>
        <v>945</v>
      </c>
      <c r="J15" s="185">
        <v>0</v>
      </c>
      <c r="K15" s="185">
        <v>0</v>
      </c>
      <c r="L15" s="185">
        <v>945</v>
      </c>
      <c r="M15" s="185">
        <f>125-125</f>
        <v>0</v>
      </c>
      <c r="O15" s="187"/>
    </row>
    <row r="16" spans="1:15" ht="12.75" x14ac:dyDescent="0.2">
      <c r="A16" s="207">
        <v>6</v>
      </c>
      <c r="B16" s="210" t="s">
        <v>4</v>
      </c>
      <c r="C16" s="211" t="s">
        <v>27</v>
      </c>
      <c r="D16" s="185">
        <f t="shared" si="6"/>
        <v>10668</v>
      </c>
      <c r="E16" s="185">
        <v>0</v>
      </c>
      <c r="F16" s="185">
        <v>0</v>
      </c>
      <c r="G16" s="185">
        <v>7333</v>
      </c>
      <c r="H16" s="185">
        <v>3335</v>
      </c>
      <c r="I16" s="185">
        <f t="shared" si="7"/>
        <v>5997</v>
      </c>
      <c r="J16" s="185">
        <v>0</v>
      </c>
      <c r="K16" s="185">
        <v>0</v>
      </c>
      <c r="L16" s="185">
        <v>4123</v>
      </c>
      <c r="M16" s="185">
        <v>1874</v>
      </c>
      <c r="O16" s="187"/>
    </row>
    <row r="17" spans="1:15" ht="12.75" x14ac:dyDescent="0.2">
      <c r="A17" s="207">
        <v>7</v>
      </c>
      <c r="B17" s="212" t="s">
        <v>28</v>
      </c>
      <c r="C17" s="213" t="s">
        <v>369</v>
      </c>
      <c r="D17" s="185">
        <f t="shared" si="6"/>
        <v>2806</v>
      </c>
      <c r="E17" s="185">
        <v>0</v>
      </c>
      <c r="F17" s="185">
        <v>0</v>
      </c>
      <c r="G17" s="185">
        <v>561</v>
      </c>
      <c r="H17" s="185">
        <v>2245</v>
      </c>
      <c r="I17" s="185">
        <f t="shared" si="7"/>
        <v>1711</v>
      </c>
      <c r="J17" s="185">
        <v>0</v>
      </c>
      <c r="K17" s="185">
        <v>0</v>
      </c>
      <c r="L17" s="185">
        <v>556</v>
      </c>
      <c r="M17" s="185">
        <v>1155</v>
      </c>
      <c r="O17" s="187"/>
    </row>
    <row r="18" spans="1:15" ht="12.75" x14ac:dyDescent="0.2">
      <c r="A18" s="207">
        <v>8</v>
      </c>
      <c r="B18" s="210" t="s">
        <v>29</v>
      </c>
      <c r="C18" s="211" t="s">
        <v>30</v>
      </c>
      <c r="D18" s="185">
        <f t="shared" si="6"/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f t="shared" si="7"/>
        <v>0</v>
      </c>
      <c r="J18" s="185">
        <v>0</v>
      </c>
      <c r="K18" s="185">
        <v>0</v>
      </c>
      <c r="L18" s="185">
        <v>0</v>
      </c>
      <c r="M18" s="185">
        <v>0</v>
      </c>
      <c r="O18" s="187"/>
    </row>
    <row r="19" spans="1:15" ht="12.75" x14ac:dyDescent="0.2">
      <c r="A19" s="207">
        <v>9</v>
      </c>
      <c r="B19" s="210" t="s">
        <v>31</v>
      </c>
      <c r="C19" s="211" t="s">
        <v>32</v>
      </c>
      <c r="D19" s="185">
        <f t="shared" si="6"/>
        <v>215</v>
      </c>
      <c r="E19" s="185">
        <v>0</v>
      </c>
      <c r="F19" s="185">
        <v>0</v>
      </c>
      <c r="G19" s="185">
        <v>172</v>
      </c>
      <c r="H19" s="185">
        <v>43</v>
      </c>
      <c r="I19" s="185">
        <f t="shared" si="7"/>
        <v>215</v>
      </c>
      <c r="J19" s="185">
        <v>0</v>
      </c>
      <c r="K19" s="185">
        <v>0</v>
      </c>
      <c r="L19" s="185">
        <v>172</v>
      </c>
      <c r="M19" s="185">
        <v>43</v>
      </c>
      <c r="O19" s="187"/>
    </row>
    <row r="20" spans="1:15" ht="12.75" x14ac:dyDescent="0.2">
      <c r="A20" s="207">
        <v>10</v>
      </c>
      <c r="B20" s="210" t="s">
        <v>33</v>
      </c>
      <c r="C20" s="211" t="s">
        <v>34</v>
      </c>
      <c r="D20" s="185">
        <f t="shared" si="6"/>
        <v>142</v>
      </c>
      <c r="E20" s="185">
        <v>0</v>
      </c>
      <c r="F20" s="185">
        <v>0</v>
      </c>
      <c r="G20" s="185">
        <v>97</v>
      </c>
      <c r="H20" s="185">
        <v>45</v>
      </c>
      <c r="I20" s="185">
        <f t="shared" si="7"/>
        <v>142</v>
      </c>
      <c r="J20" s="185">
        <v>0</v>
      </c>
      <c r="K20" s="185">
        <v>0</v>
      </c>
      <c r="L20" s="185">
        <v>97</v>
      </c>
      <c r="M20" s="185">
        <v>45</v>
      </c>
      <c r="O20" s="187"/>
    </row>
    <row r="21" spans="1:15" ht="12.75" x14ac:dyDescent="0.2">
      <c r="A21" s="207">
        <v>11</v>
      </c>
      <c r="B21" s="210" t="s">
        <v>35</v>
      </c>
      <c r="C21" s="211" t="s">
        <v>36</v>
      </c>
      <c r="D21" s="185">
        <f t="shared" si="6"/>
        <v>192</v>
      </c>
      <c r="E21" s="185">
        <v>0</v>
      </c>
      <c r="F21" s="185">
        <v>0</v>
      </c>
      <c r="G21" s="185">
        <v>188</v>
      </c>
      <c r="H21" s="185">
        <v>4</v>
      </c>
      <c r="I21" s="185">
        <f t="shared" si="7"/>
        <v>192</v>
      </c>
      <c r="J21" s="185">
        <v>0</v>
      </c>
      <c r="K21" s="185">
        <v>0</v>
      </c>
      <c r="L21" s="185">
        <v>188</v>
      </c>
      <c r="M21" s="185">
        <v>4</v>
      </c>
      <c r="O21" s="187"/>
    </row>
    <row r="22" spans="1:15" ht="12.75" x14ac:dyDescent="0.2">
      <c r="A22" s="207">
        <v>12</v>
      </c>
      <c r="B22" s="210" t="s">
        <v>37</v>
      </c>
      <c r="C22" s="211" t="s">
        <v>38</v>
      </c>
      <c r="D22" s="185">
        <f t="shared" si="6"/>
        <v>325</v>
      </c>
      <c r="E22" s="185">
        <v>0</v>
      </c>
      <c r="F22" s="185">
        <v>0</v>
      </c>
      <c r="G22" s="185">
        <v>225</v>
      </c>
      <c r="H22" s="185">
        <v>100</v>
      </c>
      <c r="I22" s="185">
        <f t="shared" si="7"/>
        <v>325</v>
      </c>
      <c r="J22" s="185">
        <v>0</v>
      </c>
      <c r="K22" s="185">
        <v>0</v>
      </c>
      <c r="L22" s="185">
        <v>225</v>
      </c>
      <c r="M22" s="185">
        <v>100</v>
      </c>
      <c r="O22" s="187"/>
    </row>
    <row r="23" spans="1:15" x14ac:dyDescent="0.2">
      <c r="A23" s="207">
        <v>13</v>
      </c>
      <c r="B23" s="85" t="s">
        <v>166</v>
      </c>
      <c r="C23" s="86" t="s">
        <v>370</v>
      </c>
      <c r="D23" s="185">
        <f t="shared" si="6"/>
        <v>0</v>
      </c>
      <c r="E23" s="185">
        <v>0</v>
      </c>
      <c r="F23" s="185">
        <v>0</v>
      </c>
      <c r="G23" s="185">
        <v>0</v>
      </c>
      <c r="H23" s="185">
        <v>0</v>
      </c>
      <c r="I23" s="185">
        <f t="shared" si="7"/>
        <v>0</v>
      </c>
      <c r="J23" s="185">
        <v>0</v>
      </c>
      <c r="K23" s="185">
        <v>0</v>
      </c>
      <c r="L23" s="185">
        <v>0</v>
      </c>
      <c r="M23" s="185">
        <v>0</v>
      </c>
      <c r="O23" s="187"/>
    </row>
    <row r="24" spans="1:15" x14ac:dyDescent="0.2">
      <c r="A24" s="207">
        <v>14</v>
      </c>
      <c r="B24" s="85" t="s">
        <v>167</v>
      </c>
      <c r="C24" s="82" t="s">
        <v>371</v>
      </c>
      <c r="D24" s="185">
        <f t="shared" si="6"/>
        <v>0</v>
      </c>
      <c r="E24" s="185">
        <v>0</v>
      </c>
      <c r="F24" s="185">
        <v>0</v>
      </c>
      <c r="G24" s="185">
        <v>0</v>
      </c>
      <c r="H24" s="185">
        <v>0</v>
      </c>
      <c r="I24" s="185">
        <f t="shared" si="7"/>
        <v>0</v>
      </c>
      <c r="J24" s="185">
        <v>0</v>
      </c>
      <c r="K24" s="185">
        <v>0</v>
      </c>
      <c r="L24" s="185">
        <v>0</v>
      </c>
      <c r="M24" s="185">
        <v>0</v>
      </c>
      <c r="O24" s="187"/>
    </row>
    <row r="25" spans="1:15" ht="12.75" x14ac:dyDescent="0.2">
      <c r="A25" s="207">
        <v>15</v>
      </c>
      <c r="B25" s="210" t="s">
        <v>39</v>
      </c>
      <c r="C25" s="211" t="s">
        <v>40</v>
      </c>
      <c r="D25" s="185">
        <f t="shared" si="6"/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f t="shared" si="7"/>
        <v>0</v>
      </c>
      <c r="J25" s="185">
        <v>0</v>
      </c>
      <c r="K25" s="185">
        <v>0</v>
      </c>
      <c r="L25" s="185">
        <v>0</v>
      </c>
      <c r="M25" s="185">
        <v>0</v>
      </c>
      <c r="O25" s="187"/>
    </row>
    <row r="26" spans="1:15" ht="12.75" x14ac:dyDescent="0.2">
      <c r="A26" s="207">
        <v>16</v>
      </c>
      <c r="B26" s="210" t="s">
        <v>41</v>
      </c>
      <c r="C26" s="211" t="s">
        <v>42</v>
      </c>
      <c r="D26" s="185">
        <f t="shared" si="6"/>
        <v>200</v>
      </c>
      <c r="E26" s="185">
        <v>0</v>
      </c>
      <c r="F26" s="185">
        <v>0</v>
      </c>
      <c r="G26" s="185">
        <v>186</v>
      </c>
      <c r="H26" s="185">
        <v>14</v>
      </c>
      <c r="I26" s="185">
        <f t="shared" si="7"/>
        <v>200</v>
      </c>
      <c r="J26" s="185">
        <v>0</v>
      </c>
      <c r="K26" s="185">
        <v>0</v>
      </c>
      <c r="L26" s="185">
        <v>186</v>
      </c>
      <c r="M26" s="185">
        <v>14</v>
      </c>
      <c r="O26" s="187"/>
    </row>
    <row r="27" spans="1:15" ht="12.75" x14ac:dyDescent="0.2">
      <c r="A27" s="207">
        <v>17</v>
      </c>
      <c r="B27" s="210" t="s">
        <v>43</v>
      </c>
      <c r="C27" s="211" t="s">
        <v>372</v>
      </c>
      <c r="D27" s="185">
        <f t="shared" si="6"/>
        <v>2544</v>
      </c>
      <c r="E27" s="185">
        <v>0</v>
      </c>
      <c r="F27" s="185">
        <v>0</v>
      </c>
      <c r="G27" s="185">
        <v>2507</v>
      </c>
      <c r="H27" s="185">
        <v>37</v>
      </c>
      <c r="I27" s="185">
        <f t="shared" si="7"/>
        <v>1544</v>
      </c>
      <c r="J27" s="185">
        <v>0</v>
      </c>
      <c r="K27" s="185">
        <v>0</v>
      </c>
      <c r="L27" s="185">
        <v>1507</v>
      </c>
      <c r="M27" s="185">
        <v>37</v>
      </c>
      <c r="O27" s="187"/>
    </row>
    <row r="28" spans="1:15" ht="12.75" x14ac:dyDescent="0.2">
      <c r="A28" s="207">
        <v>18</v>
      </c>
      <c r="B28" s="210" t="s">
        <v>44</v>
      </c>
      <c r="C28" s="211" t="s">
        <v>45</v>
      </c>
      <c r="D28" s="185">
        <f t="shared" si="6"/>
        <v>2424</v>
      </c>
      <c r="E28" s="185">
        <v>0</v>
      </c>
      <c r="F28" s="185">
        <v>0</v>
      </c>
      <c r="G28" s="185">
        <v>1933</v>
      </c>
      <c r="H28" s="185">
        <v>491</v>
      </c>
      <c r="I28" s="185">
        <f t="shared" si="7"/>
        <v>1404</v>
      </c>
      <c r="J28" s="185">
        <v>0</v>
      </c>
      <c r="K28" s="185">
        <v>0</v>
      </c>
      <c r="L28" s="185">
        <v>1133</v>
      </c>
      <c r="M28" s="185">
        <v>271</v>
      </c>
      <c r="O28" s="187"/>
    </row>
    <row r="29" spans="1:15" ht="12.75" x14ac:dyDescent="0.2">
      <c r="A29" s="207">
        <v>19</v>
      </c>
      <c r="B29" s="208" t="s">
        <v>46</v>
      </c>
      <c r="C29" s="209" t="s">
        <v>47</v>
      </c>
      <c r="D29" s="185">
        <f t="shared" si="6"/>
        <v>42</v>
      </c>
      <c r="E29" s="185">
        <v>0</v>
      </c>
      <c r="F29" s="185">
        <v>0</v>
      </c>
      <c r="G29" s="185">
        <v>37</v>
      </c>
      <c r="H29" s="185">
        <v>5</v>
      </c>
      <c r="I29" s="185">
        <f t="shared" si="7"/>
        <v>42</v>
      </c>
      <c r="J29" s="185">
        <v>0</v>
      </c>
      <c r="K29" s="185">
        <v>0</v>
      </c>
      <c r="L29" s="185">
        <v>37</v>
      </c>
      <c r="M29" s="185">
        <v>5</v>
      </c>
      <c r="O29" s="187"/>
    </row>
    <row r="30" spans="1:15" ht="12.75" x14ac:dyDescent="0.2">
      <c r="A30" s="207">
        <v>20</v>
      </c>
      <c r="B30" s="208" t="s">
        <v>48</v>
      </c>
      <c r="C30" s="209" t="s">
        <v>373</v>
      </c>
      <c r="D30" s="185">
        <f t="shared" si="6"/>
        <v>0</v>
      </c>
      <c r="E30" s="185">
        <v>0</v>
      </c>
      <c r="F30" s="185">
        <v>0</v>
      </c>
      <c r="G30" s="185">
        <v>0</v>
      </c>
      <c r="H30" s="185">
        <v>0</v>
      </c>
      <c r="I30" s="185">
        <f t="shared" si="7"/>
        <v>0</v>
      </c>
      <c r="J30" s="185">
        <v>0</v>
      </c>
      <c r="K30" s="185">
        <v>0</v>
      </c>
      <c r="L30" s="185">
        <v>0</v>
      </c>
      <c r="M30" s="185">
        <v>0</v>
      </c>
      <c r="O30" s="187"/>
    </row>
    <row r="31" spans="1:15" ht="12.75" x14ac:dyDescent="0.2">
      <c r="A31" s="207">
        <v>21</v>
      </c>
      <c r="B31" s="208" t="s">
        <v>49</v>
      </c>
      <c r="C31" s="209" t="s">
        <v>50</v>
      </c>
      <c r="D31" s="185">
        <f t="shared" si="6"/>
        <v>3943</v>
      </c>
      <c r="E31" s="185">
        <v>0</v>
      </c>
      <c r="F31" s="185">
        <v>0</v>
      </c>
      <c r="G31" s="185">
        <v>2681</v>
      </c>
      <c r="H31" s="185">
        <v>1262</v>
      </c>
      <c r="I31" s="185">
        <f t="shared" si="7"/>
        <v>2302</v>
      </c>
      <c r="J31" s="185">
        <v>0</v>
      </c>
      <c r="K31" s="185">
        <v>0</v>
      </c>
      <c r="L31" s="185">
        <v>1617</v>
      </c>
      <c r="M31" s="185">
        <v>685</v>
      </c>
      <c r="O31" s="187"/>
    </row>
    <row r="32" spans="1:15" ht="12.75" x14ac:dyDescent="0.2">
      <c r="A32" s="207">
        <v>22</v>
      </c>
      <c r="B32" s="208" t="s">
        <v>51</v>
      </c>
      <c r="C32" s="209" t="s">
        <v>52</v>
      </c>
      <c r="D32" s="185">
        <f t="shared" si="6"/>
        <v>3341</v>
      </c>
      <c r="E32" s="185">
        <v>0</v>
      </c>
      <c r="F32" s="185">
        <v>0</v>
      </c>
      <c r="G32" s="185">
        <v>260</v>
      </c>
      <c r="H32" s="185">
        <v>3081</v>
      </c>
      <c r="I32" s="185">
        <f t="shared" si="7"/>
        <v>1811</v>
      </c>
      <c r="J32" s="185">
        <v>0</v>
      </c>
      <c r="K32" s="185">
        <v>0</v>
      </c>
      <c r="L32" s="185">
        <v>230</v>
      </c>
      <c r="M32" s="185">
        <v>1581</v>
      </c>
      <c r="O32" s="187"/>
    </row>
    <row r="33" spans="1:15" ht="12.75" x14ac:dyDescent="0.2">
      <c r="A33" s="207">
        <v>23</v>
      </c>
      <c r="B33" s="210" t="s">
        <v>53</v>
      </c>
      <c r="C33" s="211" t="s">
        <v>374</v>
      </c>
      <c r="D33" s="185">
        <f t="shared" si="6"/>
        <v>1484</v>
      </c>
      <c r="E33" s="185">
        <v>0</v>
      </c>
      <c r="F33" s="185">
        <v>0</v>
      </c>
      <c r="G33" s="185">
        <v>730</v>
      </c>
      <c r="H33" s="185">
        <v>754</v>
      </c>
      <c r="I33" s="185">
        <f t="shared" si="7"/>
        <v>742</v>
      </c>
      <c r="J33" s="185">
        <v>0</v>
      </c>
      <c r="K33" s="185">
        <v>0</v>
      </c>
      <c r="L33" s="185">
        <v>365</v>
      </c>
      <c r="M33" s="185">
        <v>377</v>
      </c>
      <c r="O33" s="187"/>
    </row>
    <row r="34" spans="1:15" x14ac:dyDescent="0.2">
      <c r="A34" s="207">
        <v>24</v>
      </c>
      <c r="B34" s="97" t="s">
        <v>316</v>
      </c>
      <c r="C34" s="86" t="s">
        <v>375</v>
      </c>
      <c r="D34" s="185">
        <f t="shared" si="6"/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f t="shared" si="7"/>
        <v>0</v>
      </c>
      <c r="J34" s="185">
        <v>0</v>
      </c>
      <c r="K34" s="185">
        <v>0</v>
      </c>
      <c r="L34" s="185">
        <v>0</v>
      </c>
      <c r="M34" s="185">
        <v>0</v>
      </c>
      <c r="O34" s="187"/>
    </row>
    <row r="35" spans="1:15" ht="24" x14ac:dyDescent="0.2">
      <c r="A35" s="207">
        <v>25</v>
      </c>
      <c r="B35" s="97" t="s">
        <v>318</v>
      </c>
      <c r="C35" s="86" t="s">
        <v>376</v>
      </c>
      <c r="D35" s="185">
        <f t="shared" si="6"/>
        <v>0</v>
      </c>
      <c r="E35" s="185">
        <v>0</v>
      </c>
      <c r="F35" s="185">
        <v>0</v>
      </c>
      <c r="G35" s="185">
        <v>0</v>
      </c>
      <c r="H35" s="185">
        <v>0</v>
      </c>
      <c r="I35" s="185">
        <f t="shared" si="7"/>
        <v>0</v>
      </c>
      <c r="J35" s="185">
        <v>0</v>
      </c>
      <c r="K35" s="185">
        <v>0</v>
      </c>
      <c r="L35" s="185">
        <v>0</v>
      </c>
      <c r="M35" s="185">
        <v>0</v>
      </c>
      <c r="O35" s="187"/>
    </row>
    <row r="36" spans="1:15" ht="12.75" x14ac:dyDescent="0.2">
      <c r="A36" s="207">
        <v>26</v>
      </c>
      <c r="B36" s="208" t="s">
        <v>6</v>
      </c>
      <c r="C36" s="213" t="s">
        <v>377</v>
      </c>
      <c r="D36" s="185">
        <f t="shared" si="6"/>
        <v>0</v>
      </c>
      <c r="E36" s="185">
        <v>0</v>
      </c>
      <c r="F36" s="185">
        <v>0</v>
      </c>
      <c r="G36" s="185">
        <v>0</v>
      </c>
      <c r="H36" s="185">
        <v>0</v>
      </c>
      <c r="I36" s="185">
        <f t="shared" si="7"/>
        <v>0</v>
      </c>
      <c r="J36" s="185">
        <v>0</v>
      </c>
      <c r="K36" s="185">
        <v>0</v>
      </c>
      <c r="L36" s="185">
        <v>0</v>
      </c>
      <c r="M36" s="185">
        <v>0</v>
      </c>
      <c r="O36" s="187"/>
    </row>
    <row r="37" spans="1:15" ht="12.75" x14ac:dyDescent="0.2">
      <c r="A37" s="207">
        <v>27</v>
      </c>
      <c r="B37" s="210" t="s">
        <v>5</v>
      </c>
      <c r="C37" s="211" t="s">
        <v>378</v>
      </c>
      <c r="D37" s="185">
        <f t="shared" si="6"/>
        <v>4383</v>
      </c>
      <c r="E37" s="185">
        <v>0</v>
      </c>
      <c r="F37" s="185">
        <v>0</v>
      </c>
      <c r="G37" s="185">
        <v>4383</v>
      </c>
      <c r="H37" s="185">
        <v>0</v>
      </c>
      <c r="I37" s="185">
        <f t="shared" si="7"/>
        <v>4383</v>
      </c>
      <c r="J37" s="185">
        <v>0</v>
      </c>
      <c r="K37" s="185">
        <v>0</v>
      </c>
      <c r="L37" s="185">
        <v>4383</v>
      </c>
      <c r="M37" s="185">
        <v>0</v>
      </c>
      <c r="O37" s="187"/>
    </row>
    <row r="38" spans="1:15" ht="12.75" x14ac:dyDescent="0.2">
      <c r="A38" s="207">
        <v>28</v>
      </c>
      <c r="B38" s="210" t="s">
        <v>54</v>
      </c>
      <c r="C38" s="211" t="s">
        <v>379</v>
      </c>
      <c r="D38" s="185">
        <f t="shared" si="6"/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f t="shared" si="7"/>
        <v>0</v>
      </c>
      <c r="J38" s="185">
        <v>0</v>
      </c>
      <c r="K38" s="185">
        <v>0</v>
      </c>
      <c r="L38" s="185">
        <v>0</v>
      </c>
      <c r="M38" s="185">
        <v>0</v>
      </c>
      <c r="O38" s="187"/>
    </row>
    <row r="39" spans="1:15" ht="12.75" x14ac:dyDescent="0.2">
      <c r="A39" s="207">
        <v>29</v>
      </c>
      <c r="B39" s="208" t="s">
        <v>168</v>
      </c>
      <c r="C39" s="209" t="s">
        <v>169</v>
      </c>
      <c r="D39" s="185">
        <f t="shared" si="6"/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f t="shared" si="7"/>
        <v>0</v>
      </c>
      <c r="J39" s="185">
        <v>0</v>
      </c>
      <c r="K39" s="185">
        <v>0</v>
      </c>
      <c r="L39" s="185">
        <v>0</v>
      </c>
      <c r="M39" s="185">
        <v>0</v>
      </c>
      <c r="O39" s="187"/>
    </row>
    <row r="40" spans="1:15" ht="12.75" x14ac:dyDescent="0.2">
      <c r="A40" s="207">
        <v>30</v>
      </c>
      <c r="B40" s="208" t="s">
        <v>170</v>
      </c>
      <c r="C40" s="213" t="s">
        <v>171</v>
      </c>
      <c r="D40" s="185">
        <f t="shared" si="6"/>
        <v>3603</v>
      </c>
      <c r="E40" s="185">
        <v>2019</v>
      </c>
      <c r="F40" s="185">
        <v>1584</v>
      </c>
      <c r="G40" s="185">
        <v>0</v>
      </c>
      <c r="H40" s="185">
        <v>0</v>
      </c>
      <c r="I40" s="185">
        <f t="shared" si="7"/>
        <v>2463</v>
      </c>
      <c r="J40" s="185">
        <v>1079</v>
      </c>
      <c r="K40" s="185">
        <v>1384</v>
      </c>
      <c r="L40" s="185">
        <v>0</v>
      </c>
      <c r="M40" s="185">
        <v>0</v>
      </c>
      <c r="O40" s="187"/>
    </row>
    <row r="41" spans="1:15" ht="24" x14ac:dyDescent="0.2">
      <c r="A41" s="207">
        <v>31</v>
      </c>
      <c r="B41" s="85" t="s">
        <v>320</v>
      </c>
      <c r="C41" s="82" t="s">
        <v>380</v>
      </c>
      <c r="D41" s="185">
        <f t="shared" si="6"/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f t="shared" si="7"/>
        <v>0</v>
      </c>
      <c r="J41" s="185">
        <v>0</v>
      </c>
      <c r="K41" s="185">
        <v>0</v>
      </c>
      <c r="L41" s="185">
        <v>0</v>
      </c>
      <c r="M41" s="185">
        <v>0</v>
      </c>
      <c r="O41" s="187"/>
    </row>
    <row r="42" spans="1:15" ht="25.5" x14ac:dyDescent="0.2">
      <c r="A42" s="207">
        <v>32</v>
      </c>
      <c r="B42" s="210" t="s">
        <v>55</v>
      </c>
      <c r="C42" s="211" t="s">
        <v>381</v>
      </c>
      <c r="D42" s="185">
        <f t="shared" si="6"/>
        <v>127</v>
      </c>
      <c r="E42" s="185">
        <v>0</v>
      </c>
      <c r="F42" s="185">
        <v>0</v>
      </c>
      <c r="G42" s="185">
        <v>127</v>
      </c>
      <c r="H42" s="185">
        <v>0</v>
      </c>
      <c r="I42" s="185">
        <f t="shared" si="7"/>
        <v>64</v>
      </c>
      <c r="J42" s="185">
        <v>0</v>
      </c>
      <c r="K42" s="185">
        <v>0</v>
      </c>
      <c r="L42" s="185">
        <v>64</v>
      </c>
      <c r="M42" s="185">
        <v>0</v>
      </c>
      <c r="O42" s="187"/>
    </row>
    <row r="43" spans="1:15" ht="12.75" x14ac:dyDescent="0.2">
      <c r="A43" s="207">
        <v>33</v>
      </c>
      <c r="B43" s="208" t="s">
        <v>56</v>
      </c>
      <c r="C43" s="209" t="s">
        <v>57</v>
      </c>
      <c r="D43" s="185">
        <f t="shared" si="6"/>
        <v>389</v>
      </c>
      <c r="E43" s="185">
        <v>0</v>
      </c>
      <c r="F43" s="185">
        <v>0</v>
      </c>
      <c r="G43" s="185">
        <v>319</v>
      </c>
      <c r="H43" s="185">
        <v>70</v>
      </c>
      <c r="I43" s="185">
        <f t="shared" si="7"/>
        <v>389</v>
      </c>
      <c r="J43" s="185">
        <v>0</v>
      </c>
      <c r="K43" s="185">
        <v>0</v>
      </c>
      <c r="L43" s="185">
        <v>319</v>
      </c>
      <c r="M43" s="185">
        <v>70</v>
      </c>
      <c r="O43" s="187"/>
    </row>
    <row r="44" spans="1:15" ht="12.75" x14ac:dyDescent="0.2">
      <c r="A44" s="207">
        <v>34</v>
      </c>
      <c r="B44" s="212" t="s">
        <v>58</v>
      </c>
      <c r="C44" s="213" t="s">
        <v>59</v>
      </c>
      <c r="D44" s="185">
        <f t="shared" si="6"/>
        <v>8083</v>
      </c>
      <c r="E44" s="185">
        <v>0</v>
      </c>
      <c r="F44" s="185">
        <v>0</v>
      </c>
      <c r="G44" s="185">
        <v>2897</v>
      </c>
      <c r="H44" s="185">
        <v>5186</v>
      </c>
      <c r="I44" s="185">
        <f t="shared" si="7"/>
        <v>4834</v>
      </c>
      <c r="J44" s="185">
        <v>0</v>
      </c>
      <c r="K44" s="185">
        <v>0</v>
      </c>
      <c r="L44" s="185">
        <f>1610+450</f>
        <v>2060</v>
      </c>
      <c r="M44" s="185">
        <f>3224-450</f>
        <v>2774</v>
      </c>
      <c r="O44" s="187"/>
    </row>
    <row r="45" spans="1:15" ht="12.75" x14ac:dyDescent="0.2">
      <c r="A45" s="207">
        <v>35</v>
      </c>
      <c r="B45" s="208" t="s">
        <v>172</v>
      </c>
      <c r="C45" s="209" t="s">
        <v>173</v>
      </c>
      <c r="D45" s="185">
        <f t="shared" si="6"/>
        <v>0</v>
      </c>
      <c r="E45" s="185">
        <v>0</v>
      </c>
      <c r="F45" s="185">
        <v>0</v>
      </c>
      <c r="G45" s="185">
        <v>0</v>
      </c>
      <c r="H45" s="185">
        <v>0</v>
      </c>
      <c r="I45" s="185">
        <f t="shared" si="7"/>
        <v>0</v>
      </c>
      <c r="J45" s="185">
        <v>0</v>
      </c>
      <c r="K45" s="185">
        <v>0</v>
      </c>
      <c r="L45" s="185">
        <v>0</v>
      </c>
      <c r="M45" s="185">
        <v>0</v>
      </c>
      <c r="O45" s="187"/>
    </row>
    <row r="46" spans="1:15" ht="12.75" x14ac:dyDescent="0.2">
      <c r="A46" s="207">
        <v>36</v>
      </c>
      <c r="B46" s="208" t="s">
        <v>60</v>
      </c>
      <c r="C46" s="209" t="s">
        <v>61</v>
      </c>
      <c r="D46" s="185">
        <f t="shared" si="6"/>
        <v>2915</v>
      </c>
      <c r="E46" s="185">
        <v>0</v>
      </c>
      <c r="F46" s="185">
        <v>0</v>
      </c>
      <c r="G46" s="185">
        <v>2905</v>
      </c>
      <c r="H46" s="185">
        <v>10</v>
      </c>
      <c r="I46" s="185">
        <f t="shared" si="7"/>
        <v>1765</v>
      </c>
      <c r="J46" s="185">
        <v>0</v>
      </c>
      <c r="K46" s="185">
        <v>0</v>
      </c>
      <c r="L46" s="185">
        <v>1755</v>
      </c>
      <c r="M46" s="185">
        <v>10</v>
      </c>
      <c r="O46" s="187"/>
    </row>
    <row r="47" spans="1:15" ht="12.75" x14ac:dyDescent="0.2">
      <c r="A47" s="207">
        <v>37</v>
      </c>
      <c r="B47" s="210" t="s">
        <v>62</v>
      </c>
      <c r="C47" s="211" t="s">
        <v>63</v>
      </c>
      <c r="D47" s="185">
        <f t="shared" si="6"/>
        <v>2534</v>
      </c>
      <c r="E47" s="185">
        <v>0</v>
      </c>
      <c r="F47" s="185">
        <v>0</v>
      </c>
      <c r="G47" s="185">
        <v>1907</v>
      </c>
      <c r="H47" s="185">
        <v>627</v>
      </c>
      <c r="I47" s="185">
        <f t="shared" si="7"/>
        <v>2534</v>
      </c>
      <c r="J47" s="185">
        <v>0</v>
      </c>
      <c r="K47" s="185">
        <v>0</v>
      </c>
      <c r="L47" s="185">
        <v>1907</v>
      </c>
      <c r="M47" s="185">
        <v>627</v>
      </c>
      <c r="O47" s="187"/>
    </row>
    <row r="48" spans="1:15" ht="12.75" x14ac:dyDescent="0.2">
      <c r="A48" s="207">
        <v>38</v>
      </c>
      <c r="B48" s="208" t="s">
        <v>64</v>
      </c>
      <c r="C48" s="209" t="s">
        <v>65</v>
      </c>
      <c r="D48" s="185">
        <f t="shared" si="6"/>
        <v>2044</v>
      </c>
      <c r="E48" s="185">
        <v>0</v>
      </c>
      <c r="F48" s="185">
        <v>0</v>
      </c>
      <c r="G48" s="185">
        <v>942</v>
      </c>
      <c r="H48" s="185">
        <v>1102</v>
      </c>
      <c r="I48" s="185">
        <f t="shared" si="7"/>
        <v>962</v>
      </c>
      <c r="J48" s="185">
        <v>0</v>
      </c>
      <c r="K48" s="185">
        <v>0</v>
      </c>
      <c r="L48" s="185">
        <f>636-200</f>
        <v>436</v>
      </c>
      <c r="M48" s="185">
        <f>576-50</f>
        <v>526</v>
      </c>
      <c r="O48" s="187"/>
    </row>
    <row r="49" spans="1:15" ht="12.75" x14ac:dyDescent="0.2">
      <c r="A49" s="207">
        <v>39</v>
      </c>
      <c r="B49" s="208" t="s">
        <v>66</v>
      </c>
      <c r="C49" s="209" t="s">
        <v>382</v>
      </c>
      <c r="D49" s="185">
        <f t="shared" si="6"/>
        <v>5633</v>
      </c>
      <c r="E49" s="185">
        <v>0</v>
      </c>
      <c r="F49" s="185">
        <v>0</v>
      </c>
      <c r="G49" s="185">
        <v>5538</v>
      </c>
      <c r="H49" s="185">
        <v>95</v>
      </c>
      <c r="I49" s="185">
        <f t="shared" si="7"/>
        <v>3045</v>
      </c>
      <c r="J49" s="185">
        <v>0</v>
      </c>
      <c r="K49" s="185">
        <v>0</v>
      </c>
      <c r="L49" s="185">
        <v>2950</v>
      </c>
      <c r="M49" s="185">
        <v>95</v>
      </c>
      <c r="O49" s="187"/>
    </row>
    <row r="50" spans="1:15" ht="12.75" x14ac:dyDescent="0.2">
      <c r="A50" s="207">
        <v>40</v>
      </c>
      <c r="B50" s="214" t="s">
        <v>67</v>
      </c>
      <c r="C50" s="215" t="s">
        <v>383</v>
      </c>
      <c r="D50" s="185">
        <f t="shared" si="6"/>
        <v>562</v>
      </c>
      <c r="E50" s="185">
        <v>0</v>
      </c>
      <c r="F50" s="185">
        <v>0</v>
      </c>
      <c r="G50" s="185">
        <v>368</v>
      </c>
      <c r="H50" s="185">
        <v>194</v>
      </c>
      <c r="I50" s="185">
        <f t="shared" si="7"/>
        <v>562</v>
      </c>
      <c r="J50" s="185">
        <v>0</v>
      </c>
      <c r="K50" s="185">
        <v>0</v>
      </c>
      <c r="L50" s="185">
        <v>368</v>
      </c>
      <c r="M50" s="185">
        <v>194</v>
      </c>
      <c r="O50" s="187"/>
    </row>
    <row r="51" spans="1:15" ht="12.75" x14ac:dyDescent="0.2">
      <c r="A51" s="207">
        <v>41</v>
      </c>
      <c r="B51" s="208" t="s">
        <v>68</v>
      </c>
      <c r="C51" s="209" t="s">
        <v>384</v>
      </c>
      <c r="D51" s="185">
        <f t="shared" si="6"/>
        <v>4904</v>
      </c>
      <c r="E51" s="185">
        <v>0</v>
      </c>
      <c r="F51" s="185">
        <v>0</v>
      </c>
      <c r="G51" s="185">
        <v>1478</v>
      </c>
      <c r="H51" s="185">
        <v>3426</v>
      </c>
      <c r="I51" s="185">
        <f t="shared" si="7"/>
        <v>2478</v>
      </c>
      <c r="J51" s="185">
        <v>0</v>
      </c>
      <c r="K51" s="185">
        <v>0</v>
      </c>
      <c r="L51" s="185">
        <v>765</v>
      </c>
      <c r="M51" s="185">
        <v>1713</v>
      </c>
      <c r="O51" s="187"/>
    </row>
    <row r="52" spans="1:15" ht="12.75" x14ac:dyDescent="0.2">
      <c r="A52" s="207">
        <v>42</v>
      </c>
      <c r="B52" s="212" t="s">
        <v>69</v>
      </c>
      <c r="C52" s="213" t="s">
        <v>70</v>
      </c>
      <c r="D52" s="185">
        <f t="shared" si="6"/>
        <v>196</v>
      </c>
      <c r="E52" s="185">
        <v>0</v>
      </c>
      <c r="F52" s="185">
        <v>0</v>
      </c>
      <c r="G52" s="185">
        <v>170</v>
      </c>
      <c r="H52" s="185">
        <v>26</v>
      </c>
      <c r="I52" s="185">
        <f t="shared" si="7"/>
        <v>196</v>
      </c>
      <c r="J52" s="185">
        <v>0</v>
      </c>
      <c r="K52" s="185">
        <v>0</v>
      </c>
      <c r="L52" s="185">
        <v>170</v>
      </c>
      <c r="M52" s="185">
        <v>26</v>
      </c>
      <c r="O52" s="187"/>
    </row>
    <row r="53" spans="1:15" ht="12.75" x14ac:dyDescent="0.2">
      <c r="A53" s="207">
        <v>43</v>
      </c>
      <c r="B53" s="210" t="s">
        <v>174</v>
      </c>
      <c r="C53" s="211" t="s">
        <v>175</v>
      </c>
      <c r="D53" s="185">
        <f t="shared" si="6"/>
        <v>782</v>
      </c>
      <c r="E53" s="185">
        <v>0</v>
      </c>
      <c r="F53" s="185">
        <v>0</v>
      </c>
      <c r="G53" s="185">
        <v>649</v>
      </c>
      <c r="H53" s="185">
        <v>133</v>
      </c>
      <c r="I53" s="185">
        <f t="shared" si="7"/>
        <v>464</v>
      </c>
      <c r="J53" s="185">
        <v>0</v>
      </c>
      <c r="K53" s="185">
        <v>0</v>
      </c>
      <c r="L53" s="185">
        <v>391</v>
      </c>
      <c r="M53" s="185">
        <v>73</v>
      </c>
      <c r="O53" s="187"/>
    </row>
    <row r="54" spans="1:15" ht="12.75" x14ac:dyDescent="0.2">
      <c r="A54" s="207">
        <v>44</v>
      </c>
      <c r="B54" s="208" t="s">
        <v>71</v>
      </c>
      <c r="C54" s="209" t="s">
        <v>385</v>
      </c>
      <c r="D54" s="185">
        <f t="shared" si="6"/>
        <v>0</v>
      </c>
      <c r="E54" s="185">
        <v>0</v>
      </c>
      <c r="F54" s="185">
        <v>0</v>
      </c>
      <c r="G54" s="185">
        <v>0</v>
      </c>
      <c r="H54" s="185">
        <v>0</v>
      </c>
      <c r="I54" s="185">
        <f t="shared" si="7"/>
        <v>0</v>
      </c>
      <c r="J54" s="185">
        <v>0</v>
      </c>
      <c r="K54" s="185">
        <v>0</v>
      </c>
      <c r="L54" s="185">
        <v>0</v>
      </c>
      <c r="M54" s="185">
        <v>0</v>
      </c>
      <c r="O54" s="187"/>
    </row>
    <row r="55" spans="1:15" ht="12.75" x14ac:dyDescent="0.2">
      <c r="A55" s="207">
        <v>45</v>
      </c>
      <c r="B55" s="210" t="s">
        <v>72</v>
      </c>
      <c r="C55" s="211" t="s">
        <v>73</v>
      </c>
      <c r="D55" s="185">
        <f t="shared" si="6"/>
        <v>3187</v>
      </c>
      <c r="E55" s="185">
        <v>0</v>
      </c>
      <c r="F55" s="185">
        <v>0</v>
      </c>
      <c r="G55" s="185">
        <v>1</v>
      </c>
      <c r="H55" s="185">
        <v>3186</v>
      </c>
      <c r="I55" s="185">
        <f t="shared" si="7"/>
        <v>1918</v>
      </c>
      <c r="J55" s="185">
        <v>0</v>
      </c>
      <c r="K55" s="185">
        <v>0</v>
      </c>
      <c r="L55" s="185">
        <v>1</v>
      </c>
      <c r="M55" s="185">
        <v>1917</v>
      </c>
      <c r="O55" s="187"/>
    </row>
    <row r="56" spans="1:15" ht="12.75" x14ac:dyDescent="0.2">
      <c r="A56" s="207">
        <v>46</v>
      </c>
      <c r="B56" s="208" t="s">
        <v>74</v>
      </c>
      <c r="C56" s="209" t="s">
        <v>386</v>
      </c>
      <c r="D56" s="185">
        <f t="shared" si="6"/>
        <v>111</v>
      </c>
      <c r="E56" s="185">
        <v>0</v>
      </c>
      <c r="F56" s="185">
        <v>0</v>
      </c>
      <c r="G56" s="185">
        <v>96</v>
      </c>
      <c r="H56" s="185">
        <v>15</v>
      </c>
      <c r="I56" s="185">
        <f t="shared" si="7"/>
        <v>111</v>
      </c>
      <c r="J56" s="185">
        <v>0</v>
      </c>
      <c r="K56" s="185">
        <v>0</v>
      </c>
      <c r="L56" s="185">
        <v>96</v>
      </c>
      <c r="M56" s="185">
        <v>15</v>
      </c>
      <c r="O56" s="187"/>
    </row>
    <row r="57" spans="1:15" ht="12.75" x14ac:dyDescent="0.2">
      <c r="A57" s="207">
        <v>47</v>
      </c>
      <c r="B57" s="208" t="s">
        <v>75</v>
      </c>
      <c r="C57" s="209" t="s">
        <v>76</v>
      </c>
      <c r="D57" s="185">
        <f t="shared" si="6"/>
        <v>234</v>
      </c>
      <c r="E57" s="185">
        <v>0</v>
      </c>
      <c r="F57" s="185">
        <v>0</v>
      </c>
      <c r="G57" s="185">
        <v>140</v>
      </c>
      <c r="H57" s="185">
        <v>94</v>
      </c>
      <c r="I57" s="185">
        <f t="shared" si="7"/>
        <v>234</v>
      </c>
      <c r="J57" s="185">
        <v>0</v>
      </c>
      <c r="K57" s="185">
        <v>0</v>
      </c>
      <c r="L57" s="185">
        <v>140</v>
      </c>
      <c r="M57" s="185">
        <v>94</v>
      </c>
      <c r="O57" s="187"/>
    </row>
    <row r="58" spans="1:15" ht="12.75" x14ac:dyDescent="0.2">
      <c r="A58" s="207">
        <v>48</v>
      </c>
      <c r="B58" s="216" t="s">
        <v>77</v>
      </c>
      <c r="C58" s="217" t="s">
        <v>78</v>
      </c>
      <c r="D58" s="185">
        <f t="shared" si="6"/>
        <v>0</v>
      </c>
      <c r="E58" s="185">
        <v>0</v>
      </c>
      <c r="F58" s="185">
        <v>0</v>
      </c>
      <c r="G58" s="185">
        <v>0</v>
      </c>
      <c r="H58" s="185">
        <v>0</v>
      </c>
      <c r="I58" s="185">
        <f t="shared" si="7"/>
        <v>0</v>
      </c>
      <c r="J58" s="185">
        <v>0</v>
      </c>
      <c r="K58" s="185">
        <v>0</v>
      </c>
      <c r="L58" s="185">
        <v>0</v>
      </c>
      <c r="M58" s="185">
        <v>0</v>
      </c>
      <c r="O58" s="187"/>
    </row>
    <row r="59" spans="1:15" ht="12.75" x14ac:dyDescent="0.2">
      <c r="A59" s="207">
        <v>49</v>
      </c>
      <c r="B59" s="210" t="s">
        <v>79</v>
      </c>
      <c r="C59" s="211" t="s">
        <v>387</v>
      </c>
      <c r="D59" s="185">
        <f t="shared" si="6"/>
        <v>988</v>
      </c>
      <c r="E59" s="185">
        <v>0</v>
      </c>
      <c r="F59" s="185">
        <v>0</v>
      </c>
      <c r="G59" s="185">
        <v>790</v>
      </c>
      <c r="H59" s="185">
        <v>198</v>
      </c>
      <c r="I59" s="185">
        <f t="shared" si="7"/>
        <v>688</v>
      </c>
      <c r="J59" s="185">
        <v>0</v>
      </c>
      <c r="K59" s="185">
        <v>0</v>
      </c>
      <c r="L59" s="185">
        <v>490</v>
      </c>
      <c r="M59" s="185">
        <v>198</v>
      </c>
      <c r="O59" s="187"/>
    </row>
    <row r="60" spans="1:15" ht="12.75" x14ac:dyDescent="0.2">
      <c r="A60" s="207">
        <v>50</v>
      </c>
      <c r="B60" s="208" t="s">
        <v>80</v>
      </c>
      <c r="C60" s="209" t="s">
        <v>81</v>
      </c>
      <c r="D60" s="185">
        <f t="shared" si="6"/>
        <v>869</v>
      </c>
      <c r="E60" s="185">
        <v>0</v>
      </c>
      <c r="F60" s="185">
        <v>0</v>
      </c>
      <c r="G60" s="185">
        <v>432</v>
      </c>
      <c r="H60" s="185">
        <v>437</v>
      </c>
      <c r="I60" s="185">
        <f t="shared" si="7"/>
        <v>869</v>
      </c>
      <c r="J60" s="185">
        <v>0</v>
      </c>
      <c r="K60" s="185">
        <v>0</v>
      </c>
      <c r="L60" s="185">
        <v>432</v>
      </c>
      <c r="M60" s="185">
        <v>437</v>
      </c>
      <c r="O60" s="187"/>
    </row>
    <row r="61" spans="1:15" ht="12.75" x14ac:dyDescent="0.2">
      <c r="A61" s="207">
        <v>51</v>
      </c>
      <c r="B61" s="210" t="s">
        <v>82</v>
      </c>
      <c r="C61" s="211" t="s">
        <v>83</v>
      </c>
      <c r="D61" s="185">
        <f t="shared" si="6"/>
        <v>31</v>
      </c>
      <c r="E61" s="185">
        <v>0</v>
      </c>
      <c r="F61" s="185">
        <v>0</v>
      </c>
      <c r="G61" s="185">
        <v>24</v>
      </c>
      <c r="H61" s="185">
        <v>7</v>
      </c>
      <c r="I61" s="185">
        <f t="shared" si="7"/>
        <v>31</v>
      </c>
      <c r="J61" s="185">
        <v>0</v>
      </c>
      <c r="K61" s="185">
        <v>0</v>
      </c>
      <c r="L61" s="185">
        <v>24</v>
      </c>
      <c r="M61" s="185">
        <v>7</v>
      </c>
      <c r="O61" s="187"/>
    </row>
    <row r="62" spans="1:15" ht="12.75" x14ac:dyDescent="0.2">
      <c r="A62" s="207">
        <v>52</v>
      </c>
      <c r="B62" s="208" t="s">
        <v>84</v>
      </c>
      <c r="C62" s="209" t="s">
        <v>85</v>
      </c>
      <c r="D62" s="185">
        <f t="shared" si="6"/>
        <v>167</v>
      </c>
      <c r="E62" s="185">
        <v>0</v>
      </c>
      <c r="F62" s="185">
        <v>0</v>
      </c>
      <c r="G62" s="185">
        <v>111</v>
      </c>
      <c r="H62" s="185">
        <v>56</v>
      </c>
      <c r="I62" s="185">
        <f t="shared" si="7"/>
        <v>167</v>
      </c>
      <c r="J62" s="185">
        <v>0</v>
      </c>
      <c r="K62" s="185">
        <v>0</v>
      </c>
      <c r="L62" s="185">
        <v>111</v>
      </c>
      <c r="M62" s="185">
        <v>56</v>
      </c>
      <c r="O62" s="187"/>
    </row>
    <row r="63" spans="1:15" ht="12.75" x14ac:dyDescent="0.2">
      <c r="A63" s="207">
        <v>53</v>
      </c>
      <c r="B63" s="210" t="s">
        <v>86</v>
      </c>
      <c r="C63" s="211" t="s">
        <v>388</v>
      </c>
      <c r="D63" s="185">
        <f t="shared" si="6"/>
        <v>1031</v>
      </c>
      <c r="E63" s="185">
        <v>0</v>
      </c>
      <c r="F63" s="185">
        <v>0</v>
      </c>
      <c r="G63" s="185">
        <v>983</v>
      </c>
      <c r="H63" s="185">
        <v>48</v>
      </c>
      <c r="I63" s="185">
        <f t="shared" si="7"/>
        <v>621</v>
      </c>
      <c r="J63" s="185">
        <v>0</v>
      </c>
      <c r="K63" s="185">
        <v>0</v>
      </c>
      <c r="L63" s="185">
        <v>588</v>
      </c>
      <c r="M63" s="185">
        <v>33</v>
      </c>
      <c r="O63" s="187"/>
    </row>
    <row r="64" spans="1:15" ht="12.75" x14ac:dyDescent="0.2">
      <c r="A64" s="207">
        <v>54</v>
      </c>
      <c r="B64" s="210" t="s">
        <v>87</v>
      </c>
      <c r="C64" s="211" t="s">
        <v>88</v>
      </c>
      <c r="D64" s="185">
        <f t="shared" si="6"/>
        <v>593</v>
      </c>
      <c r="E64" s="185">
        <v>0</v>
      </c>
      <c r="F64" s="185">
        <v>0</v>
      </c>
      <c r="G64" s="185">
        <v>498</v>
      </c>
      <c r="H64" s="185">
        <v>95</v>
      </c>
      <c r="I64" s="185">
        <f t="shared" si="7"/>
        <v>593</v>
      </c>
      <c r="J64" s="185">
        <v>0</v>
      </c>
      <c r="K64" s="185">
        <v>0</v>
      </c>
      <c r="L64" s="185">
        <v>498</v>
      </c>
      <c r="M64" s="185">
        <v>95</v>
      </c>
      <c r="O64" s="187"/>
    </row>
    <row r="65" spans="1:15" ht="12.75" x14ac:dyDescent="0.2">
      <c r="A65" s="207">
        <v>55</v>
      </c>
      <c r="B65" s="210" t="s">
        <v>89</v>
      </c>
      <c r="C65" s="211" t="s">
        <v>389</v>
      </c>
      <c r="D65" s="185">
        <f t="shared" si="6"/>
        <v>1022</v>
      </c>
      <c r="E65" s="185">
        <v>0</v>
      </c>
      <c r="F65" s="185">
        <v>0</v>
      </c>
      <c r="G65" s="185">
        <v>978</v>
      </c>
      <c r="H65" s="185">
        <v>44</v>
      </c>
      <c r="I65" s="185">
        <f t="shared" si="7"/>
        <v>647</v>
      </c>
      <c r="J65" s="185">
        <v>0</v>
      </c>
      <c r="K65" s="185">
        <v>0</v>
      </c>
      <c r="L65" s="185">
        <v>603</v>
      </c>
      <c r="M65" s="185">
        <v>44</v>
      </c>
      <c r="O65" s="187"/>
    </row>
    <row r="66" spans="1:15" x14ac:dyDescent="0.2">
      <c r="A66" s="207">
        <v>56</v>
      </c>
      <c r="B66" s="97" t="s">
        <v>176</v>
      </c>
      <c r="C66" s="86" t="s">
        <v>390</v>
      </c>
      <c r="D66" s="185">
        <f t="shared" si="6"/>
        <v>0</v>
      </c>
      <c r="E66" s="185">
        <v>0</v>
      </c>
      <c r="F66" s="185">
        <v>0</v>
      </c>
      <c r="G66" s="185">
        <v>0</v>
      </c>
      <c r="H66" s="185">
        <v>0</v>
      </c>
      <c r="I66" s="185">
        <f t="shared" si="7"/>
        <v>0</v>
      </c>
      <c r="J66" s="185">
        <v>0</v>
      </c>
      <c r="K66" s="185">
        <v>0</v>
      </c>
      <c r="L66" s="185">
        <v>0</v>
      </c>
      <c r="M66" s="185">
        <v>0</v>
      </c>
      <c r="O66" s="187"/>
    </row>
    <row r="67" spans="1:15" x14ac:dyDescent="0.2">
      <c r="A67" s="207">
        <v>57</v>
      </c>
      <c r="B67" s="97" t="s">
        <v>322</v>
      </c>
      <c r="C67" s="86" t="s">
        <v>323</v>
      </c>
      <c r="D67" s="185">
        <f t="shared" si="6"/>
        <v>0</v>
      </c>
      <c r="E67" s="185">
        <v>0</v>
      </c>
      <c r="F67" s="185">
        <v>0</v>
      </c>
      <c r="G67" s="185">
        <v>0</v>
      </c>
      <c r="H67" s="185">
        <v>0</v>
      </c>
      <c r="I67" s="185">
        <f t="shared" si="7"/>
        <v>0</v>
      </c>
      <c r="J67" s="185">
        <v>0</v>
      </c>
      <c r="K67" s="185">
        <v>0</v>
      </c>
      <c r="L67" s="185">
        <v>0</v>
      </c>
      <c r="M67" s="185">
        <v>0</v>
      </c>
      <c r="O67" s="187"/>
    </row>
    <row r="68" spans="1:15" ht="25.5" x14ac:dyDescent="0.2">
      <c r="A68" s="207">
        <v>58</v>
      </c>
      <c r="B68" s="210" t="s">
        <v>90</v>
      </c>
      <c r="C68" s="211" t="s">
        <v>391</v>
      </c>
      <c r="D68" s="185">
        <f t="shared" si="6"/>
        <v>0</v>
      </c>
      <c r="E68" s="185">
        <v>0</v>
      </c>
      <c r="F68" s="185">
        <v>0</v>
      </c>
      <c r="G68" s="185">
        <v>0</v>
      </c>
      <c r="H68" s="185">
        <v>0</v>
      </c>
      <c r="I68" s="185">
        <f t="shared" si="7"/>
        <v>0</v>
      </c>
      <c r="J68" s="185">
        <v>0</v>
      </c>
      <c r="K68" s="185">
        <v>0</v>
      </c>
      <c r="L68" s="185">
        <v>0</v>
      </c>
      <c r="M68" s="185">
        <v>0</v>
      </c>
      <c r="O68" s="187"/>
    </row>
    <row r="69" spans="1:15" ht="25.5" x14ac:dyDescent="0.2">
      <c r="A69" s="207">
        <v>59</v>
      </c>
      <c r="B69" s="208" t="s">
        <v>91</v>
      </c>
      <c r="C69" s="211" t="s">
        <v>392</v>
      </c>
      <c r="D69" s="185">
        <f t="shared" si="6"/>
        <v>0</v>
      </c>
      <c r="E69" s="185">
        <v>0</v>
      </c>
      <c r="F69" s="185">
        <v>0</v>
      </c>
      <c r="G69" s="185">
        <v>0</v>
      </c>
      <c r="H69" s="185">
        <v>0</v>
      </c>
      <c r="I69" s="185">
        <f t="shared" si="7"/>
        <v>0</v>
      </c>
      <c r="J69" s="185">
        <v>0</v>
      </c>
      <c r="K69" s="185">
        <v>0</v>
      </c>
      <c r="L69" s="185">
        <v>0</v>
      </c>
      <c r="M69" s="185">
        <v>0</v>
      </c>
      <c r="O69" s="187"/>
    </row>
    <row r="70" spans="1:15" ht="25.5" x14ac:dyDescent="0.2">
      <c r="A70" s="207">
        <v>60</v>
      </c>
      <c r="B70" s="212" t="s">
        <v>92</v>
      </c>
      <c r="C70" s="213" t="s">
        <v>393</v>
      </c>
      <c r="D70" s="185">
        <f t="shared" si="6"/>
        <v>692</v>
      </c>
      <c r="E70" s="185">
        <v>0</v>
      </c>
      <c r="F70" s="185">
        <v>0</v>
      </c>
      <c r="G70" s="185">
        <v>0</v>
      </c>
      <c r="H70" s="185">
        <v>692</v>
      </c>
      <c r="I70" s="185">
        <f t="shared" si="7"/>
        <v>692</v>
      </c>
      <c r="J70" s="185">
        <v>0</v>
      </c>
      <c r="K70" s="185">
        <v>0</v>
      </c>
      <c r="L70" s="185">
        <v>0</v>
      </c>
      <c r="M70" s="185">
        <v>692</v>
      </c>
      <c r="O70" s="187"/>
    </row>
    <row r="71" spans="1:15" ht="25.5" x14ac:dyDescent="0.2">
      <c r="A71" s="207">
        <v>61</v>
      </c>
      <c r="B71" s="208" t="s">
        <v>93</v>
      </c>
      <c r="C71" s="211" t="s">
        <v>394</v>
      </c>
      <c r="D71" s="185">
        <f t="shared" si="6"/>
        <v>0</v>
      </c>
      <c r="E71" s="185">
        <v>0</v>
      </c>
      <c r="F71" s="185">
        <v>0</v>
      </c>
      <c r="G71" s="185">
        <v>0</v>
      </c>
      <c r="H71" s="185">
        <v>0</v>
      </c>
      <c r="I71" s="185">
        <f t="shared" si="7"/>
        <v>0</v>
      </c>
      <c r="J71" s="185">
        <v>0</v>
      </c>
      <c r="K71" s="185">
        <v>0</v>
      </c>
      <c r="L71" s="185">
        <v>0</v>
      </c>
      <c r="M71" s="185">
        <v>0</v>
      </c>
      <c r="O71" s="187"/>
    </row>
    <row r="72" spans="1:15" ht="25.5" x14ac:dyDescent="0.2">
      <c r="A72" s="207">
        <v>62</v>
      </c>
      <c r="B72" s="210" t="s">
        <v>94</v>
      </c>
      <c r="C72" s="211" t="s">
        <v>395</v>
      </c>
      <c r="D72" s="185">
        <f t="shared" si="6"/>
        <v>0</v>
      </c>
      <c r="E72" s="185">
        <v>0</v>
      </c>
      <c r="F72" s="185">
        <v>0</v>
      </c>
      <c r="G72" s="185">
        <v>0</v>
      </c>
      <c r="H72" s="185">
        <v>0</v>
      </c>
      <c r="I72" s="185">
        <f t="shared" si="7"/>
        <v>0</v>
      </c>
      <c r="J72" s="185">
        <v>0</v>
      </c>
      <c r="K72" s="185">
        <v>0</v>
      </c>
      <c r="L72" s="185">
        <v>0</v>
      </c>
      <c r="M72" s="185">
        <v>0</v>
      </c>
      <c r="O72" s="187"/>
    </row>
    <row r="73" spans="1:15" ht="38.25" x14ac:dyDescent="0.2">
      <c r="A73" s="207">
        <v>63</v>
      </c>
      <c r="B73" s="208" t="s">
        <v>177</v>
      </c>
      <c r="C73" s="211" t="s">
        <v>396</v>
      </c>
      <c r="D73" s="185">
        <f t="shared" si="6"/>
        <v>7798</v>
      </c>
      <c r="E73" s="185">
        <v>0</v>
      </c>
      <c r="F73" s="185">
        <v>7798</v>
      </c>
      <c r="G73" s="185">
        <v>0</v>
      </c>
      <c r="H73" s="185">
        <v>0</v>
      </c>
      <c r="I73" s="185">
        <f t="shared" si="7"/>
        <v>4207</v>
      </c>
      <c r="J73" s="185">
        <v>0</v>
      </c>
      <c r="K73" s="185">
        <f>3592+615</f>
        <v>4207</v>
      </c>
      <c r="L73" s="185">
        <v>0</v>
      </c>
      <c r="M73" s="185">
        <v>0</v>
      </c>
      <c r="O73" s="187"/>
    </row>
    <row r="74" spans="1:15" ht="38.25" x14ac:dyDescent="0.2">
      <c r="A74" s="207">
        <v>64</v>
      </c>
      <c r="B74" s="208" t="s">
        <v>178</v>
      </c>
      <c r="C74" s="211" t="s">
        <v>397</v>
      </c>
      <c r="D74" s="185">
        <f t="shared" si="6"/>
        <v>22746</v>
      </c>
      <c r="E74" s="185">
        <v>0</v>
      </c>
      <c r="F74" s="185">
        <v>22746</v>
      </c>
      <c r="G74" s="185">
        <v>0</v>
      </c>
      <c r="H74" s="185">
        <v>0</v>
      </c>
      <c r="I74" s="185">
        <f t="shared" si="7"/>
        <v>12096</v>
      </c>
      <c r="J74" s="185">
        <v>0</v>
      </c>
      <c r="K74" s="185">
        <v>12096</v>
      </c>
      <c r="L74" s="185">
        <v>0</v>
      </c>
      <c r="M74" s="185">
        <v>0</v>
      </c>
      <c r="O74" s="187"/>
    </row>
    <row r="75" spans="1:15" ht="12.75" x14ac:dyDescent="0.2">
      <c r="A75" s="207">
        <v>65</v>
      </c>
      <c r="B75" s="208" t="s">
        <v>95</v>
      </c>
      <c r="C75" s="211" t="s">
        <v>398</v>
      </c>
      <c r="D75" s="185">
        <f t="shared" si="6"/>
        <v>0</v>
      </c>
      <c r="E75" s="185">
        <v>0</v>
      </c>
      <c r="F75" s="185">
        <v>0</v>
      </c>
      <c r="G75" s="185">
        <v>0</v>
      </c>
      <c r="H75" s="185">
        <v>0</v>
      </c>
      <c r="I75" s="185">
        <f t="shared" si="7"/>
        <v>0</v>
      </c>
      <c r="J75" s="185">
        <v>0</v>
      </c>
      <c r="K75" s="185">
        <v>0</v>
      </c>
      <c r="L75" s="185">
        <v>0</v>
      </c>
      <c r="M75" s="185">
        <v>0</v>
      </c>
      <c r="O75" s="187"/>
    </row>
    <row r="76" spans="1:15" ht="12.75" x14ac:dyDescent="0.2">
      <c r="A76" s="207">
        <v>66</v>
      </c>
      <c r="B76" s="208" t="s">
        <v>96</v>
      </c>
      <c r="C76" s="211" t="s">
        <v>399</v>
      </c>
      <c r="D76" s="185">
        <f t="shared" ref="D76:D139" si="8">E76+F76+G76+H76</f>
        <v>0</v>
      </c>
      <c r="E76" s="185">
        <v>0</v>
      </c>
      <c r="F76" s="185">
        <v>0</v>
      </c>
      <c r="G76" s="185">
        <v>0</v>
      </c>
      <c r="H76" s="185">
        <v>0</v>
      </c>
      <c r="I76" s="185">
        <f t="shared" ref="I76:I139" si="9">J76+K76+L76+M76</f>
        <v>0</v>
      </c>
      <c r="J76" s="185">
        <v>0</v>
      </c>
      <c r="K76" s="185">
        <v>0</v>
      </c>
      <c r="L76" s="185">
        <v>0</v>
      </c>
      <c r="M76" s="185">
        <v>0</v>
      </c>
      <c r="O76" s="187"/>
    </row>
    <row r="77" spans="1:15" ht="12.75" x14ac:dyDescent="0.2">
      <c r="A77" s="207">
        <v>67</v>
      </c>
      <c r="B77" s="208" t="s">
        <v>97</v>
      </c>
      <c r="C77" s="211" t="s">
        <v>400</v>
      </c>
      <c r="D77" s="185">
        <f t="shared" si="8"/>
        <v>169</v>
      </c>
      <c r="E77" s="185">
        <v>0</v>
      </c>
      <c r="F77" s="185">
        <v>0</v>
      </c>
      <c r="G77" s="185">
        <v>169</v>
      </c>
      <c r="H77" s="185">
        <v>0</v>
      </c>
      <c r="I77" s="185">
        <f t="shared" si="9"/>
        <v>109</v>
      </c>
      <c r="J77" s="185">
        <v>0</v>
      </c>
      <c r="K77" s="185">
        <v>0</v>
      </c>
      <c r="L77" s="185">
        <v>109</v>
      </c>
      <c r="M77" s="185">
        <v>0</v>
      </c>
      <c r="O77" s="187"/>
    </row>
    <row r="78" spans="1:15" ht="12.75" x14ac:dyDescent="0.2">
      <c r="A78" s="207">
        <v>68</v>
      </c>
      <c r="B78" s="208" t="s">
        <v>98</v>
      </c>
      <c r="C78" s="211" t="s">
        <v>401</v>
      </c>
      <c r="D78" s="185">
        <f t="shared" si="8"/>
        <v>0</v>
      </c>
      <c r="E78" s="185">
        <v>0</v>
      </c>
      <c r="F78" s="185">
        <v>0</v>
      </c>
      <c r="G78" s="185">
        <v>0</v>
      </c>
      <c r="H78" s="185">
        <v>0</v>
      </c>
      <c r="I78" s="185">
        <f t="shared" si="9"/>
        <v>0</v>
      </c>
      <c r="J78" s="185">
        <v>0</v>
      </c>
      <c r="K78" s="185">
        <v>0</v>
      </c>
      <c r="L78" s="185">
        <v>0</v>
      </c>
      <c r="M78" s="185">
        <v>0</v>
      </c>
      <c r="O78" s="187"/>
    </row>
    <row r="79" spans="1:15" ht="12.75" x14ac:dyDescent="0.2">
      <c r="A79" s="207">
        <v>69</v>
      </c>
      <c r="B79" s="208" t="s">
        <v>99</v>
      </c>
      <c r="C79" s="211" t="s">
        <v>402</v>
      </c>
      <c r="D79" s="185">
        <f t="shared" si="8"/>
        <v>0</v>
      </c>
      <c r="E79" s="185">
        <v>0</v>
      </c>
      <c r="F79" s="185">
        <v>0</v>
      </c>
      <c r="G79" s="185">
        <v>0</v>
      </c>
      <c r="H79" s="185">
        <v>0</v>
      </c>
      <c r="I79" s="185">
        <f t="shared" si="9"/>
        <v>0</v>
      </c>
      <c r="J79" s="185">
        <v>0</v>
      </c>
      <c r="K79" s="185">
        <v>0</v>
      </c>
      <c r="L79" s="185">
        <v>0</v>
      </c>
      <c r="M79" s="185">
        <v>0</v>
      </c>
      <c r="O79" s="187"/>
    </row>
    <row r="80" spans="1:15" ht="12.75" x14ac:dyDescent="0.2">
      <c r="A80" s="207">
        <v>70</v>
      </c>
      <c r="B80" s="210" t="s">
        <v>100</v>
      </c>
      <c r="C80" s="211" t="s">
        <v>403</v>
      </c>
      <c r="D80" s="185">
        <f t="shared" si="8"/>
        <v>0</v>
      </c>
      <c r="E80" s="185">
        <v>0</v>
      </c>
      <c r="F80" s="185">
        <v>0</v>
      </c>
      <c r="G80" s="185">
        <v>0</v>
      </c>
      <c r="H80" s="185">
        <v>0</v>
      </c>
      <c r="I80" s="185">
        <f t="shared" si="9"/>
        <v>0</v>
      </c>
      <c r="J80" s="185">
        <v>0</v>
      </c>
      <c r="K80" s="185">
        <v>0</v>
      </c>
      <c r="L80" s="185">
        <v>0</v>
      </c>
      <c r="M80" s="185">
        <v>0</v>
      </c>
      <c r="O80" s="187"/>
    </row>
    <row r="81" spans="1:15" ht="12.75" x14ac:dyDescent="0.2">
      <c r="A81" s="207">
        <v>71</v>
      </c>
      <c r="B81" s="208" t="s">
        <v>101</v>
      </c>
      <c r="C81" s="209" t="s">
        <v>404</v>
      </c>
      <c r="D81" s="185">
        <f t="shared" si="8"/>
        <v>0</v>
      </c>
      <c r="E81" s="185">
        <v>0</v>
      </c>
      <c r="F81" s="185">
        <v>0</v>
      </c>
      <c r="G81" s="185">
        <v>0</v>
      </c>
      <c r="H81" s="185">
        <v>0</v>
      </c>
      <c r="I81" s="185">
        <f t="shared" si="9"/>
        <v>0</v>
      </c>
      <c r="J81" s="185">
        <v>0</v>
      </c>
      <c r="K81" s="185">
        <v>0</v>
      </c>
      <c r="L81" s="185">
        <v>0</v>
      </c>
      <c r="M81" s="185">
        <v>0</v>
      </c>
      <c r="O81" s="187"/>
    </row>
    <row r="82" spans="1:15" ht="12.75" x14ac:dyDescent="0.2">
      <c r="A82" s="207">
        <v>72</v>
      </c>
      <c r="B82" s="210" t="s">
        <v>102</v>
      </c>
      <c r="C82" s="211" t="s">
        <v>405</v>
      </c>
      <c r="D82" s="185">
        <f t="shared" si="8"/>
        <v>0</v>
      </c>
      <c r="E82" s="185">
        <v>0</v>
      </c>
      <c r="F82" s="185">
        <v>0</v>
      </c>
      <c r="G82" s="185">
        <v>0</v>
      </c>
      <c r="H82" s="185">
        <v>0</v>
      </c>
      <c r="I82" s="185">
        <f t="shared" si="9"/>
        <v>0</v>
      </c>
      <c r="J82" s="185">
        <v>0</v>
      </c>
      <c r="K82" s="185">
        <v>0</v>
      </c>
      <c r="L82" s="185">
        <v>0</v>
      </c>
      <c r="M82" s="185">
        <v>0</v>
      </c>
      <c r="O82" s="187"/>
    </row>
    <row r="83" spans="1:15" ht="12.75" x14ac:dyDescent="0.2">
      <c r="A83" s="207">
        <v>73</v>
      </c>
      <c r="B83" s="208" t="s">
        <v>103</v>
      </c>
      <c r="C83" s="211" t="s">
        <v>406</v>
      </c>
      <c r="D83" s="185">
        <f t="shared" si="8"/>
        <v>0</v>
      </c>
      <c r="E83" s="185">
        <v>0</v>
      </c>
      <c r="F83" s="185">
        <v>0</v>
      </c>
      <c r="G83" s="185">
        <v>0</v>
      </c>
      <c r="H83" s="185">
        <v>0</v>
      </c>
      <c r="I83" s="185">
        <f t="shared" si="9"/>
        <v>0</v>
      </c>
      <c r="J83" s="185">
        <v>0</v>
      </c>
      <c r="K83" s="185">
        <v>0</v>
      </c>
      <c r="L83" s="185">
        <v>0</v>
      </c>
      <c r="M83" s="185">
        <v>0</v>
      </c>
      <c r="O83" s="187"/>
    </row>
    <row r="84" spans="1:15" ht="12.75" x14ac:dyDescent="0.2">
      <c r="A84" s="207">
        <v>74</v>
      </c>
      <c r="B84" s="210" t="s">
        <v>104</v>
      </c>
      <c r="C84" s="211" t="s">
        <v>407</v>
      </c>
      <c r="D84" s="185">
        <f t="shared" si="8"/>
        <v>0</v>
      </c>
      <c r="E84" s="185">
        <v>0</v>
      </c>
      <c r="F84" s="185">
        <v>0</v>
      </c>
      <c r="G84" s="185">
        <v>0</v>
      </c>
      <c r="H84" s="185">
        <v>0</v>
      </c>
      <c r="I84" s="185">
        <f t="shared" si="9"/>
        <v>0</v>
      </c>
      <c r="J84" s="185">
        <v>0</v>
      </c>
      <c r="K84" s="185">
        <v>0</v>
      </c>
      <c r="L84" s="185">
        <v>0</v>
      </c>
      <c r="M84" s="185">
        <v>0</v>
      </c>
      <c r="O84" s="187"/>
    </row>
    <row r="85" spans="1:15" ht="12.75" x14ac:dyDescent="0.2">
      <c r="A85" s="207">
        <v>75</v>
      </c>
      <c r="B85" s="210" t="s">
        <v>105</v>
      </c>
      <c r="C85" s="211" t="s">
        <v>408</v>
      </c>
      <c r="D85" s="185">
        <f t="shared" si="8"/>
        <v>0</v>
      </c>
      <c r="E85" s="185">
        <v>0</v>
      </c>
      <c r="F85" s="185">
        <v>0</v>
      </c>
      <c r="G85" s="185">
        <v>0</v>
      </c>
      <c r="H85" s="185">
        <v>0</v>
      </c>
      <c r="I85" s="185">
        <f t="shared" si="9"/>
        <v>0</v>
      </c>
      <c r="J85" s="185">
        <v>0</v>
      </c>
      <c r="K85" s="185">
        <v>0</v>
      </c>
      <c r="L85" s="185">
        <v>0</v>
      </c>
      <c r="M85" s="185">
        <v>0</v>
      </c>
      <c r="O85" s="187"/>
    </row>
    <row r="86" spans="1:15" ht="25.5" x14ac:dyDescent="0.2">
      <c r="A86" s="207">
        <v>76</v>
      </c>
      <c r="B86" s="218" t="s">
        <v>179</v>
      </c>
      <c r="C86" s="217" t="s">
        <v>409</v>
      </c>
      <c r="D86" s="185">
        <f t="shared" si="8"/>
        <v>473</v>
      </c>
      <c r="E86" s="185">
        <v>473</v>
      </c>
      <c r="F86" s="185">
        <v>0</v>
      </c>
      <c r="G86" s="185">
        <v>0</v>
      </c>
      <c r="H86" s="185">
        <v>0</v>
      </c>
      <c r="I86" s="185">
        <f t="shared" si="9"/>
        <v>313</v>
      </c>
      <c r="J86" s="185">
        <v>313</v>
      </c>
      <c r="K86" s="185">
        <v>0</v>
      </c>
      <c r="L86" s="185">
        <v>0</v>
      </c>
      <c r="M86" s="185">
        <v>0</v>
      </c>
      <c r="O86" s="187"/>
    </row>
    <row r="87" spans="1:15" ht="25.5" x14ac:dyDescent="0.2">
      <c r="A87" s="207">
        <v>77</v>
      </c>
      <c r="B87" s="208" t="s">
        <v>180</v>
      </c>
      <c r="C87" s="211" t="s">
        <v>410</v>
      </c>
      <c r="D87" s="185">
        <f t="shared" si="8"/>
        <v>26</v>
      </c>
      <c r="E87" s="185">
        <v>26</v>
      </c>
      <c r="F87" s="185">
        <v>0</v>
      </c>
      <c r="G87" s="185">
        <v>0</v>
      </c>
      <c r="H87" s="185">
        <v>0</v>
      </c>
      <c r="I87" s="185">
        <f t="shared" si="9"/>
        <v>26</v>
      </c>
      <c r="J87" s="185">
        <v>26</v>
      </c>
      <c r="K87" s="185">
        <v>0</v>
      </c>
      <c r="L87" s="185">
        <v>0</v>
      </c>
      <c r="M87" s="185">
        <v>0</v>
      </c>
      <c r="O87" s="187"/>
    </row>
    <row r="88" spans="1:15" ht="25.5" x14ac:dyDescent="0.2">
      <c r="A88" s="207">
        <v>78</v>
      </c>
      <c r="B88" s="208" t="s">
        <v>181</v>
      </c>
      <c r="C88" s="211" t="s">
        <v>411</v>
      </c>
      <c r="D88" s="185">
        <f t="shared" si="8"/>
        <v>173</v>
      </c>
      <c r="E88" s="185">
        <v>173</v>
      </c>
      <c r="F88" s="185">
        <v>0</v>
      </c>
      <c r="G88" s="185">
        <v>0</v>
      </c>
      <c r="H88" s="185">
        <v>0</v>
      </c>
      <c r="I88" s="185">
        <f t="shared" si="9"/>
        <v>107</v>
      </c>
      <c r="J88" s="185">
        <v>107</v>
      </c>
      <c r="K88" s="185">
        <v>0</v>
      </c>
      <c r="L88" s="185">
        <v>0</v>
      </c>
      <c r="M88" s="185">
        <v>0</v>
      </c>
      <c r="O88" s="187"/>
    </row>
    <row r="89" spans="1:15" ht="25.5" x14ac:dyDescent="0.2">
      <c r="A89" s="207">
        <v>79</v>
      </c>
      <c r="B89" s="208" t="s">
        <v>182</v>
      </c>
      <c r="C89" s="211" t="s">
        <v>412</v>
      </c>
      <c r="D89" s="185">
        <f t="shared" si="8"/>
        <v>0</v>
      </c>
      <c r="E89" s="185">
        <v>0</v>
      </c>
      <c r="F89" s="185">
        <v>0</v>
      </c>
      <c r="G89" s="185">
        <v>0</v>
      </c>
      <c r="H89" s="185">
        <v>0</v>
      </c>
      <c r="I89" s="185">
        <f t="shared" si="9"/>
        <v>0</v>
      </c>
      <c r="J89" s="185">
        <f>41-41</f>
        <v>0</v>
      </c>
      <c r="K89" s="185">
        <v>0</v>
      </c>
      <c r="L89" s="185">
        <v>0</v>
      </c>
      <c r="M89" s="185">
        <v>0</v>
      </c>
      <c r="O89" s="187"/>
    </row>
    <row r="90" spans="1:15" ht="25.5" x14ac:dyDescent="0.2">
      <c r="A90" s="207">
        <v>80</v>
      </c>
      <c r="B90" s="208" t="s">
        <v>183</v>
      </c>
      <c r="C90" s="211" t="s">
        <v>413</v>
      </c>
      <c r="D90" s="185">
        <f t="shared" si="8"/>
        <v>5117</v>
      </c>
      <c r="E90" s="185">
        <v>840</v>
      </c>
      <c r="F90" s="185">
        <v>4277</v>
      </c>
      <c r="G90" s="185">
        <v>0</v>
      </c>
      <c r="H90" s="185">
        <v>0</v>
      </c>
      <c r="I90" s="185">
        <f t="shared" si="9"/>
        <v>3087</v>
      </c>
      <c r="J90" s="185">
        <v>635</v>
      </c>
      <c r="K90" s="185">
        <v>2452</v>
      </c>
      <c r="L90" s="185">
        <v>0</v>
      </c>
      <c r="M90" s="185">
        <v>0</v>
      </c>
      <c r="O90" s="187"/>
    </row>
    <row r="91" spans="1:15" ht="25.5" x14ac:dyDescent="0.2">
      <c r="A91" s="207">
        <v>81</v>
      </c>
      <c r="B91" s="208" t="s">
        <v>184</v>
      </c>
      <c r="C91" s="211" t="s">
        <v>414</v>
      </c>
      <c r="D91" s="185">
        <f t="shared" si="8"/>
        <v>286</v>
      </c>
      <c r="E91" s="185">
        <v>286</v>
      </c>
      <c r="F91" s="185">
        <v>0</v>
      </c>
      <c r="G91" s="185">
        <v>0</v>
      </c>
      <c r="H91" s="185">
        <v>0</v>
      </c>
      <c r="I91" s="185">
        <f t="shared" si="9"/>
        <v>174</v>
      </c>
      <c r="J91" s="185">
        <v>174</v>
      </c>
      <c r="K91" s="185">
        <v>0</v>
      </c>
      <c r="L91" s="185">
        <v>0</v>
      </c>
      <c r="M91" s="185">
        <v>0</v>
      </c>
      <c r="O91" s="187"/>
    </row>
    <row r="92" spans="1:15" ht="25.5" x14ac:dyDescent="0.2">
      <c r="A92" s="207">
        <v>82</v>
      </c>
      <c r="B92" s="208" t="s">
        <v>185</v>
      </c>
      <c r="C92" s="211" t="s">
        <v>415</v>
      </c>
      <c r="D92" s="185">
        <f t="shared" si="8"/>
        <v>46</v>
      </c>
      <c r="E92" s="185">
        <v>46</v>
      </c>
      <c r="F92" s="185">
        <v>0</v>
      </c>
      <c r="G92" s="185">
        <v>0</v>
      </c>
      <c r="H92" s="185">
        <v>0</v>
      </c>
      <c r="I92" s="185">
        <f t="shared" si="9"/>
        <v>46</v>
      </c>
      <c r="J92" s="185">
        <v>46</v>
      </c>
      <c r="K92" s="185">
        <v>0</v>
      </c>
      <c r="L92" s="185">
        <v>0</v>
      </c>
      <c r="M92" s="185">
        <v>0</v>
      </c>
      <c r="O92" s="187"/>
    </row>
    <row r="93" spans="1:15" ht="25.5" x14ac:dyDescent="0.2">
      <c r="A93" s="207">
        <v>83</v>
      </c>
      <c r="B93" s="210" t="s">
        <v>106</v>
      </c>
      <c r="C93" s="211" t="s">
        <v>107</v>
      </c>
      <c r="D93" s="185">
        <f t="shared" si="8"/>
        <v>0</v>
      </c>
      <c r="E93" s="185">
        <v>0</v>
      </c>
      <c r="F93" s="185">
        <v>0</v>
      </c>
      <c r="G93" s="185">
        <v>0</v>
      </c>
      <c r="H93" s="185">
        <v>0</v>
      </c>
      <c r="I93" s="185">
        <f t="shared" si="9"/>
        <v>0</v>
      </c>
      <c r="J93" s="185">
        <v>0</v>
      </c>
      <c r="K93" s="185">
        <v>0</v>
      </c>
      <c r="L93" s="185">
        <v>0</v>
      </c>
      <c r="M93" s="185">
        <v>0</v>
      </c>
      <c r="O93" s="187"/>
    </row>
    <row r="94" spans="1:15" ht="12.75" x14ac:dyDescent="0.2">
      <c r="A94" s="207">
        <v>84</v>
      </c>
      <c r="B94" s="208" t="s">
        <v>108</v>
      </c>
      <c r="C94" s="211" t="s">
        <v>416</v>
      </c>
      <c r="D94" s="185">
        <f t="shared" si="8"/>
        <v>0</v>
      </c>
      <c r="E94" s="185">
        <v>0</v>
      </c>
      <c r="F94" s="185">
        <v>0</v>
      </c>
      <c r="G94" s="185">
        <v>0</v>
      </c>
      <c r="H94" s="185">
        <v>0</v>
      </c>
      <c r="I94" s="185">
        <f t="shared" si="9"/>
        <v>0</v>
      </c>
      <c r="J94" s="185">
        <v>0</v>
      </c>
      <c r="K94" s="185">
        <v>0</v>
      </c>
      <c r="L94" s="185">
        <v>0</v>
      </c>
      <c r="M94" s="185">
        <v>0</v>
      </c>
      <c r="O94" s="187"/>
    </row>
    <row r="95" spans="1:15" ht="12.75" x14ac:dyDescent="0.2">
      <c r="A95" s="207">
        <v>85</v>
      </c>
      <c r="B95" s="210" t="s">
        <v>109</v>
      </c>
      <c r="C95" s="211" t="s">
        <v>417</v>
      </c>
      <c r="D95" s="185">
        <f t="shared" si="8"/>
        <v>1800</v>
      </c>
      <c r="E95" s="185">
        <v>0</v>
      </c>
      <c r="F95" s="185">
        <v>0</v>
      </c>
      <c r="G95" s="185">
        <v>1800</v>
      </c>
      <c r="H95" s="185">
        <v>0</v>
      </c>
      <c r="I95" s="185">
        <f t="shared" si="9"/>
        <v>1800</v>
      </c>
      <c r="J95" s="185">
        <v>0</v>
      </c>
      <c r="K95" s="185">
        <v>0</v>
      </c>
      <c r="L95" s="185">
        <v>1800</v>
      </c>
      <c r="M95" s="185">
        <v>0</v>
      </c>
      <c r="O95" s="187"/>
    </row>
    <row r="96" spans="1:15" ht="12.75" x14ac:dyDescent="0.2">
      <c r="A96" s="207">
        <v>86</v>
      </c>
      <c r="B96" s="212" t="s">
        <v>110</v>
      </c>
      <c r="C96" s="213" t="s">
        <v>418</v>
      </c>
      <c r="D96" s="185">
        <f t="shared" si="8"/>
        <v>3588</v>
      </c>
      <c r="E96" s="185">
        <v>0</v>
      </c>
      <c r="F96" s="185">
        <v>0</v>
      </c>
      <c r="G96" s="185">
        <v>3588</v>
      </c>
      <c r="H96" s="185">
        <v>0</v>
      </c>
      <c r="I96" s="185">
        <f t="shared" si="9"/>
        <v>2519</v>
      </c>
      <c r="J96" s="185">
        <v>0</v>
      </c>
      <c r="K96" s="185">
        <v>0</v>
      </c>
      <c r="L96" s="185">
        <v>2519</v>
      </c>
      <c r="M96" s="185">
        <v>0</v>
      </c>
      <c r="O96" s="187"/>
    </row>
    <row r="97" spans="1:15" ht="12.75" x14ac:dyDescent="0.2">
      <c r="A97" s="207">
        <v>87</v>
      </c>
      <c r="B97" s="208" t="s">
        <v>111</v>
      </c>
      <c r="C97" s="211" t="s">
        <v>419</v>
      </c>
      <c r="D97" s="185">
        <f t="shared" si="8"/>
        <v>0</v>
      </c>
      <c r="E97" s="185">
        <v>0</v>
      </c>
      <c r="F97" s="185">
        <v>0</v>
      </c>
      <c r="G97" s="185">
        <v>0</v>
      </c>
      <c r="H97" s="185">
        <v>0</v>
      </c>
      <c r="I97" s="185">
        <f t="shared" si="9"/>
        <v>0</v>
      </c>
      <c r="J97" s="185">
        <v>0</v>
      </c>
      <c r="K97" s="185">
        <v>0</v>
      </c>
      <c r="L97" s="185">
        <v>0</v>
      </c>
      <c r="M97" s="185">
        <v>0</v>
      </c>
      <c r="O97" s="187"/>
    </row>
    <row r="98" spans="1:15" ht="12.75" x14ac:dyDescent="0.2">
      <c r="A98" s="207">
        <v>88</v>
      </c>
      <c r="B98" s="208" t="s">
        <v>112</v>
      </c>
      <c r="C98" s="211" t="s">
        <v>420</v>
      </c>
      <c r="D98" s="185">
        <f t="shared" si="8"/>
        <v>366</v>
      </c>
      <c r="E98" s="185">
        <v>0</v>
      </c>
      <c r="F98" s="185">
        <v>0</v>
      </c>
      <c r="G98" s="185">
        <v>366</v>
      </c>
      <c r="H98" s="185">
        <v>0</v>
      </c>
      <c r="I98" s="185">
        <f t="shared" si="9"/>
        <v>366</v>
      </c>
      <c r="J98" s="185">
        <v>0</v>
      </c>
      <c r="K98" s="185">
        <v>0</v>
      </c>
      <c r="L98" s="185">
        <v>366</v>
      </c>
      <c r="M98" s="185">
        <v>0</v>
      </c>
      <c r="O98" s="187"/>
    </row>
    <row r="99" spans="1:15" ht="12.75" x14ac:dyDescent="0.2">
      <c r="A99" s="207">
        <v>89</v>
      </c>
      <c r="B99" s="212" t="s">
        <v>113</v>
      </c>
      <c r="C99" s="213" t="s">
        <v>421</v>
      </c>
      <c r="D99" s="185">
        <f t="shared" si="8"/>
        <v>0</v>
      </c>
      <c r="E99" s="185">
        <v>0</v>
      </c>
      <c r="F99" s="185">
        <v>0</v>
      </c>
      <c r="G99" s="185">
        <v>0</v>
      </c>
      <c r="H99" s="185">
        <v>0</v>
      </c>
      <c r="I99" s="185">
        <f t="shared" si="9"/>
        <v>0</v>
      </c>
      <c r="J99" s="185">
        <v>0</v>
      </c>
      <c r="K99" s="185">
        <v>0</v>
      </c>
      <c r="L99" s="185">
        <v>0</v>
      </c>
      <c r="M99" s="185">
        <v>0</v>
      </c>
      <c r="O99" s="187"/>
    </row>
    <row r="100" spans="1:15" ht="12.75" x14ac:dyDescent="0.2">
      <c r="A100" s="207">
        <v>90</v>
      </c>
      <c r="B100" s="208" t="s">
        <v>9</v>
      </c>
      <c r="C100" s="211" t="s">
        <v>422</v>
      </c>
      <c r="D100" s="185">
        <f t="shared" si="8"/>
        <v>0</v>
      </c>
      <c r="E100" s="185">
        <v>0</v>
      </c>
      <c r="F100" s="185">
        <v>0</v>
      </c>
      <c r="G100" s="185">
        <f>84-84</f>
        <v>0</v>
      </c>
      <c r="H100" s="185">
        <v>0</v>
      </c>
      <c r="I100" s="185">
        <f t="shared" si="9"/>
        <v>0</v>
      </c>
      <c r="J100" s="185">
        <v>0</v>
      </c>
      <c r="K100" s="185">
        <v>0</v>
      </c>
      <c r="L100" s="185">
        <f>84-84</f>
        <v>0</v>
      </c>
      <c r="M100" s="185">
        <v>0</v>
      </c>
      <c r="O100" s="187"/>
    </row>
    <row r="101" spans="1:15" ht="12.75" x14ac:dyDescent="0.2">
      <c r="A101" s="207">
        <v>91</v>
      </c>
      <c r="B101" s="212" t="s">
        <v>114</v>
      </c>
      <c r="C101" s="213" t="s">
        <v>423</v>
      </c>
      <c r="D101" s="185">
        <f t="shared" si="8"/>
        <v>0</v>
      </c>
      <c r="E101" s="185">
        <v>0</v>
      </c>
      <c r="F101" s="185">
        <v>0</v>
      </c>
      <c r="G101" s="185">
        <v>0</v>
      </c>
      <c r="H101" s="185">
        <v>0</v>
      </c>
      <c r="I101" s="185">
        <f t="shared" si="9"/>
        <v>0</v>
      </c>
      <c r="J101" s="185">
        <v>0</v>
      </c>
      <c r="K101" s="185">
        <v>0</v>
      </c>
      <c r="L101" s="185">
        <v>0</v>
      </c>
      <c r="M101" s="185">
        <v>0</v>
      </c>
      <c r="O101" s="187"/>
    </row>
    <row r="102" spans="1:15" x14ac:dyDescent="0.2">
      <c r="A102" s="207">
        <v>92</v>
      </c>
      <c r="B102" s="94" t="s">
        <v>324</v>
      </c>
      <c r="C102" s="86" t="s">
        <v>424</v>
      </c>
      <c r="D102" s="185">
        <f t="shared" si="8"/>
        <v>0</v>
      </c>
      <c r="E102" s="185">
        <v>0</v>
      </c>
      <c r="F102" s="185">
        <v>0</v>
      </c>
      <c r="G102" s="185">
        <v>0</v>
      </c>
      <c r="H102" s="185">
        <v>0</v>
      </c>
      <c r="I102" s="185">
        <f t="shared" si="9"/>
        <v>0</v>
      </c>
      <c r="J102" s="185">
        <v>0</v>
      </c>
      <c r="K102" s="185">
        <v>0</v>
      </c>
      <c r="L102" s="185">
        <v>0</v>
      </c>
      <c r="M102" s="185">
        <v>0</v>
      </c>
      <c r="O102" s="187"/>
    </row>
    <row r="103" spans="1:15" ht="25.5" x14ac:dyDescent="0.2">
      <c r="A103" s="207">
        <v>93</v>
      </c>
      <c r="B103" s="210" t="s">
        <v>115</v>
      </c>
      <c r="C103" s="211" t="s">
        <v>116</v>
      </c>
      <c r="D103" s="185">
        <f t="shared" si="8"/>
        <v>0</v>
      </c>
      <c r="E103" s="185">
        <v>0</v>
      </c>
      <c r="F103" s="185">
        <v>0</v>
      </c>
      <c r="G103" s="185">
        <v>0</v>
      </c>
      <c r="H103" s="185">
        <v>0</v>
      </c>
      <c r="I103" s="185">
        <f t="shared" si="9"/>
        <v>0</v>
      </c>
      <c r="J103" s="185">
        <v>0</v>
      </c>
      <c r="K103" s="185">
        <v>0</v>
      </c>
      <c r="L103" s="185">
        <v>0</v>
      </c>
      <c r="M103" s="185">
        <v>0</v>
      </c>
      <c r="O103" s="187"/>
    </row>
    <row r="104" spans="1:15" ht="25.5" x14ac:dyDescent="0.2">
      <c r="A104" s="207">
        <v>94</v>
      </c>
      <c r="B104" s="208" t="s">
        <v>186</v>
      </c>
      <c r="C104" s="209" t="s">
        <v>425</v>
      </c>
      <c r="D104" s="185">
        <f t="shared" si="8"/>
        <v>0</v>
      </c>
      <c r="E104" s="185">
        <v>0</v>
      </c>
      <c r="F104" s="185">
        <v>0</v>
      </c>
      <c r="G104" s="185">
        <v>0</v>
      </c>
      <c r="H104" s="185">
        <v>0</v>
      </c>
      <c r="I104" s="185">
        <f t="shared" si="9"/>
        <v>0</v>
      </c>
      <c r="J104" s="185">
        <v>0</v>
      </c>
      <c r="K104" s="185">
        <v>0</v>
      </c>
      <c r="L104" s="185">
        <v>0</v>
      </c>
      <c r="M104" s="185">
        <v>0</v>
      </c>
      <c r="O104" s="187"/>
    </row>
    <row r="105" spans="1:15" ht="12.75" x14ac:dyDescent="0.2">
      <c r="A105" s="207">
        <v>95</v>
      </c>
      <c r="B105" s="208" t="s">
        <v>117</v>
      </c>
      <c r="C105" s="213" t="s">
        <v>426</v>
      </c>
      <c r="D105" s="185">
        <f t="shared" si="8"/>
        <v>0</v>
      </c>
      <c r="E105" s="185">
        <v>0</v>
      </c>
      <c r="F105" s="185">
        <v>0</v>
      </c>
      <c r="G105" s="185">
        <v>0</v>
      </c>
      <c r="H105" s="185">
        <v>0</v>
      </c>
      <c r="I105" s="185">
        <f t="shared" si="9"/>
        <v>0</v>
      </c>
      <c r="J105" s="185">
        <v>0</v>
      </c>
      <c r="K105" s="185">
        <v>0</v>
      </c>
      <c r="L105" s="185">
        <v>0</v>
      </c>
      <c r="M105" s="185">
        <v>0</v>
      </c>
      <c r="O105" s="187"/>
    </row>
    <row r="106" spans="1:15" ht="12.75" x14ac:dyDescent="0.2">
      <c r="A106" s="207">
        <v>96</v>
      </c>
      <c r="B106" s="210" t="s">
        <v>118</v>
      </c>
      <c r="C106" s="211" t="s">
        <v>427</v>
      </c>
      <c r="D106" s="185">
        <f t="shared" si="8"/>
        <v>0</v>
      </c>
      <c r="E106" s="185">
        <v>0</v>
      </c>
      <c r="F106" s="185">
        <v>0</v>
      </c>
      <c r="G106" s="185">
        <v>0</v>
      </c>
      <c r="H106" s="185">
        <v>0</v>
      </c>
      <c r="I106" s="185">
        <f t="shared" si="9"/>
        <v>0</v>
      </c>
      <c r="J106" s="185">
        <v>0</v>
      </c>
      <c r="K106" s="185">
        <v>0</v>
      </c>
      <c r="L106" s="185">
        <v>0</v>
      </c>
      <c r="M106" s="185">
        <v>0</v>
      </c>
      <c r="O106" s="187"/>
    </row>
    <row r="107" spans="1:15" ht="12.75" x14ac:dyDescent="0.2">
      <c r="A107" s="207">
        <v>97</v>
      </c>
      <c r="B107" s="208" t="s">
        <v>119</v>
      </c>
      <c r="C107" s="219" t="s">
        <v>120</v>
      </c>
      <c r="D107" s="185">
        <f t="shared" si="8"/>
        <v>537</v>
      </c>
      <c r="E107" s="185">
        <v>0</v>
      </c>
      <c r="F107" s="185">
        <v>0</v>
      </c>
      <c r="G107" s="185">
        <v>109</v>
      </c>
      <c r="H107" s="185">
        <v>428</v>
      </c>
      <c r="I107" s="185">
        <f t="shared" si="9"/>
        <v>327</v>
      </c>
      <c r="J107" s="185">
        <v>0</v>
      </c>
      <c r="K107" s="185">
        <v>0</v>
      </c>
      <c r="L107" s="185">
        <v>109</v>
      </c>
      <c r="M107" s="185">
        <v>218</v>
      </c>
      <c r="O107" s="187"/>
    </row>
    <row r="108" spans="1:15" ht="12.75" x14ac:dyDescent="0.2">
      <c r="A108" s="207">
        <v>98</v>
      </c>
      <c r="B108" s="210" t="s">
        <v>121</v>
      </c>
      <c r="C108" s="211" t="s">
        <v>122</v>
      </c>
      <c r="D108" s="185">
        <f t="shared" si="8"/>
        <v>27</v>
      </c>
      <c r="E108" s="185">
        <v>0</v>
      </c>
      <c r="F108" s="185">
        <v>0</v>
      </c>
      <c r="G108" s="185">
        <v>27</v>
      </c>
      <c r="H108" s="185">
        <v>0</v>
      </c>
      <c r="I108" s="185">
        <f t="shared" si="9"/>
        <v>27</v>
      </c>
      <c r="J108" s="185">
        <v>0</v>
      </c>
      <c r="K108" s="185">
        <v>0</v>
      </c>
      <c r="L108" s="185">
        <v>27</v>
      </c>
      <c r="M108" s="185">
        <v>0</v>
      </c>
      <c r="O108" s="187"/>
    </row>
    <row r="109" spans="1:15" ht="12.75" x14ac:dyDescent="0.2">
      <c r="A109" s="207">
        <v>99</v>
      </c>
      <c r="B109" s="210" t="s">
        <v>123</v>
      </c>
      <c r="C109" s="211" t="s">
        <v>124</v>
      </c>
      <c r="D109" s="185">
        <f t="shared" si="8"/>
        <v>343</v>
      </c>
      <c r="E109" s="185">
        <v>0</v>
      </c>
      <c r="F109" s="185">
        <v>0</v>
      </c>
      <c r="G109" s="185">
        <v>343</v>
      </c>
      <c r="H109" s="185">
        <v>0</v>
      </c>
      <c r="I109" s="185">
        <f t="shared" si="9"/>
        <v>343</v>
      </c>
      <c r="J109" s="185">
        <v>0</v>
      </c>
      <c r="K109" s="185">
        <v>0</v>
      </c>
      <c r="L109" s="185">
        <v>343</v>
      </c>
      <c r="M109" s="185">
        <v>0</v>
      </c>
      <c r="O109" s="187"/>
    </row>
    <row r="110" spans="1:15" ht="12.75" x14ac:dyDescent="0.2">
      <c r="A110" s="207">
        <v>100</v>
      </c>
      <c r="B110" s="208" t="s">
        <v>125</v>
      </c>
      <c r="C110" s="213" t="s">
        <v>126</v>
      </c>
      <c r="D110" s="185">
        <f t="shared" si="8"/>
        <v>119</v>
      </c>
      <c r="E110" s="185">
        <v>0</v>
      </c>
      <c r="F110" s="185">
        <v>0</v>
      </c>
      <c r="G110" s="185">
        <v>86</v>
      </c>
      <c r="H110" s="185">
        <v>33</v>
      </c>
      <c r="I110" s="185">
        <f t="shared" si="9"/>
        <v>119</v>
      </c>
      <c r="J110" s="185">
        <v>0</v>
      </c>
      <c r="K110" s="185">
        <v>0</v>
      </c>
      <c r="L110" s="185">
        <v>86</v>
      </c>
      <c r="M110" s="185">
        <v>33</v>
      </c>
      <c r="O110" s="187"/>
    </row>
    <row r="111" spans="1:15" ht="12.75" x14ac:dyDescent="0.2">
      <c r="A111" s="207">
        <v>101</v>
      </c>
      <c r="B111" s="208" t="s">
        <v>127</v>
      </c>
      <c r="C111" s="209" t="s">
        <v>128</v>
      </c>
      <c r="D111" s="185">
        <f t="shared" si="8"/>
        <v>265</v>
      </c>
      <c r="E111" s="185">
        <v>0</v>
      </c>
      <c r="F111" s="185">
        <v>0</v>
      </c>
      <c r="G111" s="185">
        <v>265</v>
      </c>
      <c r="H111" s="185">
        <v>0</v>
      </c>
      <c r="I111" s="185">
        <f t="shared" si="9"/>
        <v>265</v>
      </c>
      <c r="J111" s="185">
        <v>0</v>
      </c>
      <c r="K111" s="185">
        <v>0</v>
      </c>
      <c r="L111" s="185">
        <v>265</v>
      </c>
      <c r="M111" s="185">
        <v>0</v>
      </c>
      <c r="O111" s="187"/>
    </row>
    <row r="112" spans="1:15" ht="12.75" x14ac:dyDescent="0.2">
      <c r="A112" s="207">
        <v>102</v>
      </c>
      <c r="B112" s="208" t="s">
        <v>129</v>
      </c>
      <c r="C112" s="209" t="s">
        <v>130</v>
      </c>
      <c r="D112" s="185">
        <f t="shared" si="8"/>
        <v>5999</v>
      </c>
      <c r="E112" s="185">
        <v>0</v>
      </c>
      <c r="F112" s="185">
        <v>0</v>
      </c>
      <c r="G112" s="185">
        <v>2595</v>
      </c>
      <c r="H112" s="185">
        <v>3404</v>
      </c>
      <c r="I112" s="185">
        <f t="shared" si="9"/>
        <v>3059</v>
      </c>
      <c r="J112" s="185">
        <v>0</v>
      </c>
      <c r="K112" s="185">
        <v>0</v>
      </c>
      <c r="L112" s="185">
        <v>1345</v>
      </c>
      <c r="M112" s="185">
        <v>1714</v>
      </c>
      <c r="O112" s="187"/>
    </row>
    <row r="113" spans="1:15" ht="12.75" x14ac:dyDescent="0.2">
      <c r="A113" s="207">
        <v>103</v>
      </c>
      <c r="B113" s="208" t="s">
        <v>131</v>
      </c>
      <c r="C113" s="209" t="s">
        <v>132</v>
      </c>
      <c r="D113" s="185">
        <f t="shared" si="8"/>
        <v>401</v>
      </c>
      <c r="E113" s="185">
        <v>0</v>
      </c>
      <c r="F113" s="185">
        <v>0</v>
      </c>
      <c r="G113" s="185">
        <v>358</v>
      </c>
      <c r="H113" s="185">
        <v>43</v>
      </c>
      <c r="I113" s="185">
        <f t="shared" si="9"/>
        <v>401</v>
      </c>
      <c r="J113" s="185">
        <v>0</v>
      </c>
      <c r="K113" s="185">
        <v>0</v>
      </c>
      <c r="L113" s="185">
        <v>358</v>
      </c>
      <c r="M113" s="185">
        <v>43</v>
      </c>
      <c r="O113" s="187"/>
    </row>
    <row r="114" spans="1:15" ht="12.75" x14ac:dyDescent="0.2">
      <c r="A114" s="207">
        <v>104</v>
      </c>
      <c r="B114" s="210" t="s">
        <v>133</v>
      </c>
      <c r="C114" s="211" t="s">
        <v>134</v>
      </c>
      <c r="D114" s="185">
        <f t="shared" si="8"/>
        <v>1752</v>
      </c>
      <c r="E114" s="185">
        <v>0</v>
      </c>
      <c r="F114" s="185">
        <v>0</v>
      </c>
      <c r="G114" s="185">
        <v>1752</v>
      </c>
      <c r="H114" s="185">
        <v>0</v>
      </c>
      <c r="I114" s="185">
        <f t="shared" si="9"/>
        <v>1752</v>
      </c>
      <c r="J114" s="185">
        <v>0</v>
      </c>
      <c r="K114" s="185">
        <v>0</v>
      </c>
      <c r="L114" s="185">
        <v>1752</v>
      </c>
      <c r="M114" s="185">
        <v>0</v>
      </c>
      <c r="O114" s="187"/>
    </row>
    <row r="115" spans="1:15" ht="12.75" x14ac:dyDescent="0.2">
      <c r="A115" s="207">
        <v>105</v>
      </c>
      <c r="B115" s="212" t="s">
        <v>135</v>
      </c>
      <c r="C115" s="213" t="s">
        <v>136</v>
      </c>
      <c r="D115" s="185">
        <f t="shared" si="8"/>
        <v>113</v>
      </c>
      <c r="E115" s="185">
        <v>0</v>
      </c>
      <c r="F115" s="185">
        <v>0</v>
      </c>
      <c r="G115" s="185">
        <v>84</v>
      </c>
      <c r="H115" s="185">
        <v>29</v>
      </c>
      <c r="I115" s="185">
        <f t="shared" si="9"/>
        <v>113</v>
      </c>
      <c r="J115" s="185">
        <v>0</v>
      </c>
      <c r="K115" s="185">
        <v>0</v>
      </c>
      <c r="L115" s="185">
        <v>84</v>
      </c>
      <c r="M115" s="185">
        <v>29</v>
      </c>
      <c r="O115" s="187"/>
    </row>
    <row r="116" spans="1:15" ht="12.75" x14ac:dyDescent="0.2">
      <c r="A116" s="207">
        <v>106</v>
      </c>
      <c r="B116" s="208" t="s">
        <v>137</v>
      </c>
      <c r="C116" s="209" t="s">
        <v>138</v>
      </c>
      <c r="D116" s="185">
        <f t="shared" si="8"/>
        <v>601</v>
      </c>
      <c r="E116" s="185">
        <v>0</v>
      </c>
      <c r="F116" s="185">
        <v>0</v>
      </c>
      <c r="G116" s="185">
        <v>459</v>
      </c>
      <c r="H116" s="185">
        <v>142</v>
      </c>
      <c r="I116" s="185">
        <f t="shared" si="9"/>
        <v>601</v>
      </c>
      <c r="J116" s="185">
        <v>0</v>
      </c>
      <c r="K116" s="185">
        <v>0</v>
      </c>
      <c r="L116" s="185">
        <v>459</v>
      </c>
      <c r="M116" s="185">
        <v>142</v>
      </c>
      <c r="O116" s="187"/>
    </row>
    <row r="117" spans="1:15" ht="12.75" x14ac:dyDescent="0.2">
      <c r="A117" s="207">
        <v>107</v>
      </c>
      <c r="B117" s="208" t="s">
        <v>139</v>
      </c>
      <c r="C117" s="209" t="s">
        <v>140</v>
      </c>
      <c r="D117" s="185">
        <f t="shared" si="8"/>
        <v>3875</v>
      </c>
      <c r="E117" s="185">
        <v>0</v>
      </c>
      <c r="F117" s="185">
        <v>0</v>
      </c>
      <c r="G117" s="185">
        <v>2375</v>
      </c>
      <c r="H117" s="185">
        <v>1500</v>
      </c>
      <c r="I117" s="185">
        <f t="shared" si="9"/>
        <v>2125</v>
      </c>
      <c r="J117" s="185">
        <v>0</v>
      </c>
      <c r="K117" s="185">
        <v>0</v>
      </c>
      <c r="L117" s="185">
        <v>1375</v>
      </c>
      <c r="M117" s="185">
        <v>750</v>
      </c>
      <c r="O117" s="187"/>
    </row>
    <row r="118" spans="1:15" ht="12.75" x14ac:dyDescent="0.2">
      <c r="A118" s="207">
        <v>108</v>
      </c>
      <c r="B118" s="210" t="s">
        <v>141</v>
      </c>
      <c r="C118" s="211" t="s">
        <v>142</v>
      </c>
      <c r="D118" s="185">
        <f t="shared" si="8"/>
        <v>793</v>
      </c>
      <c r="E118" s="185">
        <v>0</v>
      </c>
      <c r="F118" s="185">
        <v>0</v>
      </c>
      <c r="G118" s="185">
        <v>668</v>
      </c>
      <c r="H118" s="185">
        <v>125</v>
      </c>
      <c r="I118" s="185">
        <f t="shared" si="9"/>
        <v>793</v>
      </c>
      <c r="J118" s="185">
        <v>0</v>
      </c>
      <c r="K118" s="185">
        <v>0</v>
      </c>
      <c r="L118" s="185">
        <v>668</v>
      </c>
      <c r="M118" s="185">
        <v>125</v>
      </c>
      <c r="O118" s="187"/>
    </row>
    <row r="119" spans="1:15" ht="12.75" x14ac:dyDescent="0.2">
      <c r="A119" s="207">
        <v>109</v>
      </c>
      <c r="B119" s="210" t="s">
        <v>143</v>
      </c>
      <c r="C119" s="211" t="s">
        <v>144</v>
      </c>
      <c r="D119" s="185">
        <f t="shared" si="8"/>
        <v>567</v>
      </c>
      <c r="E119" s="185">
        <v>0</v>
      </c>
      <c r="F119" s="185">
        <v>0</v>
      </c>
      <c r="G119" s="185">
        <v>525</v>
      </c>
      <c r="H119" s="185">
        <v>42</v>
      </c>
      <c r="I119" s="185">
        <f t="shared" si="9"/>
        <v>567</v>
      </c>
      <c r="J119" s="185">
        <v>0</v>
      </c>
      <c r="K119" s="185">
        <v>0</v>
      </c>
      <c r="L119" s="185">
        <v>525</v>
      </c>
      <c r="M119" s="185">
        <v>42</v>
      </c>
      <c r="O119" s="187"/>
    </row>
    <row r="120" spans="1:15" ht="12.75" x14ac:dyDescent="0.2">
      <c r="A120" s="207">
        <v>110</v>
      </c>
      <c r="B120" s="208" t="s">
        <v>145</v>
      </c>
      <c r="C120" s="209" t="s">
        <v>146</v>
      </c>
      <c r="D120" s="185">
        <f t="shared" si="8"/>
        <v>1948</v>
      </c>
      <c r="E120" s="185">
        <v>0</v>
      </c>
      <c r="F120" s="185">
        <v>0</v>
      </c>
      <c r="G120" s="185">
        <v>1948</v>
      </c>
      <c r="H120" s="185">
        <v>0</v>
      </c>
      <c r="I120" s="185">
        <f t="shared" si="9"/>
        <v>1198</v>
      </c>
      <c r="J120" s="185">
        <v>0</v>
      </c>
      <c r="K120" s="185">
        <v>0</v>
      </c>
      <c r="L120" s="185">
        <v>1198</v>
      </c>
      <c r="M120" s="185">
        <v>0</v>
      </c>
      <c r="O120" s="187"/>
    </row>
    <row r="121" spans="1:15" ht="12.75" x14ac:dyDescent="0.2">
      <c r="A121" s="207">
        <v>111</v>
      </c>
      <c r="B121" s="208" t="s">
        <v>147</v>
      </c>
      <c r="C121" s="209" t="s">
        <v>428</v>
      </c>
      <c r="D121" s="185">
        <f t="shared" si="8"/>
        <v>1955</v>
      </c>
      <c r="E121" s="185">
        <v>0</v>
      </c>
      <c r="F121" s="185">
        <v>0</v>
      </c>
      <c r="G121" s="185">
        <v>1900</v>
      </c>
      <c r="H121" s="185">
        <v>55</v>
      </c>
      <c r="I121" s="185">
        <f t="shared" si="9"/>
        <v>1165</v>
      </c>
      <c r="J121" s="185">
        <v>0</v>
      </c>
      <c r="K121" s="185">
        <v>0</v>
      </c>
      <c r="L121" s="185">
        <v>1110</v>
      </c>
      <c r="M121" s="185">
        <v>55</v>
      </c>
      <c r="O121" s="187"/>
    </row>
    <row r="122" spans="1:15" ht="12.75" x14ac:dyDescent="0.2">
      <c r="A122" s="207">
        <v>112</v>
      </c>
      <c r="B122" s="208" t="s">
        <v>187</v>
      </c>
      <c r="C122" s="211" t="s">
        <v>429</v>
      </c>
      <c r="D122" s="185">
        <f t="shared" si="8"/>
        <v>0</v>
      </c>
      <c r="E122" s="185">
        <v>0</v>
      </c>
      <c r="F122" s="185">
        <v>0</v>
      </c>
      <c r="G122" s="185">
        <v>0</v>
      </c>
      <c r="H122" s="185">
        <v>0</v>
      </c>
      <c r="I122" s="185">
        <f t="shared" si="9"/>
        <v>0</v>
      </c>
      <c r="J122" s="185">
        <v>0</v>
      </c>
      <c r="K122" s="185">
        <v>0</v>
      </c>
      <c r="L122" s="185">
        <v>0</v>
      </c>
      <c r="M122" s="185">
        <v>0</v>
      </c>
      <c r="O122" s="187"/>
    </row>
    <row r="123" spans="1:15" x14ac:dyDescent="0.2">
      <c r="A123" s="207">
        <v>113</v>
      </c>
      <c r="B123" s="85" t="s">
        <v>326</v>
      </c>
      <c r="C123" s="82" t="s">
        <v>327</v>
      </c>
      <c r="D123" s="185">
        <f t="shared" si="8"/>
        <v>0</v>
      </c>
      <c r="E123" s="185">
        <v>0</v>
      </c>
      <c r="F123" s="185">
        <v>0</v>
      </c>
      <c r="G123" s="185">
        <v>0</v>
      </c>
      <c r="H123" s="185">
        <v>0</v>
      </c>
      <c r="I123" s="185">
        <f t="shared" si="9"/>
        <v>0</v>
      </c>
      <c r="J123" s="185">
        <v>0</v>
      </c>
      <c r="K123" s="185">
        <v>0</v>
      </c>
      <c r="L123" s="185">
        <v>0</v>
      </c>
      <c r="M123" s="185">
        <v>0</v>
      </c>
      <c r="O123" s="187"/>
    </row>
    <row r="124" spans="1:15" ht="12.75" x14ac:dyDescent="0.2">
      <c r="A124" s="207">
        <v>114</v>
      </c>
      <c r="B124" s="210" t="s">
        <v>188</v>
      </c>
      <c r="C124" s="211" t="s">
        <v>430</v>
      </c>
      <c r="D124" s="185">
        <f t="shared" si="8"/>
        <v>0</v>
      </c>
      <c r="E124" s="185">
        <v>0</v>
      </c>
      <c r="F124" s="185">
        <v>0</v>
      </c>
      <c r="G124" s="185">
        <v>0</v>
      </c>
      <c r="H124" s="185">
        <v>0</v>
      </c>
      <c r="I124" s="185">
        <f t="shared" si="9"/>
        <v>0</v>
      </c>
      <c r="J124" s="185">
        <v>0</v>
      </c>
      <c r="K124" s="185">
        <v>0</v>
      </c>
      <c r="L124" s="185">
        <v>0</v>
      </c>
      <c r="M124" s="185">
        <v>0</v>
      </c>
      <c r="O124" s="187"/>
    </row>
    <row r="125" spans="1:15" ht="12.75" x14ac:dyDescent="0.2">
      <c r="A125" s="207">
        <v>115</v>
      </c>
      <c r="B125" s="210" t="s">
        <v>189</v>
      </c>
      <c r="C125" s="211" t="s">
        <v>431</v>
      </c>
      <c r="D125" s="185">
        <f t="shared" si="8"/>
        <v>0</v>
      </c>
      <c r="E125" s="185">
        <v>0</v>
      </c>
      <c r="F125" s="185">
        <v>0</v>
      </c>
      <c r="G125" s="185">
        <v>0</v>
      </c>
      <c r="H125" s="185">
        <v>0</v>
      </c>
      <c r="I125" s="185">
        <f t="shared" si="9"/>
        <v>0</v>
      </c>
      <c r="J125" s="185">
        <v>0</v>
      </c>
      <c r="K125" s="185">
        <v>0</v>
      </c>
      <c r="L125" s="185">
        <v>0</v>
      </c>
      <c r="M125" s="185">
        <v>0</v>
      </c>
      <c r="O125" s="187"/>
    </row>
    <row r="126" spans="1:15" x14ac:dyDescent="0.2">
      <c r="A126" s="207">
        <v>116</v>
      </c>
      <c r="B126" s="97" t="s">
        <v>328</v>
      </c>
      <c r="C126" s="86" t="s">
        <v>329</v>
      </c>
      <c r="D126" s="185">
        <f t="shared" si="8"/>
        <v>0</v>
      </c>
      <c r="E126" s="185">
        <v>0</v>
      </c>
      <c r="F126" s="185">
        <v>0</v>
      </c>
      <c r="G126" s="185">
        <v>0</v>
      </c>
      <c r="H126" s="185">
        <v>0</v>
      </c>
      <c r="I126" s="185">
        <f t="shared" si="9"/>
        <v>0</v>
      </c>
      <c r="J126" s="185">
        <v>0</v>
      </c>
      <c r="K126" s="185">
        <v>0</v>
      </c>
      <c r="L126" s="185">
        <v>0</v>
      </c>
      <c r="M126" s="185">
        <v>0</v>
      </c>
      <c r="O126" s="187"/>
    </row>
    <row r="127" spans="1:15" ht="24" x14ac:dyDescent="0.2">
      <c r="A127" s="207">
        <v>117</v>
      </c>
      <c r="B127" s="97" t="s">
        <v>190</v>
      </c>
      <c r="C127" s="86" t="s">
        <v>432</v>
      </c>
      <c r="D127" s="185">
        <f t="shared" si="8"/>
        <v>0</v>
      </c>
      <c r="E127" s="185">
        <v>0</v>
      </c>
      <c r="F127" s="185">
        <v>0</v>
      </c>
      <c r="G127" s="185">
        <v>0</v>
      </c>
      <c r="H127" s="185">
        <v>0</v>
      </c>
      <c r="I127" s="185">
        <f t="shared" si="9"/>
        <v>0</v>
      </c>
      <c r="J127" s="185">
        <v>0</v>
      </c>
      <c r="K127" s="185">
        <v>0</v>
      </c>
      <c r="L127" s="185">
        <v>0</v>
      </c>
      <c r="M127" s="185">
        <v>0</v>
      </c>
      <c r="O127" s="187"/>
    </row>
    <row r="128" spans="1:15" x14ac:dyDescent="0.2">
      <c r="A128" s="207">
        <v>118</v>
      </c>
      <c r="B128" s="97" t="s">
        <v>330</v>
      </c>
      <c r="C128" s="86" t="s">
        <v>331</v>
      </c>
      <c r="D128" s="185">
        <f t="shared" si="8"/>
        <v>0</v>
      </c>
      <c r="E128" s="185">
        <v>0</v>
      </c>
      <c r="F128" s="185">
        <v>0</v>
      </c>
      <c r="G128" s="185">
        <v>0</v>
      </c>
      <c r="H128" s="185">
        <v>0</v>
      </c>
      <c r="I128" s="185">
        <f t="shared" si="9"/>
        <v>0</v>
      </c>
      <c r="J128" s="185">
        <v>0</v>
      </c>
      <c r="K128" s="185">
        <v>0</v>
      </c>
      <c r="L128" s="185">
        <v>0</v>
      </c>
      <c r="M128" s="185">
        <v>0</v>
      </c>
      <c r="O128" s="187"/>
    </row>
    <row r="129" spans="1:15" ht="12.75" x14ac:dyDescent="0.2">
      <c r="A129" s="207">
        <v>119</v>
      </c>
      <c r="B129" s="210" t="s">
        <v>191</v>
      </c>
      <c r="C129" s="211" t="s">
        <v>433</v>
      </c>
      <c r="D129" s="185">
        <f t="shared" si="8"/>
        <v>0</v>
      </c>
      <c r="E129" s="220">
        <v>0</v>
      </c>
      <c r="F129" s="220">
        <v>0</v>
      </c>
      <c r="G129" s="220">
        <v>0</v>
      </c>
      <c r="H129" s="220">
        <v>0</v>
      </c>
      <c r="I129" s="185">
        <f t="shared" si="9"/>
        <v>0</v>
      </c>
      <c r="J129" s="220">
        <v>0</v>
      </c>
      <c r="K129" s="220">
        <v>0</v>
      </c>
      <c r="L129" s="220">
        <v>0</v>
      </c>
      <c r="M129" s="220">
        <v>0</v>
      </c>
      <c r="O129" s="187"/>
    </row>
    <row r="130" spans="1:15" x14ac:dyDescent="0.2">
      <c r="A130" s="207">
        <v>120</v>
      </c>
      <c r="B130" s="200" t="s">
        <v>434</v>
      </c>
      <c r="C130" s="201" t="s">
        <v>435</v>
      </c>
      <c r="D130" s="185">
        <f t="shared" si="8"/>
        <v>0</v>
      </c>
      <c r="E130" s="220">
        <v>0</v>
      </c>
      <c r="F130" s="220">
        <v>0</v>
      </c>
      <c r="G130" s="220">
        <v>0</v>
      </c>
      <c r="H130" s="220">
        <v>0</v>
      </c>
      <c r="I130" s="185">
        <f t="shared" si="9"/>
        <v>0</v>
      </c>
      <c r="J130" s="220">
        <v>0</v>
      </c>
      <c r="K130" s="220">
        <v>0</v>
      </c>
      <c r="L130" s="220">
        <v>0</v>
      </c>
      <c r="M130" s="220">
        <v>0</v>
      </c>
      <c r="O130" s="187"/>
    </row>
    <row r="131" spans="1:15" ht="12.75" x14ac:dyDescent="0.2">
      <c r="A131" s="207">
        <v>121</v>
      </c>
      <c r="B131" s="101" t="s">
        <v>436</v>
      </c>
      <c r="C131" s="141" t="s">
        <v>460</v>
      </c>
      <c r="D131" s="185">
        <f t="shared" si="8"/>
        <v>0</v>
      </c>
      <c r="E131" s="220">
        <v>0</v>
      </c>
      <c r="F131" s="220">
        <v>0</v>
      </c>
      <c r="G131" s="220">
        <v>0</v>
      </c>
      <c r="H131" s="220">
        <v>0</v>
      </c>
      <c r="I131" s="185">
        <f t="shared" si="9"/>
        <v>0</v>
      </c>
      <c r="J131" s="220">
        <v>0</v>
      </c>
      <c r="K131" s="220">
        <v>0</v>
      </c>
      <c r="L131" s="220">
        <v>0</v>
      </c>
      <c r="M131" s="220">
        <v>0</v>
      </c>
      <c r="O131" s="187"/>
    </row>
    <row r="132" spans="1:15" x14ac:dyDescent="0.2">
      <c r="A132" s="207">
        <v>122</v>
      </c>
      <c r="B132" s="97" t="s">
        <v>192</v>
      </c>
      <c r="C132" s="86" t="s">
        <v>438</v>
      </c>
      <c r="D132" s="185">
        <f t="shared" si="8"/>
        <v>0</v>
      </c>
      <c r="E132" s="220">
        <v>0</v>
      </c>
      <c r="F132" s="220">
        <v>0</v>
      </c>
      <c r="G132" s="220">
        <v>0</v>
      </c>
      <c r="H132" s="220">
        <v>0</v>
      </c>
      <c r="I132" s="185">
        <f t="shared" si="9"/>
        <v>0</v>
      </c>
      <c r="J132" s="220">
        <v>0</v>
      </c>
      <c r="K132" s="220">
        <v>0</v>
      </c>
      <c r="L132" s="220">
        <v>0</v>
      </c>
      <c r="M132" s="220">
        <v>0</v>
      </c>
      <c r="O132" s="187"/>
    </row>
    <row r="133" spans="1:15" x14ac:dyDescent="0.2">
      <c r="A133" s="207">
        <v>123</v>
      </c>
      <c r="B133" s="85" t="s">
        <v>332</v>
      </c>
      <c r="C133" s="102" t="s">
        <v>439</v>
      </c>
      <c r="D133" s="185">
        <f t="shared" si="8"/>
        <v>0</v>
      </c>
      <c r="E133" s="220">
        <v>0</v>
      </c>
      <c r="F133" s="220">
        <v>0</v>
      </c>
      <c r="G133" s="220">
        <v>0</v>
      </c>
      <c r="H133" s="220">
        <v>0</v>
      </c>
      <c r="I133" s="185">
        <f t="shared" si="9"/>
        <v>0</v>
      </c>
      <c r="J133" s="220">
        <v>0</v>
      </c>
      <c r="K133" s="220">
        <v>0</v>
      </c>
      <c r="L133" s="220">
        <v>0</v>
      </c>
      <c r="M133" s="220">
        <v>0</v>
      </c>
      <c r="O133" s="187"/>
    </row>
    <row r="134" spans="1:15" ht="24" x14ac:dyDescent="0.2">
      <c r="A134" s="207">
        <v>124</v>
      </c>
      <c r="B134" s="97" t="s">
        <v>334</v>
      </c>
      <c r="C134" s="86" t="s">
        <v>440</v>
      </c>
      <c r="D134" s="185">
        <f t="shared" si="8"/>
        <v>0</v>
      </c>
      <c r="E134" s="220">
        <v>0</v>
      </c>
      <c r="F134" s="220">
        <v>0</v>
      </c>
      <c r="G134" s="220">
        <v>0</v>
      </c>
      <c r="H134" s="220">
        <v>0</v>
      </c>
      <c r="I134" s="185">
        <f t="shared" si="9"/>
        <v>0</v>
      </c>
      <c r="J134" s="220">
        <v>0</v>
      </c>
      <c r="K134" s="220">
        <v>0</v>
      </c>
      <c r="L134" s="220">
        <v>0</v>
      </c>
      <c r="M134" s="220">
        <v>0</v>
      </c>
      <c r="O134" s="187"/>
    </row>
    <row r="135" spans="1:15" ht="24" x14ac:dyDescent="0.2">
      <c r="A135" s="207">
        <v>125</v>
      </c>
      <c r="B135" s="97" t="s">
        <v>336</v>
      </c>
      <c r="C135" s="86" t="s">
        <v>441</v>
      </c>
      <c r="D135" s="185">
        <f t="shared" si="8"/>
        <v>0</v>
      </c>
      <c r="E135" s="220">
        <v>0</v>
      </c>
      <c r="F135" s="220">
        <v>0</v>
      </c>
      <c r="G135" s="220">
        <v>0</v>
      </c>
      <c r="H135" s="220">
        <v>0</v>
      </c>
      <c r="I135" s="185">
        <f t="shared" si="9"/>
        <v>0</v>
      </c>
      <c r="J135" s="220">
        <v>0</v>
      </c>
      <c r="K135" s="220">
        <v>0</v>
      </c>
      <c r="L135" s="220">
        <v>0</v>
      </c>
      <c r="M135" s="220">
        <v>0</v>
      </c>
      <c r="O135" s="187"/>
    </row>
    <row r="136" spans="1:15" ht="14.25" customHeight="1" x14ac:dyDescent="0.2">
      <c r="A136" s="207">
        <v>126</v>
      </c>
      <c r="B136" s="208" t="s">
        <v>148</v>
      </c>
      <c r="C136" s="211" t="s">
        <v>442</v>
      </c>
      <c r="D136" s="185">
        <f t="shared" si="8"/>
        <v>0</v>
      </c>
      <c r="E136" s="220">
        <v>0</v>
      </c>
      <c r="F136" s="220">
        <v>0</v>
      </c>
      <c r="G136" s="220">
        <v>0</v>
      </c>
      <c r="H136" s="220">
        <v>0</v>
      </c>
      <c r="I136" s="185">
        <f t="shared" si="9"/>
        <v>0</v>
      </c>
      <c r="J136" s="220">
        <v>0</v>
      </c>
      <c r="K136" s="220">
        <v>0</v>
      </c>
      <c r="L136" s="220">
        <v>0</v>
      </c>
      <c r="M136" s="220">
        <v>0</v>
      </c>
      <c r="O136" s="187"/>
    </row>
    <row r="137" spans="1:15" ht="14.25" customHeight="1" x14ac:dyDescent="0.2">
      <c r="A137" s="207">
        <v>127</v>
      </c>
      <c r="B137" s="103" t="s">
        <v>338</v>
      </c>
      <c r="C137" s="104" t="s">
        <v>339</v>
      </c>
      <c r="D137" s="185">
        <f t="shared" si="8"/>
        <v>0</v>
      </c>
      <c r="E137" s="220">
        <v>0</v>
      </c>
      <c r="F137" s="220">
        <v>0</v>
      </c>
      <c r="G137" s="220">
        <v>0</v>
      </c>
      <c r="H137" s="220">
        <v>0</v>
      </c>
      <c r="I137" s="185">
        <f t="shared" si="9"/>
        <v>0</v>
      </c>
      <c r="J137" s="220">
        <v>0</v>
      </c>
      <c r="K137" s="220">
        <v>0</v>
      </c>
      <c r="L137" s="220">
        <v>0</v>
      </c>
      <c r="M137" s="220">
        <v>0</v>
      </c>
      <c r="O137" s="187"/>
    </row>
    <row r="138" spans="1:15" ht="14.25" customHeight="1" x14ac:dyDescent="0.2">
      <c r="A138" s="207">
        <v>128</v>
      </c>
      <c r="B138" s="97" t="s">
        <v>340</v>
      </c>
      <c r="C138" s="86" t="s">
        <v>341</v>
      </c>
      <c r="D138" s="185">
        <f t="shared" si="8"/>
        <v>0</v>
      </c>
      <c r="E138" s="220">
        <v>0</v>
      </c>
      <c r="F138" s="220">
        <v>0</v>
      </c>
      <c r="G138" s="220">
        <v>0</v>
      </c>
      <c r="H138" s="220">
        <v>0</v>
      </c>
      <c r="I138" s="185">
        <f t="shared" si="9"/>
        <v>0</v>
      </c>
      <c r="J138" s="220">
        <v>0</v>
      </c>
      <c r="K138" s="220">
        <v>0</v>
      </c>
      <c r="L138" s="220">
        <v>0</v>
      </c>
      <c r="M138" s="220">
        <v>0</v>
      </c>
      <c r="O138" s="187"/>
    </row>
    <row r="139" spans="1:15" ht="12.75" x14ac:dyDescent="0.2">
      <c r="A139" s="207">
        <v>129</v>
      </c>
      <c r="B139" s="208" t="s">
        <v>193</v>
      </c>
      <c r="C139" s="209" t="s">
        <v>443</v>
      </c>
      <c r="D139" s="185">
        <f t="shared" si="8"/>
        <v>0</v>
      </c>
      <c r="E139" s="220">
        <v>0</v>
      </c>
      <c r="F139" s="220">
        <v>0</v>
      </c>
      <c r="G139" s="220">
        <v>0</v>
      </c>
      <c r="H139" s="220">
        <v>0</v>
      </c>
      <c r="I139" s="185">
        <f t="shared" si="9"/>
        <v>0</v>
      </c>
      <c r="J139" s="220">
        <v>0</v>
      </c>
      <c r="K139" s="220">
        <v>0</v>
      </c>
      <c r="L139" s="220">
        <v>0</v>
      </c>
      <c r="M139" s="220">
        <v>0</v>
      </c>
      <c r="O139" s="187"/>
    </row>
    <row r="140" spans="1:15" x14ac:dyDescent="0.2">
      <c r="A140" s="207">
        <v>130</v>
      </c>
      <c r="B140" s="94" t="s">
        <v>194</v>
      </c>
      <c r="C140" s="82" t="s">
        <v>444</v>
      </c>
      <c r="D140" s="185">
        <f t="shared" ref="D140:D158" si="10">E140+F140+G140+H140</f>
        <v>0</v>
      </c>
      <c r="E140" s="220">
        <v>0</v>
      </c>
      <c r="F140" s="220">
        <v>0</v>
      </c>
      <c r="G140" s="220">
        <v>0</v>
      </c>
      <c r="H140" s="220">
        <v>0</v>
      </c>
      <c r="I140" s="185">
        <f t="shared" ref="I140:I158" si="11">J140+K140+L140+M140</f>
        <v>0</v>
      </c>
      <c r="J140" s="220">
        <v>0</v>
      </c>
      <c r="K140" s="220">
        <v>0</v>
      </c>
      <c r="L140" s="220">
        <v>0</v>
      </c>
      <c r="M140" s="220">
        <v>0</v>
      </c>
      <c r="O140" s="187"/>
    </row>
    <row r="141" spans="1:15" ht="12.75" x14ac:dyDescent="0.2">
      <c r="A141" s="207">
        <v>131</v>
      </c>
      <c r="B141" s="210" t="s">
        <v>195</v>
      </c>
      <c r="C141" s="211" t="s">
        <v>445</v>
      </c>
      <c r="D141" s="185">
        <f t="shared" si="10"/>
        <v>0</v>
      </c>
      <c r="E141" s="220">
        <v>0</v>
      </c>
      <c r="F141" s="220">
        <v>0</v>
      </c>
      <c r="G141" s="220">
        <v>0</v>
      </c>
      <c r="H141" s="220">
        <v>0</v>
      </c>
      <c r="I141" s="185">
        <f t="shared" si="11"/>
        <v>0</v>
      </c>
      <c r="J141" s="220">
        <v>0</v>
      </c>
      <c r="K141" s="220">
        <v>0</v>
      </c>
      <c r="L141" s="220">
        <v>0</v>
      </c>
      <c r="M141" s="220">
        <v>0</v>
      </c>
      <c r="O141" s="187"/>
    </row>
    <row r="142" spans="1:15" x14ac:dyDescent="0.2">
      <c r="A142" s="207">
        <v>132</v>
      </c>
      <c r="B142" s="97" t="s">
        <v>446</v>
      </c>
      <c r="C142" s="86" t="s">
        <v>447</v>
      </c>
      <c r="D142" s="185">
        <f t="shared" si="10"/>
        <v>0</v>
      </c>
      <c r="E142" s="220">
        <v>0</v>
      </c>
      <c r="F142" s="220">
        <v>0</v>
      </c>
      <c r="G142" s="220">
        <v>0</v>
      </c>
      <c r="H142" s="220">
        <v>0</v>
      </c>
      <c r="I142" s="185">
        <f t="shared" si="11"/>
        <v>0</v>
      </c>
      <c r="J142" s="220">
        <v>0</v>
      </c>
      <c r="K142" s="220">
        <v>0</v>
      </c>
      <c r="L142" s="220">
        <v>0</v>
      </c>
      <c r="M142" s="220">
        <v>0</v>
      </c>
      <c r="O142" s="187"/>
    </row>
    <row r="143" spans="1:15" ht="12.75" x14ac:dyDescent="0.2">
      <c r="A143" s="207">
        <v>133</v>
      </c>
      <c r="B143" s="210" t="s">
        <v>15</v>
      </c>
      <c r="C143" s="211" t="s">
        <v>448</v>
      </c>
      <c r="D143" s="185">
        <f t="shared" si="10"/>
        <v>0</v>
      </c>
      <c r="E143" s="220">
        <v>0</v>
      </c>
      <c r="F143" s="220">
        <v>0</v>
      </c>
      <c r="G143" s="220">
        <v>0</v>
      </c>
      <c r="H143" s="220">
        <v>0</v>
      </c>
      <c r="I143" s="185">
        <f t="shared" si="11"/>
        <v>0</v>
      </c>
      <c r="J143" s="220">
        <v>0</v>
      </c>
      <c r="K143" s="220">
        <v>0</v>
      </c>
      <c r="L143" s="220">
        <v>0</v>
      </c>
      <c r="M143" s="220">
        <v>0</v>
      </c>
      <c r="O143" s="187"/>
    </row>
    <row r="144" spans="1:15" ht="12.75" x14ac:dyDescent="0.2">
      <c r="A144" s="207">
        <v>134</v>
      </c>
      <c r="B144" s="210" t="s">
        <v>342</v>
      </c>
      <c r="C144" s="211" t="s">
        <v>343</v>
      </c>
      <c r="D144" s="185">
        <f t="shared" si="10"/>
        <v>0</v>
      </c>
      <c r="E144" s="220">
        <v>0</v>
      </c>
      <c r="F144" s="220">
        <v>0</v>
      </c>
      <c r="G144" s="220">
        <v>0</v>
      </c>
      <c r="H144" s="220">
        <v>0</v>
      </c>
      <c r="I144" s="185">
        <f t="shared" si="11"/>
        <v>0</v>
      </c>
      <c r="J144" s="220">
        <v>0</v>
      </c>
      <c r="K144" s="220">
        <v>0</v>
      </c>
      <c r="L144" s="220">
        <v>0</v>
      </c>
      <c r="M144" s="220">
        <v>0</v>
      </c>
      <c r="O144" s="187"/>
    </row>
    <row r="145" spans="1:15" ht="12.75" x14ac:dyDescent="0.2">
      <c r="A145" s="207">
        <v>135</v>
      </c>
      <c r="B145" s="210" t="s">
        <v>14</v>
      </c>
      <c r="C145" s="211" t="s">
        <v>13</v>
      </c>
      <c r="D145" s="185">
        <f t="shared" si="10"/>
        <v>0</v>
      </c>
      <c r="E145" s="220">
        <v>0</v>
      </c>
      <c r="F145" s="220">
        <v>0</v>
      </c>
      <c r="G145" s="220">
        <v>0</v>
      </c>
      <c r="H145" s="220">
        <v>0</v>
      </c>
      <c r="I145" s="185">
        <f t="shared" si="11"/>
        <v>0</v>
      </c>
      <c r="J145" s="220">
        <v>0</v>
      </c>
      <c r="K145" s="220">
        <v>0</v>
      </c>
      <c r="L145" s="220">
        <v>0</v>
      </c>
      <c r="M145" s="220">
        <v>0</v>
      </c>
      <c r="O145" s="187"/>
    </row>
    <row r="146" spans="1:15" ht="12.75" x14ac:dyDescent="0.2">
      <c r="A146" s="207">
        <v>136</v>
      </c>
      <c r="B146" s="208" t="s">
        <v>10</v>
      </c>
      <c r="C146" s="209" t="s">
        <v>7</v>
      </c>
      <c r="D146" s="185">
        <f t="shared" si="10"/>
        <v>0</v>
      </c>
      <c r="E146" s="220">
        <v>0</v>
      </c>
      <c r="F146" s="220">
        <v>0</v>
      </c>
      <c r="G146" s="220">
        <v>0</v>
      </c>
      <c r="H146" s="220">
        <v>0</v>
      </c>
      <c r="I146" s="185">
        <f t="shared" si="11"/>
        <v>0</v>
      </c>
      <c r="J146" s="220">
        <v>0</v>
      </c>
      <c r="K146" s="220">
        <v>0</v>
      </c>
      <c r="L146" s="220">
        <v>0</v>
      </c>
      <c r="M146" s="220">
        <v>0</v>
      </c>
      <c r="O146" s="187"/>
    </row>
    <row r="147" spans="1:15" ht="12.75" x14ac:dyDescent="0.2">
      <c r="A147" s="207">
        <v>137</v>
      </c>
      <c r="B147" s="210" t="s">
        <v>196</v>
      </c>
      <c r="C147" s="211" t="s">
        <v>449</v>
      </c>
      <c r="D147" s="185">
        <f t="shared" si="10"/>
        <v>0</v>
      </c>
      <c r="E147" s="220">
        <v>0</v>
      </c>
      <c r="F147" s="220">
        <v>0</v>
      </c>
      <c r="G147" s="220">
        <v>0</v>
      </c>
      <c r="H147" s="220">
        <v>0</v>
      </c>
      <c r="I147" s="185">
        <f t="shared" si="11"/>
        <v>0</v>
      </c>
      <c r="J147" s="220">
        <v>0</v>
      </c>
      <c r="K147" s="220">
        <v>0</v>
      </c>
      <c r="L147" s="220">
        <v>0</v>
      </c>
      <c r="M147" s="220">
        <v>0</v>
      </c>
      <c r="O147" s="187"/>
    </row>
    <row r="148" spans="1:15" ht="12.75" x14ac:dyDescent="0.2">
      <c r="A148" s="207">
        <v>138</v>
      </c>
      <c r="B148" s="208" t="s">
        <v>149</v>
      </c>
      <c r="C148" s="211" t="s">
        <v>150</v>
      </c>
      <c r="D148" s="185">
        <f t="shared" si="10"/>
        <v>0</v>
      </c>
      <c r="E148" s="220">
        <v>0</v>
      </c>
      <c r="F148" s="220">
        <v>0</v>
      </c>
      <c r="G148" s="185">
        <v>0</v>
      </c>
      <c r="H148" s="185">
        <v>0</v>
      </c>
      <c r="I148" s="185">
        <f t="shared" si="11"/>
        <v>0</v>
      </c>
      <c r="J148" s="220">
        <v>0</v>
      </c>
      <c r="K148" s="220">
        <v>0</v>
      </c>
      <c r="L148" s="185">
        <v>0</v>
      </c>
      <c r="M148" s="185">
        <v>0</v>
      </c>
      <c r="O148" s="187"/>
    </row>
    <row r="149" spans="1:15" ht="12.75" x14ac:dyDescent="0.2">
      <c r="A149" s="207">
        <v>139</v>
      </c>
      <c r="B149" s="212" t="s">
        <v>151</v>
      </c>
      <c r="C149" s="213" t="s">
        <v>152</v>
      </c>
      <c r="D149" s="185">
        <f t="shared" si="10"/>
        <v>0</v>
      </c>
      <c r="E149" s="220">
        <v>0</v>
      </c>
      <c r="F149" s="220">
        <v>0</v>
      </c>
      <c r="G149" s="185">
        <v>0</v>
      </c>
      <c r="H149" s="185">
        <v>0</v>
      </c>
      <c r="I149" s="185">
        <f t="shared" si="11"/>
        <v>0</v>
      </c>
      <c r="J149" s="220">
        <v>0</v>
      </c>
      <c r="K149" s="220">
        <v>0</v>
      </c>
      <c r="L149" s="185">
        <v>0</v>
      </c>
      <c r="M149" s="185">
        <v>0</v>
      </c>
      <c r="O149" s="187"/>
    </row>
    <row r="150" spans="1:15" ht="12.75" x14ac:dyDescent="0.2">
      <c r="A150" s="207">
        <v>140</v>
      </c>
      <c r="B150" s="210" t="s">
        <v>344</v>
      </c>
      <c r="C150" s="211" t="s">
        <v>345</v>
      </c>
      <c r="D150" s="185">
        <f t="shared" si="10"/>
        <v>0</v>
      </c>
      <c r="E150" s="220">
        <v>0</v>
      </c>
      <c r="F150" s="220">
        <v>0</v>
      </c>
      <c r="G150" s="185">
        <v>0</v>
      </c>
      <c r="H150" s="185">
        <v>0</v>
      </c>
      <c r="I150" s="185">
        <f t="shared" si="11"/>
        <v>0</v>
      </c>
      <c r="J150" s="220">
        <v>0</v>
      </c>
      <c r="K150" s="220">
        <v>0</v>
      </c>
      <c r="L150" s="185">
        <v>0</v>
      </c>
      <c r="M150" s="185">
        <v>0</v>
      </c>
      <c r="O150" s="187"/>
    </row>
    <row r="151" spans="1:15" ht="12.75" x14ac:dyDescent="0.2">
      <c r="A151" s="207">
        <v>141</v>
      </c>
      <c r="B151" s="210" t="s">
        <v>197</v>
      </c>
      <c r="C151" s="211" t="s">
        <v>198</v>
      </c>
      <c r="D151" s="185">
        <f t="shared" si="10"/>
        <v>0</v>
      </c>
      <c r="E151" s="220">
        <v>0</v>
      </c>
      <c r="F151" s="220">
        <v>0</v>
      </c>
      <c r="G151" s="185">
        <v>0</v>
      </c>
      <c r="H151" s="185">
        <v>0</v>
      </c>
      <c r="I151" s="185">
        <f t="shared" si="11"/>
        <v>0</v>
      </c>
      <c r="J151" s="220">
        <v>0</v>
      </c>
      <c r="K151" s="220">
        <v>0</v>
      </c>
      <c r="L151" s="185">
        <v>0</v>
      </c>
      <c r="M151" s="185">
        <v>0</v>
      </c>
      <c r="O151" s="187"/>
    </row>
    <row r="152" spans="1:15" ht="12.75" x14ac:dyDescent="0.2">
      <c r="A152" s="207">
        <v>142</v>
      </c>
      <c r="B152" s="210" t="s">
        <v>346</v>
      </c>
      <c r="C152" s="211" t="s">
        <v>347</v>
      </c>
      <c r="D152" s="185">
        <f t="shared" si="10"/>
        <v>0</v>
      </c>
      <c r="E152" s="220">
        <v>0</v>
      </c>
      <c r="F152" s="220">
        <v>0</v>
      </c>
      <c r="G152" s="185">
        <v>0</v>
      </c>
      <c r="H152" s="185">
        <v>0</v>
      </c>
      <c r="I152" s="185">
        <f t="shared" si="11"/>
        <v>0</v>
      </c>
      <c r="J152" s="220">
        <v>0</v>
      </c>
      <c r="K152" s="220">
        <v>0</v>
      </c>
      <c r="L152" s="185">
        <v>0</v>
      </c>
      <c r="M152" s="185">
        <v>0</v>
      </c>
      <c r="O152" s="187"/>
    </row>
    <row r="153" spans="1:15" ht="12.75" x14ac:dyDescent="0.2">
      <c r="A153" s="207">
        <v>143</v>
      </c>
      <c r="B153" s="212" t="s">
        <v>12</v>
      </c>
      <c r="C153" s="213" t="s">
        <v>2</v>
      </c>
      <c r="D153" s="185">
        <f t="shared" si="10"/>
        <v>0</v>
      </c>
      <c r="E153" s="220">
        <v>0</v>
      </c>
      <c r="F153" s="220">
        <v>0</v>
      </c>
      <c r="G153" s="185">
        <v>0</v>
      </c>
      <c r="H153" s="185">
        <v>0</v>
      </c>
      <c r="I153" s="185">
        <f t="shared" si="11"/>
        <v>0</v>
      </c>
      <c r="J153" s="220">
        <v>0</v>
      </c>
      <c r="K153" s="220">
        <v>0</v>
      </c>
      <c r="L153" s="185">
        <v>0</v>
      </c>
      <c r="M153" s="185">
        <v>0</v>
      </c>
      <c r="O153" s="187"/>
    </row>
    <row r="154" spans="1:15" ht="12.75" x14ac:dyDescent="0.2">
      <c r="A154" s="207">
        <v>144</v>
      </c>
      <c r="B154" s="208" t="s">
        <v>3</v>
      </c>
      <c r="C154" s="213" t="s">
        <v>450</v>
      </c>
      <c r="D154" s="185">
        <f t="shared" si="10"/>
        <v>1430</v>
      </c>
      <c r="E154" s="220">
        <v>0</v>
      </c>
      <c r="F154" s="220">
        <v>0</v>
      </c>
      <c r="G154" s="185">
        <v>1030</v>
      </c>
      <c r="H154" s="185">
        <v>400</v>
      </c>
      <c r="I154" s="185">
        <f t="shared" si="11"/>
        <v>715</v>
      </c>
      <c r="J154" s="220">
        <v>0</v>
      </c>
      <c r="K154" s="220">
        <v>0</v>
      </c>
      <c r="L154" s="185">
        <v>515</v>
      </c>
      <c r="M154" s="185">
        <v>200</v>
      </c>
      <c r="O154" s="187"/>
    </row>
    <row r="155" spans="1:15" ht="12.75" x14ac:dyDescent="0.2">
      <c r="A155" s="207">
        <v>145</v>
      </c>
      <c r="B155" s="210" t="s">
        <v>11</v>
      </c>
      <c r="C155" s="211" t="s">
        <v>8</v>
      </c>
      <c r="D155" s="185">
        <f t="shared" si="10"/>
        <v>0</v>
      </c>
      <c r="E155" s="220">
        <v>0</v>
      </c>
      <c r="F155" s="220">
        <v>0</v>
      </c>
      <c r="G155" s="185">
        <v>0</v>
      </c>
      <c r="H155" s="185">
        <v>0</v>
      </c>
      <c r="I155" s="185">
        <f t="shared" si="11"/>
        <v>0</v>
      </c>
      <c r="J155" s="220">
        <v>0</v>
      </c>
      <c r="K155" s="220">
        <v>0</v>
      </c>
      <c r="L155" s="185">
        <v>0</v>
      </c>
      <c r="M155" s="185">
        <v>0</v>
      </c>
      <c r="O155" s="187"/>
    </row>
    <row r="156" spans="1:15" ht="12.75" x14ac:dyDescent="0.2">
      <c r="A156" s="207">
        <v>146</v>
      </c>
      <c r="B156" s="208" t="s">
        <v>200</v>
      </c>
      <c r="C156" s="209" t="s">
        <v>201</v>
      </c>
      <c r="D156" s="185">
        <f t="shared" si="10"/>
        <v>0</v>
      </c>
      <c r="E156" s="220">
        <v>0</v>
      </c>
      <c r="F156" s="220">
        <v>0</v>
      </c>
      <c r="G156" s="185">
        <v>0</v>
      </c>
      <c r="H156" s="185">
        <v>0</v>
      </c>
      <c r="I156" s="185">
        <f t="shared" si="11"/>
        <v>0</v>
      </c>
      <c r="J156" s="220">
        <v>0</v>
      </c>
      <c r="K156" s="220">
        <v>0</v>
      </c>
      <c r="L156" s="185">
        <v>0</v>
      </c>
      <c r="M156" s="185">
        <v>0</v>
      </c>
      <c r="O156" s="187"/>
    </row>
    <row r="157" spans="1:15" x14ac:dyDescent="0.2">
      <c r="A157" s="207">
        <v>147</v>
      </c>
      <c r="B157" s="142" t="s">
        <v>202</v>
      </c>
      <c r="C157" s="82" t="s">
        <v>451</v>
      </c>
      <c r="D157" s="185">
        <f t="shared" si="10"/>
        <v>0</v>
      </c>
      <c r="E157" s="220">
        <v>0</v>
      </c>
      <c r="F157" s="220">
        <v>0</v>
      </c>
      <c r="G157" s="185">
        <v>0</v>
      </c>
      <c r="H157" s="185">
        <v>0</v>
      </c>
      <c r="I157" s="185">
        <f t="shared" si="11"/>
        <v>0</v>
      </c>
      <c r="J157" s="220">
        <v>0</v>
      </c>
      <c r="K157" s="220">
        <v>0</v>
      </c>
      <c r="L157" s="185">
        <v>0</v>
      </c>
      <c r="M157" s="185">
        <v>0</v>
      </c>
      <c r="O157" s="187"/>
    </row>
    <row r="158" spans="1:15" ht="12.75" x14ac:dyDescent="0.2">
      <c r="A158" s="207">
        <v>148</v>
      </c>
      <c r="B158" s="143" t="s">
        <v>348</v>
      </c>
      <c r="C158" s="108" t="s">
        <v>349</v>
      </c>
      <c r="D158" s="185">
        <f t="shared" si="10"/>
        <v>0</v>
      </c>
      <c r="E158" s="220">
        <v>0</v>
      </c>
      <c r="F158" s="220">
        <v>0</v>
      </c>
      <c r="G158" s="185">
        <v>0</v>
      </c>
      <c r="H158" s="185">
        <v>0</v>
      </c>
      <c r="I158" s="185">
        <f t="shared" si="11"/>
        <v>0</v>
      </c>
      <c r="J158" s="220">
        <v>0</v>
      </c>
      <c r="K158" s="220">
        <v>0</v>
      </c>
      <c r="L158" s="185">
        <v>0</v>
      </c>
      <c r="M158" s="185">
        <v>0</v>
      </c>
      <c r="O158" s="187"/>
    </row>
    <row r="159" spans="1:15" hidden="1" x14ac:dyDescent="0.2"/>
    <row r="160" spans="1:15" hidden="1" x14ac:dyDescent="0.2">
      <c r="B160" s="221" t="s">
        <v>482</v>
      </c>
      <c r="C160" s="222"/>
      <c r="D160" s="222"/>
      <c r="E160" s="221">
        <f>E10*4.2*137.73</f>
        <v>2234614.1579999998</v>
      </c>
      <c r="F160" s="221">
        <f>F10*4.2*151.5</f>
        <v>23164501.5</v>
      </c>
      <c r="G160" s="221">
        <f>G10*4.2*137.73</f>
        <v>37585249.883999996</v>
      </c>
      <c r="H160" s="221">
        <f>H10*4.2*151.5</f>
        <v>21268327.5</v>
      </c>
      <c r="I160" s="222"/>
      <c r="J160" s="221">
        <f>J10*4.2*137.73</f>
        <v>1376749.0799999998</v>
      </c>
      <c r="K160" s="221">
        <f>K10*4.2*151.5</f>
        <v>12814445.700000001</v>
      </c>
      <c r="L160" s="221">
        <f>L10*4.2*137.73</f>
        <v>26106749.046</v>
      </c>
      <c r="M160" s="221">
        <f>M10*4.2*151.5</f>
        <v>12283771.5</v>
      </c>
    </row>
    <row r="161" spans="2:13" hidden="1" x14ac:dyDescent="0.2">
      <c r="B161" s="221"/>
      <c r="C161" s="222"/>
      <c r="D161" s="222"/>
      <c r="E161" s="221"/>
      <c r="F161" s="221"/>
      <c r="G161" s="221"/>
      <c r="H161" s="221"/>
      <c r="I161" s="222"/>
      <c r="J161" s="221"/>
      <c r="K161" s="221"/>
      <c r="L161" s="221"/>
      <c r="M161" s="221"/>
    </row>
    <row r="162" spans="2:13" hidden="1" x14ac:dyDescent="0.2">
      <c r="B162" s="221" t="s">
        <v>483</v>
      </c>
      <c r="C162" s="222"/>
      <c r="D162" s="222"/>
      <c r="E162" s="221">
        <f>E160/2</f>
        <v>1117307.0789999999</v>
      </c>
      <c r="F162" s="221">
        <f>F160/2</f>
        <v>11582250.75</v>
      </c>
      <c r="G162" s="221">
        <f>G160/2</f>
        <v>18792624.941999998</v>
      </c>
      <c r="H162" s="221">
        <f>H160/2</f>
        <v>10634163.75</v>
      </c>
      <c r="I162" s="222"/>
      <c r="J162" s="221">
        <f>J160/2</f>
        <v>688374.53999999992</v>
      </c>
      <c r="K162" s="221">
        <f>K160/2</f>
        <v>6407222.8500000006</v>
      </c>
      <c r="L162" s="221">
        <f>L160/2</f>
        <v>13053374.523</v>
      </c>
      <c r="M162" s="221">
        <f>M160/2</f>
        <v>6141885.75</v>
      </c>
    </row>
    <row r="163" spans="2:13" hidden="1" x14ac:dyDescent="0.2">
      <c r="B163" s="221"/>
      <c r="C163" s="222"/>
      <c r="D163" s="222"/>
      <c r="E163" s="221"/>
      <c r="F163" s="221"/>
      <c r="G163" s="221"/>
      <c r="H163" s="221"/>
      <c r="I163" s="222"/>
      <c r="J163" s="221"/>
      <c r="K163" s="221"/>
      <c r="L163" s="221"/>
      <c r="M163" s="221"/>
    </row>
    <row r="164" spans="2:13" hidden="1" x14ac:dyDescent="0.2">
      <c r="B164" s="221" t="s">
        <v>484</v>
      </c>
      <c r="C164" s="222"/>
      <c r="D164" s="222"/>
      <c r="E164" s="221">
        <f t="shared" ref="E164:H164" si="12">E160-E162</f>
        <v>1117307.0789999999</v>
      </c>
      <c r="F164" s="221">
        <f t="shared" si="12"/>
        <v>11582250.75</v>
      </c>
      <c r="G164" s="221">
        <f t="shared" si="12"/>
        <v>18792624.941999998</v>
      </c>
      <c r="H164" s="221">
        <f t="shared" si="12"/>
        <v>10634163.75</v>
      </c>
      <c r="I164" s="222"/>
      <c r="J164" s="221">
        <f t="shared" ref="J164:M164" si="13">J160-J162</f>
        <v>688374.53999999992</v>
      </c>
      <c r="K164" s="221">
        <f t="shared" si="13"/>
        <v>6407222.8500000006</v>
      </c>
      <c r="L164" s="221">
        <f t="shared" si="13"/>
        <v>13053374.523</v>
      </c>
      <c r="M164" s="221">
        <f t="shared" si="13"/>
        <v>6141885.75</v>
      </c>
    </row>
    <row r="165" spans="2:13" hidden="1" x14ac:dyDescent="0.2">
      <c r="B165" s="221"/>
      <c r="C165" s="222"/>
      <c r="D165" s="222"/>
      <c r="E165" s="221"/>
      <c r="F165" s="221"/>
      <c r="G165" s="221"/>
      <c r="H165" s="221"/>
      <c r="I165" s="222"/>
      <c r="J165" s="221"/>
      <c r="K165" s="221"/>
      <c r="L165" s="221"/>
      <c r="M165" s="221"/>
    </row>
    <row r="166" spans="2:13" hidden="1" x14ac:dyDescent="0.2">
      <c r="B166" s="221" t="s">
        <v>485</v>
      </c>
      <c r="C166" s="222"/>
      <c r="D166" s="222"/>
      <c r="E166" s="761">
        <f>E164+F164+G164+H164</f>
        <v>42126346.520999998</v>
      </c>
      <c r="F166" s="761"/>
      <c r="G166" s="761"/>
      <c r="H166" s="761"/>
      <c r="I166" s="222"/>
      <c r="J166" s="761">
        <f>J164+K164+L164+M164</f>
        <v>26290857.663000003</v>
      </c>
      <c r="K166" s="761"/>
      <c r="L166" s="761"/>
      <c r="M166" s="761"/>
    </row>
    <row r="167" spans="2:13" hidden="1" x14ac:dyDescent="0.2"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</row>
    <row r="168" spans="2:13" hidden="1" x14ac:dyDescent="0.2">
      <c r="B168" s="223" t="s">
        <v>486</v>
      </c>
      <c r="C168" s="224"/>
      <c r="D168" s="224"/>
      <c r="E168" s="762">
        <f>E166/2</f>
        <v>21063173.260499999</v>
      </c>
      <c r="F168" s="762"/>
      <c r="G168" s="762"/>
      <c r="H168" s="763"/>
      <c r="I168" s="224"/>
      <c r="J168" s="762">
        <f>J166/2</f>
        <v>13145428.831500001</v>
      </c>
      <c r="K168" s="762"/>
      <c r="L168" s="762"/>
      <c r="M168" s="763"/>
    </row>
    <row r="169" spans="2:13" hidden="1" x14ac:dyDescent="0.2"/>
    <row r="170" spans="2:13" hidden="1" x14ac:dyDescent="0.2"/>
    <row r="171" spans="2:13" hidden="1" x14ac:dyDescent="0.2"/>
    <row r="172" spans="2:13" hidden="1" x14ac:dyDescent="0.2"/>
  </sheetData>
  <mergeCells count="24">
    <mergeCell ref="A1:M1"/>
    <mergeCell ref="A2:A6"/>
    <mergeCell ref="B2:B6"/>
    <mergeCell ref="C2:C6"/>
    <mergeCell ref="D2:H2"/>
    <mergeCell ref="I2:M3"/>
    <mergeCell ref="D3:D6"/>
    <mergeCell ref="E3:H3"/>
    <mergeCell ref="E4:F4"/>
    <mergeCell ref="G4:H4"/>
    <mergeCell ref="E168:H168"/>
    <mergeCell ref="J168:M168"/>
    <mergeCell ref="I4:I6"/>
    <mergeCell ref="J4:K4"/>
    <mergeCell ref="L4:M4"/>
    <mergeCell ref="E5:F5"/>
    <mergeCell ref="G5:H5"/>
    <mergeCell ref="J5:K5"/>
    <mergeCell ref="L5:M5"/>
    <mergeCell ref="A8:C8"/>
    <mergeCell ref="A9:C9"/>
    <mergeCell ref="A10:C10"/>
    <mergeCell ref="E166:H166"/>
    <mergeCell ref="J166:M166"/>
  </mergeCells>
  <pageMargins left="0.55118110236220474" right="0.19685039370078741" top="0.74803149606299213" bottom="0.43307086614173229" header="0.31496062992125984" footer="0.31496062992125984"/>
  <pageSetup paperSize="9" scale="9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zoomScale="120" zoomScaleNormal="120" workbookViewId="0">
      <pane xSplit="3" ySplit="7" topLeftCell="D14" activePane="bottomRight" state="frozen"/>
      <selection pane="topRight" activeCell="D1" sqref="D1"/>
      <selection pane="bottomLeft" activeCell="A8" sqref="A8"/>
      <selection pane="bottomRight" activeCell="A8" sqref="A8:XFD8"/>
    </sheetView>
  </sheetViews>
  <sheetFormatPr defaultRowHeight="11.25" x14ac:dyDescent="0.2"/>
  <cols>
    <col min="1" max="1" width="3.7109375" style="368" customWidth="1"/>
    <col min="2" max="2" width="9.140625" style="368"/>
    <col min="3" max="3" width="28.7109375" style="368" customWidth="1"/>
    <col min="4" max="4" width="9.140625" style="368"/>
    <col min="5" max="5" width="12.42578125" style="368" customWidth="1"/>
    <col min="6" max="6" width="13.28515625" style="368" customWidth="1"/>
    <col min="7" max="7" width="11.140625" style="368" customWidth="1"/>
    <col min="8" max="8" width="12.7109375" style="368" customWidth="1"/>
    <col min="9" max="9" width="11" style="368" customWidth="1"/>
    <col min="10" max="10" width="12.28515625" style="368" customWidth="1"/>
    <col min="11" max="11" width="9.140625" style="386"/>
    <col min="12" max="12" width="12.5703125" style="368" customWidth="1"/>
    <col min="13" max="13" width="12.7109375" style="368" customWidth="1"/>
    <col min="14" max="14" width="9.140625" style="386"/>
    <col min="15" max="15" width="12.28515625" style="368" customWidth="1"/>
    <col min="16" max="16" width="11.28515625" style="368" customWidth="1"/>
    <col min="17" max="17" width="9.140625" style="368"/>
    <col min="18" max="18" width="11" style="368" customWidth="1"/>
    <col min="19" max="19" width="15.140625" style="368" customWidth="1"/>
    <col min="20" max="256" width="9.140625" style="368"/>
    <col min="257" max="257" width="3.7109375" style="368" customWidth="1"/>
    <col min="258" max="258" width="9.140625" style="368"/>
    <col min="259" max="259" width="28.7109375" style="368" customWidth="1"/>
    <col min="260" max="260" width="9.140625" style="368"/>
    <col min="261" max="261" width="12.42578125" style="368" customWidth="1"/>
    <col min="262" max="262" width="13.28515625" style="368" customWidth="1"/>
    <col min="263" max="263" width="11.140625" style="368" customWidth="1"/>
    <col min="264" max="264" width="12.7109375" style="368" customWidth="1"/>
    <col min="265" max="265" width="11" style="368" customWidth="1"/>
    <col min="266" max="266" width="12.28515625" style="368" customWidth="1"/>
    <col min="267" max="267" width="9.140625" style="368"/>
    <col min="268" max="268" width="12.5703125" style="368" customWidth="1"/>
    <col min="269" max="269" width="12.7109375" style="368" customWidth="1"/>
    <col min="270" max="270" width="9.140625" style="368"/>
    <col min="271" max="271" width="12.28515625" style="368" customWidth="1"/>
    <col min="272" max="272" width="11.28515625" style="368" customWidth="1"/>
    <col min="273" max="273" width="9.140625" style="368"/>
    <col min="274" max="274" width="11" style="368" customWidth="1"/>
    <col min="275" max="275" width="15.140625" style="368" customWidth="1"/>
    <col min="276" max="512" width="9.140625" style="368"/>
    <col min="513" max="513" width="3.7109375" style="368" customWidth="1"/>
    <col min="514" max="514" width="9.140625" style="368"/>
    <col min="515" max="515" width="28.7109375" style="368" customWidth="1"/>
    <col min="516" max="516" width="9.140625" style="368"/>
    <col min="517" max="517" width="12.42578125" style="368" customWidth="1"/>
    <col min="518" max="518" width="13.28515625" style="368" customWidth="1"/>
    <col min="519" max="519" width="11.140625" style="368" customWidth="1"/>
    <col min="520" max="520" width="12.7109375" style="368" customWidth="1"/>
    <col min="521" max="521" width="11" style="368" customWidth="1"/>
    <col min="522" max="522" width="12.28515625" style="368" customWidth="1"/>
    <col min="523" max="523" width="9.140625" style="368"/>
    <col min="524" max="524" width="12.5703125" style="368" customWidth="1"/>
    <col min="525" max="525" width="12.7109375" style="368" customWidth="1"/>
    <col min="526" max="526" width="9.140625" style="368"/>
    <col min="527" max="527" width="12.28515625" style="368" customWidth="1"/>
    <col min="528" max="528" width="11.28515625" style="368" customWidth="1"/>
    <col min="529" max="529" width="9.140625" style="368"/>
    <col min="530" max="530" width="11" style="368" customWidth="1"/>
    <col min="531" max="531" width="15.140625" style="368" customWidth="1"/>
    <col min="532" max="768" width="9.140625" style="368"/>
    <col min="769" max="769" width="3.7109375" style="368" customWidth="1"/>
    <col min="770" max="770" width="9.140625" style="368"/>
    <col min="771" max="771" width="28.7109375" style="368" customWidth="1"/>
    <col min="772" max="772" width="9.140625" style="368"/>
    <col min="773" max="773" width="12.42578125" style="368" customWidth="1"/>
    <col min="774" max="774" width="13.28515625" style="368" customWidth="1"/>
    <col min="775" max="775" width="11.140625" style="368" customWidth="1"/>
    <col min="776" max="776" width="12.7109375" style="368" customWidth="1"/>
    <col min="777" max="777" width="11" style="368" customWidth="1"/>
    <col min="778" max="778" width="12.28515625" style="368" customWidth="1"/>
    <col min="779" max="779" width="9.140625" style="368"/>
    <col min="780" max="780" width="12.5703125" style="368" customWidth="1"/>
    <col min="781" max="781" width="12.7109375" style="368" customWidth="1"/>
    <col min="782" max="782" width="9.140625" style="368"/>
    <col min="783" max="783" width="12.28515625" style="368" customWidth="1"/>
    <col min="784" max="784" width="11.28515625" style="368" customWidth="1"/>
    <col min="785" max="785" width="9.140625" style="368"/>
    <col min="786" max="786" width="11" style="368" customWidth="1"/>
    <col min="787" max="787" width="15.140625" style="368" customWidth="1"/>
    <col min="788" max="1024" width="9.140625" style="368"/>
    <col min="1025" max="1025" width="3.7109375" style="368" customWidth="1"/>
    <col min="1026" max="1026" width="9.140625" style="368"/>
    <col min="1027" max="1027" width="28.7109375" style="368" customWidth="1"/>
    <col min="1028" max="1028" width="9.140625" style="368"/>
    <col min="1029" max="1029" width="12.42578125" style="368" customWidth="1"/>
    <col min="1030" max="1030" width="13.28515625" style="368" customWidth="1"/>
    <col min="1031" max="1031" width="11.140625" style="368" customWidth="1"/>
    <col min="1032" max="1032" width="12.7109375" style="368" customWidth="1"/>
    <col min="1033" max="1033" width="11" style="368" customWidth="1"/>
    <col min="1034" max="1034" width="12.28515625" style="368" customWidth="1"/>
    <col min="1035" max="1035" width="9.140625" style="368"/>
    <col min="1036" max="1036" width="12.5703125" style="368" customWidth="1"/>
    <col min="1037" max="1037" width="12.7109375" style="368" customWidth="1"/>
    <col min="1038" max="1038" width="9.140625" style="368"/>
    <col min="1039" max="1039" width="12.28515625" style="368" customWidth="1"/>
    <col min="1040" max="1040" width="11.28515625" style="368" customWidth="1"/>
    <col min="1041" max="1041" width="9.140625" style="368"/>
    <col min="1042" max="1042" width="11" style="368" customWidth="1"/>
    <col min="1043" max="1043" width="15.140625" style="368" customWidth="1"/>
    <col min="1044" max="1280" width="9.140625" style="368"/>
    <col min="1281" max="1281" width="3.7109375" style="368" customWidth="1"/>
    <col min="1282" max="1282" width="9.140625" style="368"/>
    <col min="1283" max="1283" width="28.7109375" style="368" customWidth="1"/>
    <col min="1284" max="1284" width="9.140625" style="368"/>
    <col min="1285" max="1285" width="12.42578125" style="368" customWidth="1"/>
    <col min="1286" max="1286" width="13.28515625" style="368" customWidth="1"/>
    <col min="1287" max="1287" width="11.140625" style="368" customWidth="1"/>
    <col min="1288" max="1288" width="12.7109375" style="368" customWidth="1"/>
    <col min="1289" max="1289" width="11" style="368" customWidth="1"/>
    <col min="1290" max="1290" width="12.28515625" style="368" customWidth="1"/>
    <col min="1291" max="1291" width="9.140625" style="368"/>
    <col min="1292" max="1292" width="12.5703125" style="368" customWidth="1"/>
    <col min="1293" max="1293" width="12.7109375" style="368" customWidth="1"/>
    <col min="1294" max="1294" width="9.140625" style="368"/>
    <col min="1295" max="1295" width="12.28515625" style="368" customWidth="1"/>
    <col min="1296" max="1296" width="11.28515625" style="368" customWidth="1"/>
    <col min="1297" max="1297" width="9.140625" style="368"/>
    <col min="1298" max="1298" width="11" style="368" customWidth="1"/>
    <col min="1299" max="1299" width="15.140625" style="368" customWidth="1"/>
    <col min="1300" max="1536" width="9.140625" style="368"/>
    <col min="1537" max="1537" width="3.7109375" style="368" customWidth="1"/>
    <col min="1538" max="1538" width="9.140625" style="368"/>
    <col min="1539" max="1539" width="28.7109375" style="368" customWidth="1"/>
    <col min="1540" max="1540" width="9.140625" style="368"/>
    <col min="1541" max="1541" width="12.42578125" style="368" customWidth="1"/>
    <col min="1542" max="1542" width="13.28515625" style="368" customWidth="1"/>
    <col min="1543" max="1543" width="11.140625" style="368" customWidth="1"/>
    <col min="1544" max="1544" width="12.7109375" style="368" customWidth="1"/>
    <col min="1545" max="1545" width="11" style="368" customWidth="1"/>
    <col min="1546" max="1546" width="12.28515625" style="368" customWidth="1"/>
    <col min="1547" max="1547" width="9.140625" style="368"/>
    <col min="1548" max="1548" width="12.5703125" style="368" customWidth="1"/>
    <col min="1549" max="1549" width="12.7109375" style="368" customWidth="1"/>
    <col min="1550" max="1550" width="9.140625" style="368"/>
    <col min="1551" max="1551" width="12.28515625" style="368" customWidth="1"/>
    <col min="1552" max="1552" width="11.28515625" style="368" customWidth="1"/>
    <col min="1553" max="1553" width="9.140625" style="368"/>
    <col min="1554" max="1554" width="11" style="368" customWidth="1"/>
    <col min="1555" max="1555" width="15.140625" style="368" customWidth="1"/>
    <col min="1556" max="1792" width="9.140625" style="368"/>
    <col min="1793" max="1793" width="3.7109375" style="368" customWidth="1"/>
    <col min="1794" max="1794" width="9.140625" style="368"/>
    <col min="1795" max="1795" width="28.7109375" style="368" customWidth="1"/>
    <col min="1796" max="1796" width="9.140625" style="368"/>
    <col min="1797" max="1797" width="12.42578125" style="368" customWidth="1"/>
    <col min="1798" max="1798" width="13.28515625" style="368" customWidth="1"/>
    <col min="1799" max="1799" width="11.140625" style="368" customWidth="1"/>
    <col min="1800" max="1800" width="12.7109375" style="368" customWidth="1"/>
    <col min="1801" max="1801" width="11" style="368" customWidth="1"/>
    <col min="1802" max="1802" width="12.28515625" style="368" customWidth="1"/>
    <col min="1803" max="1803" width="9.140625" style="368"/>
    <col min="1804" max="1804" width="12.5703125" style="368" customWidth="1"/>
    <col min="1805" max="1805" width="12.7109375" style="368" customWidth="1"/>
    <col min="1806" max="1806" width="9.140625" style="368"/>
    <col min="1807" max="1807" width="12.28515625" style="368" customWidth="1"/>
    <col min="1808" max="1808" width="11.28515625" style="368" customWidth="1"/>
    <col min="1809" max="1809" width="9.140625" style="368"/>
    <col min="1810" max="1810" width="11" style="368" customWidth="1"/>
    <col min="1811" max="1811" width="15.140625" style="368" customWidth="1"/>
    <col min="1812" max="2048" width="9.140625" style="368"/>
    <col min="2049" max="2049" width="3.7109375" style="368" customWidth="1"/>
    <col min="2050" max="2050" width="9.140625" style="368"/>
    <col min="2051" max="2051" width="28.7109375" style="368" customWidth="1"/>
    <col min="2052" max="2052" width="9.140625" style="368"/>
    <col min="2053" max="2053" width="12.42578125" style="368" customWidth="1"/>
    <col min="2054" max="2054" width="13.28515625" style="368" customWidth="1"/>
    <col min="2055" max="2055" width="11.140625" style="368" customWidth="1"/>
    <col min="2056" max="2056" width="12.7109375" style="368" customWidth="1"/>
    <col min="2057" max="2057" width="11" style="368" customWidth="1"/>
    <col min="2058" max="2058" width="12.28515625" style="368" customWidth="1"/>
    <col min="2059" max="2059" width="9.140625" style="368"/>
    <col min="2060" max="2060" width="12.5703125" style="368" customWidth="1"/>
    <col min="2061" max="2061" width="12.7109375" style="368" customWidth="1"/>
    <col min="2062" max="2062" width="9.140625" style="368"/>
    <col min="2063" max="2063" width="12.28515625" style="368" customWidth="1"/>
    <col min="2064" max="2064" width="11.28515625" style="368" customWidth="1"/>
    <col min="2065" max="2065" width="9.140625" style="368"/>
    <col min="2066" max="2066" width="11" style="368" customWidth="1"/>
    <col min="2067" max="2067" width="15.140625" style="368" customWidth="1"/>
    <col min="2068" max="2304" width="9.140625" style="368"/>
    <col min="2305" max="2305" width="3.7109375" style="368" customWidth="1"/>
    <col min="2306" max="2306" width="9.140625" style="368"/>
    <col min="2307" max="2307" width="28.7109375" style="368" customWidth="1"/>
    <col min="2308" max="2308" width="9.140625" style="368"/>
    <col min="2309" max="2309" width="12.42578125" style="368" customWidth="1"/>
    <col min="2310" max="2310" width="13.28515625" style="368" customWidth="1"/>
    <col min="2311" max="2311" width="11.140625" style="368" customWidth="1"/>
    <col min="2312" max="2312" width="12.7109375" style="368" customWidth="1"/>
    <col min="2313" max="2313" width="11" style="368" customWidth="1"/>
    <col min="2314" max="2314" width="12.28515625" style="368" customWidth="1"/>
    <col min="2315" max="2315" width="9.140625" style="368"/>
    <col min="2316" max="2316" width="12.5703125" style="368" customWidth="1"/>
    <col min="2317" max="2317" width="12.7109375" style="368" customWidth="1"/>
    <col min="2318" max="2318" width="9.140625" style="368"/>
    <col min="2319" max="2319" width="12.28515625" style="368" customWidth="1"/>
    <col min="2320" max="2320" width="11.28515625" style="368" customWidth="1"/>
    <col min="2321" max="2321" width="9.140625" style="368"/>
    <col min="2322" max="2322" width="11" style="368" customWidth="1"/>
    <col min="2323" max="2323" width="15.140625" style="368" customWidth="1"/>
    <col min="2324" max="2560" width="9.140625" style="368"/>
    <col min="2561" max="2561" width="3.7109375" style="368" customWidth="1"/>
    <col min="2562" max="2562" width="9.140625" style="368"/>
    <col min="2563" max="2563" width="28.7109375" style="368" customWidth="1"/>
    <col min="2564" max="2564" width="9.140625" style="368"/>
    <col min="2565" max="2565" width="12.42578125" style="368" customWidth="1"/>
    <col min="2566" max="2566" width="13.28515625" style="368" customWidth="1"/>
    <col min="2567" max="2567" width="11.140625" style="368" customWidth="1"/>
    <col min="2568" max="2568" width="12.7109375" style="368" customWidth="1"/>
    <col min="2569" max="2569" width="11" style="368" customWidth="1"/>
    <col min="2570" max="2570" width="12.28515625" style="368" customWidth="1"/>
    <col min="2571" max="2571" width="9.140625" style="368"/>
    <col min="2572" max="2572" width="12.5703125" style="368" customWidth="1"/>
    <col min="2573" max="2573" width="12.7109375" style="368" customWidth="1"/>
    <col min="2574" max="2574" width="9.140625" style="368"/>
    <col min="2575" max="2575" width="12.28515625" style="368" customWidth="1"/>
    <col min="2576" max="2576" width="11.28515625" style="368" customWidth="1"/>
    <col min="2577" max="2577" width="9.140625" style="368"/>
    <col min="2578" max="2578" width="11" style="368" customWidth="1"/>
    <col min="2579" max="2579" width="15.140625" style="368" customWidth="1"/>
    <col min="2580" max="2816" width="9.140625" style="368"/>
    <col min="2817" max="2817" width="3.7109375" style="368" customWidth="1"/>
    <col min="2818" max="2818" width="9.140625" style="368"/>
    <col min="2819" max="2819" width="28.7109375" style="368" customWidth="1"/>
    <col min="2820" max="2820" width="9.140625" style="368"/>
    <col min="2821" max="2821" width="12.42578125" style="368" customWidth="1"/>
    <col min="2822" max="2822" width="13.28515625" style="368" customWidth="1"/>
    <col min="2823" max="2823" width="11.140625" style="368" customWidth="1"/>
    <col min="2824" max="2824" width="12.7109375" style="368" customWidth="1"/>
    <col min="2825" max="2825" width="11" style="368" customWidth="1"/>
    <col min="2826" max="2826" width="12.28515625" style="368" customWidth="1"/>
    <col min="2827" max="2827" width="9.140625" style="368"/>
    <col min="2828" max="2828" width="12.5703125" style="368" customWidth="1"/>
    <col min="2829" max="2829" width="12.7109375" style="368" customWidth="1"/>
    <col min="2830" max="2830" width="9.140625" style="368"/>
    <col min="2831" max="2831" width="12.28515625" style="368" customWidth="1"/>
    <col min="2832" max="2832" width="11.28515625" style="368" customWidth="1"/>
    <col min="2833" max="2833" width="9.140625" style="368"/>
    <col min="2834" max="2834" width="11" style="368" customWidth="1"/>
    <col min="2835" max="2835" width="15.140625" style="368" customWidth="1"/>
    <col min="2836" max="3072" width="9.140625" style="368"/>
    <col min="3073" max="3073" width="3.7109375" style="368" customWidth="1"/>
    <col min="3074" max="3074" width="9.140625" style="368"/>
    <col min="3075" max="3075" width="28.7109375" style="368" customWidth="1"/>
    <col min="3076" max="3076" width="9.140625" style="368"/>
    <col min="3077" max="3077" width="12.42578125" style="368" customWidth="1"/>
    <col min="3078" max="3078" width="13.28515625" style="368" customWidth="1"/>
    <col min="3079" max="3079" width="11.140625" style="368" customWidth="1"/>
    <col min="3080" max="3080" width="12.7109375" style="368" customWidth="1"/>
    <col min="3081" max="3081" width="11" style="368" customWidth="1"/>
    <col min="3082" max="3082" width="12.28515625" style="368" customWidth="1"/>
    <col min="3083" max="3083" width="9.140625" style="368"/>
    <col min="3084" max="3084" width="12.5703125" style="368" customWidth="1"/>
    <col min="3085" max="3085" width="12.7109375" style="368" customWidth="1"/>
    <col min="3086" max="3086" width="9.140625" style="368"/>
    <col min="3087" max="3087" width="12.28515625" style="368" customWidth="1"/>
    <col min="3088" max="3088" width="11.28515625" style="368" customWidth="1"/>
    <col min="3089" max="3089" width="9.140625" style="368"/>
    <col min="3090" max="3090" width="11" style="368" customWidth="1"/>
    <col min="3091" max="3091" width="15.140625" style="368" customWidth="1"/>
    <col min="3092" max="3328" width="9.140625" style="368"/>
    <col min="3329" max="3329" width="3.7109375" style="368" customWidth="1"/>
    <col min="3330" max="3330" width="9.140625" style="368"/>
    <col min="3331" max="3331" width="28.7109375" style="368" customWidth="1"/>
    <col min="3332" max="3332" width="9.140625" style="368"/>
    <col min="3333" max="3333" width="12.42578125" style="368" customWidth="1"/>
    <col min="3334" max="3334" width="13.28515625" style="368" customWidth="1"/>
    <col min="3335" max="3335" width="11.140625" style="368" customWidth="1"/>
    <col min="3336" max="3336" width="12.7109375" style="368" customWidth="1"/>
    <col min="3337" max="3337" width="11" style="368" customWidth="1"/>
    <col min="3338" max="3338" width="12.28515625" style="368" customWidth="1"/>
    <col min="3339" max="3339" width="9.140625" style="368"/>
    <col min="3340" max="3340" width="12.5703125" style="368" customWidth="1"/>
    <col min="3341" max="3341" width="12.7109375" style="368" customWidth="1"/>
    <col min="3342" max="3342" width="9.140625" style="368"/>
    <col min="3343" max="3343" width="12.28515625" style="368" customWidth="1"/>
    <col min="3344" max="3344" width="11.28515625" style="368" customWidth="1"/>
    <col min="3345" max="3345" width="9.140625" style="368"/>
    <col min="3346" max="3346" width="11" style="368" customWidth="1"/>
    <col min="3347" max="3347" width="15.140625" style="368" customWidth="1"/>
    <col min="3348" max="3584" width="9.140625" style="368"/>
    <col min="3585" max="3585" width="3.7109375" style="368" customWidth="1"/>
    <col min="3586" max="3586" width="9.140625" style="368"/>
    <col min="3587" max="3587" width="28.7109375" style="368" customWidth="1"/>
    <col min="3588" max="3588" width="9.140625" style="368"/>
    <col min="3589" max="3589" width="12.42578125" style="368" customWidth="1"/>
    <col min="3590" max="3590" width="13.28515625" style="368" customWidth="1"/>
    <col min="3591" max="3591" width="11.140625" style="368" customWidth="1"/>
    <col min="3592" max="3592" width="12.7109375" style="368" customWidth="1"/>
    <col min="3593" max="3593" width="11" style="368" customWidth="1"/>
    <col min="3594" max="3594" width="12.28515625" style="368" customWidth="1"/>
    <col min="3595" max="3595" width="9.140625" style="368"/>
    <col min="3596" max="3596" width="12.5703125" style="368" customWidth="1"/>
    <col min="3597" max="3597" width="12.7109375" style="368" customWidth="1"/>
    <col min="3598" max="3598" width="9.140625" style="368"/>
    <col min="3599" max="3599" width="12.28515625" style="368" customWidth="1"/>
    <col min="3600" max="3600" width="11.28515625" style="368" customWidth="1"/>
    <col min="3601" max="3601" width="9.140625" style="368"/>
    <col min="3602" max="3602" width="11" style="368" customWidth="1"/>
    <col min="3603" max="3603" width="15.140625" style="368" customWidth="1"/>
    <col min="3604" max="3840" width="9.140625" style="368"/>
    <col min="3841" max="3841" width="3.7109375" style="368" customWidth="1"/>
    <col min="3842" max="3842" width="9.140625" style="368"/>
    <col min="3843" max="3843" width="28.7109375" style="368" customWidth="1"/>
    <col min="3844" max="3844" width="9.140625" style="368"/>
    <col min="3845" max="3845" width="12.42578125" style="368" customWidth="1"/>
    <col min="3846" max="3846" width="13.28515625" style="368" customWidth="1"/>
    <col min="3847" max="3847" width="11.140625" style="368" customWidth="1"/>
    <col min="3848" max="3848" width="12.7109375" style="368" customWidth="1"/>
    <col min="3849" max="3849" width="11" style="368" customWidth="1"/>
    <col min="3850" max="3850" width="12.28515625" style="368" customWidth="1"/>
    <col min="3851" max="3851" width="9.140625" style="368"/>
    <col min="3852" max="3852" width="12.5703125" style="368" customWidth="1"/>
    <col min="3853" max="3853" width="12.7109375" style="368" customWidth="1"/>
    <col min="3854" max="3854" width="9.140625" style="368"/>
    <col min="3855" max="3855" width="12.28515625" style="368" customWidth="1"/>
    <col min="3856" max="3856" width="11.28515625" style="368" customWidth="1"/>
    <col min="3857" max="3857" width="9.140625" style="368"/>
    <col min="3858" max="3858" width="11" style="368" customWidth="1"/>
    <col min="3859" max="3859" width="15.140625" style="368" customWidth="1"/>
    <col min="3860" max="4096" width="9.140625" style="368"/>
    <col min="4097" max="4097" width="3.7109375" style="368" customWidth="1"/>
    <col min="4098" max="4098" width="9.140625" style="368"/>
    <col min="4099" max="4099" width="28.7109375" style="368" customWidth="1"/>
    <col min="4100" max="4100" width="9.140625" style="368"/>
    <col min="4101" max="4101" width="12.42578125" style="368" customWidth="1"/>
    <col min="4102" max="4102" width="13.28515625" style="368" customWidth="1"/>
    <col min="4103" max="4103" width="11.140625" style="368" customWidth="1"/>
    <col min="4104" max="4104" width="12.7109375" style="368" customWidth="1"/>
    <col min="4105" max="4105" width="11" style="368" customWidth="1"/>
    <col min="4106" max="4106" width="12.28515625" style="368" customWidth="1"/>
    <col min="4107" max="4107" width="9.140625" style="368"/>
    <col min="4108" max="4108" width="12.5703125" style="368" customWidth="1"/>
    <col min="4109" max="4109" width="12.7109375" style="368" customWidth="1"/>
    <col min="4110" max="4110" width="9.140625" style="368"/>
    <col min="4111" max="4111" width="12.28515625" style="368" customWidth="1"/>
    <col min="4112" max="4112" width="11.28515625" style="368" customWidth="1"/>
    <col min="4113" max="4113" width="9.140625" style="368"/>
    <col min="4114" max="4114" width="11" style="368" customWidth="1"/>
    <col min="4115" max="4115" width="15.140625" style="368" customWidth="1"/>
    <col min="4116" max="4352" width="9.140625" style="368"/>
    <col min="4353" max="4353" width="3.7109375" style="368" customWidth="1"/>
    <col min="4354" max="4354" width="9.140625" style="368"/>
    <col min="4355" max="4355" width="28.7109375" style="368" customWidth="1"/>
    <col min="4356" max="4356" width="9.140625" style="368"/>
    <col min="4357" max="4357" width="12.42578125" style="368" customWidth="1"/>
    <col min="4358" max="4358" width="13.28515625" style="368" customWidth="1"/>
    <col min="4359" max="4359" width="11.140625" style="368" customWidth="1"/>
    <col min="4360" max="4360" width="12.7109375" style="368" customWidth="1"/>
    <col min="4361" max="4361" width="11" style="368" customWidth="1"/>
    <col min="4362" max="4362" width="12.28515625" style="368" customWidth="1"/>
    <col min="4363" max="4363" width="9.140625" style="368"/>
    <col min="4364" max="4364" width="12.5703125" style="368" customWidth="1"/>
    <col min="4365" max="4365" width="12.7109375" style="368" customWidth="1"/>
    <col min="4366" max="4366" width="9.140625" style="368"/>
    <col min="4367" max="4367" width="12.28515625" style="368" customWidth="1"/>
    <col min="4368" max="4368" width="11.28515625" style="368" customWidth="1"/>
    <col min="4369" max="4369" width="9.140625" style="368"/>
    <col min="4370" max="4370" width="11" style="368" customWidth="1"/>
    <col min="4371" max="4371" width="15.140625" style="368" customWidth="1"/>
    <col min="4372" max="4608" width="9.140625" style="368"/>
    <col min="4609" max="4609" width="3.7109375" style="368" customWidth="1"/>
    <col min="4610" max="4610" width="9.140625" style="368"/>
    <col min="4611" max="4611" width="28.7109375" style="368" customWidth="1"/>
    <col min="4612" max="4612" width="9.140625" style="368"/>
    <col min="4613" max="4613" width="12.42578125" style="368" customWidth="1"/>
    <col min="4614" max="4614" width="13.28515625" style="368" customWidth="1"/>
    <col min="4615" max="4615" width="11.140625" style="368" customWidth="1"/>
    <col min="4616" max="4616" width="12.7109375" style="368" customWidth="1"/>
    <col min="4617" max="4617" width="11" style="368" customWidth="1"/>
    <col min="4618" max="4618" width="12.28515625" style="368" customWidth="1"/>
    <col min="4619" max="4619" width="9.140625" style="368"/>
    <col min="4620" max="4620" width="12.5703125" style="368" customWidth="1"/>
    <col min="4621" max="4621" width="12.7109375" style="368" customWidth="1"/>
    <col min="4622" max="4622" width="9.140625" style="368"/>
    <col min="4623" max="4623" width="12.28515625" style="368" customWidth="1"/>
    <col min="4624" max="4624" width="11.28515625" style="368" customWidth="1"/>
    <col min="4625" max="4625" width="9.140625" style="368"/>
    <col min="4626" max="4626" width="11" style="368" customWidth="1"/>
    <col min="4627" max="4627" width="15.140625" style="368" customWidth="1"/>
    <col min="4628" max="4864" width="9.140625" style="368"/>
    <col min="4865" max="4865" width="3.7109375" style="368" customWidth="1"/>
    <col min="4866" max="4866" width="9.140625" style="368"/>
    <col min="4867" max="4867" width="28.7109375" style="368" customWidth="1"/>
    <col min="4868" max="4868" width="9.140625" style="368"/>
    <col min="4869" max="4869" width="12.42578125" style="368" customWidth="1"/>
    <col min="4870" max="4870" width="13.28515625" style="368" customWidth="1"/>
    <col min="4871" max="4871" width="11.140625" style="368" customWidth="1"/>
    <col min="4872" max="4872" width="12.7109375" style="368" customWidth="1"/>
    <col min="4873" max="4873" width="11" style="368" customWidth="1"/>
    <col min="4874" max="4874" width="12.28515625" style="368" customWidth="1"/>
    <col min="4875" max="4875" width="9.140625" style="368"/>
    <col min="4876" max="4876" width="12.5703125" style="368" customWidth="1"/>
    <col min="4877" max="4877" width="12.7109375" style="368" customWidth="1"/>
    <col min="4878" max="4878" width="9.140625" style="368"/>
    <col min="4879" max="4879" width="12.28515625" style="368" customWidth="1"/>
    <col min="4880" max="4880" width="11.28515625" style="368" customWidth="1"/>
    <col min="4881" max="4881" width="9.140625" style="368"/>
    <col min="4882" max="4882" width="11" style="368" customWidth="1"/>
    <col min="4883" max="4883" width="15.140625" style="368" customWidth="1"/>
    <col min="4884" max="5120" width="9.140625" style="368"/>
    <col min="5121" max="5121" width="3.7109375" style="368" customWidth="1"/>
    <col min="5122" max="5122" width="9.140625" style="368"/>
    <col min="5123" max="5123" width="28.7109375" style="368" customWidth="1"/>
    <col min="5124" max="5124" width="9.140625" style="368"/>
    <col min="5125" max="5125" width="12.42578125" style="368" customWidth="1"/>
    <col min="5126" max="5126" width="13.28515625" style="368" customWidth="1"/>
    <col min="5127" max="5127" width="11.140625" style="368" customWidth="1"/>
    <col min="5128" max="5128" width="12.7109375" style="368" customWidth="1"/>
    <col min="5129" max="5129" width="11" style="368" customWidth="1"/>
    <col min="5130" max="5130" width="12.28515625" style="368" customWidth="1"/>
    <col min="5131" max="5131" width="9.140625" style="368"/>
    <col min="5132" max="5132" width="12.5703125" style="368" customWidth="1"/>
    <col min="5133" max="5133" width="12.7109375" style="368" customWidth="1"/>
    <col min="5134" max="5134" width="9.140625" style="368"/>
    <col min="5135" max="5135" width="12.28515625" style="368" customWidth="1"/>
    <col min="5136" max="5136" width="11.28515625" style="368" customWidth="1"/>
    <col min="5137" max="5137" width="9.140625" style="368"/>
    <col min="5138" max="5138" width="11" style="368" customWidth="1"/>
    <col min="5139" max="5139" width="15.140625" style="368" customWidth="1"/>
    <col min="5140" max="5376" width="9.140625" style="368"/>
    <col min="5377" max="5377" width="3.7109375" style="368" customWidth="1"/>
    <col min="5378" max="5378" width="9.140625" style="368"/>
    <col min="5379" max="5379" width="28.7109375" style="368" customWidth="1"/>
    <col min="5380" max="5380" width="9.140625" style="368"/>
    <col min="5381" max="5381" width="12.42578125" style="368" customWidth="1"/>
    <col min="5382" max="5382" width="13.28515625" style="368" customWidth="1"/>
    <col min="5383" max="5383" width="11.140625" style="368" customWidth="1"/>
    <col min="5384" max="5384" width="12.7109375" style="368" customWidth="1"/>
    <col min="5385" max="5385" width="11" style="368" customWidth="1"/>
    <col min="5386" max="5386" width="12.28515625" style="368" customWidth="1"/>
    <col min="5387" max="5387" width="9.140625" style="368"/>
    <col min="5388" max="5388" width="12.5703125" style="368" customWidth="1"/>
    <col min="5389" max="5389" width="12.7109375" style="368" customWidth="1"/>
    <col min="5390" max="5390" width="9.140625" style="368"/>
    <col min="5391" max="5391" width="12.28515625" style="368" customWidth="1"/>
    <col min="5392" max="5392" width="11.28515625" style="368" customWidth="1"/>
    <col min="5393" max="5393" width="9.140625" style="368"/>
    <col min="5394" max="5394" width="11" style="368" customWidth="1"/>
    <col min="5395" max="5395" width="15.140625" style="368" customWidth="1"/>
    <col min="5396" max="5632" width="9.140625" style="368"/>
    <col min="5633" max="5633" width="3.7109375" style="368" customWidth="1"/>
    <col min="5634" max="5634" width="9.140625" style="368"/>
    <col min="5635" max="5635" width="28.7109375" style="368" customWidth="1"/>
    <col min="5636" max="5636" width="9.140625" style="368"/>
    <col min="5637" max="5637" width="12.42578125" style="368" customWidth="1"/>
    <col min="5638" max="5638" width="13.28515625" style="368" customWidth="1"/>
    <col min="5639" max="5639" width="11.140625" style="368" customWidth="1"/>
    <col min="5640" max="5640" width="12.7109375" style="368" customWidth="1"/>
    <col min="5641" max="5641" width="11" style="368" customWidth="1"/>
    <col min="5642" max="5642" width="12.28515625" style="368" customWidth="1"/>
    <col min="5643" max="5643" width="9.140625" style="368"/>
    <col min="5644" max="5644" width="12.5703125" style="368" customWidth="1"/>
    <col min="5645" max="5645" width="12.7109375" style="368" customWidth="1"/>
    <col min="5646" max="5646" width="9.140625" style="368"/>
    <col min="5647" max="5647" width="12.28515625" style="368" customWidth="1"/>
    <col min="5648" max="5648" width="11.28515625" style="368" customWidth="1"/>
    <col min="5649" max="5649" width="9.140625" style="368"/>
    <col min="5650" max="5650" width="11" style="368" customWidth="1"/>
    <col min="5651" max="5651" width="15.140625" style="368" customWidth="1"/>
    <col min="5652" max="5888" width="9.140625" style="368"/>
    <col min="5889" max="5889" width="3.7109375" style="368" customWidth="1"/>
    <col min="5890" max="5890" width="9.140625" style="368"/>
    <col min="5891" max="5891" width="28.7109375" style="368" customWidth="1"/>
    <col min="5892" max="5892" width="9.140625" style="368"/>
    <col min="5893" max="5893" width="12.42578125" style="368" customWidth="1"/>
    <col min="5894" max="5894" width="13.28515625" style="368" customWidth="1"/>
    <col min="5895" max="5895" width="11.140625" style="368" customWidth="1"/>
    <col min="5896" max="5896" width="12.7109375" style="368" customWidth="1"/>
    <col min="5897" max="5897" width="11" style="368" customWidth="1"/>
    <col min="5898" max="5898" width="12.28515625" style="368" customWidth="1"/>
    <col min="5899" max="5899" width="9.140625" style="368"/>
    <col min="5900" max="5900" width="12.5703125" style="368" customWidth="1"/>
    <col min="5901" max="5901" width="12.7109375" style="368" customWidth="1"/>
    <col min="5902" max="5902" width="9.140625" style="368"/>
    <col min="5903" max="5903" width="12.28515625" style="368" customWidth="1"/>
    <col min="5904" max="5904" width="11.28515625" style="368" customWidth="1"/>
    <col min="5905" max="5905" width="9.140625" style="368"/>
    <col min="5906" max="5906" width="11" style="368" customWidth="1"/>
    <col min="5907" max="5907" width="15.140625" style="368" customWidth="1"/>
    <col min="5908" max="6144" width="9.140625" style="368"/>
    <col min="6145" max="6145" width="3.7109375" style="368" customWidth="1"/>
    <col min="6146" max="6146" width="9.140625" style="368"/>
    <col min="6147" max="6147" width="28.7109375" style="368" customWidth="1"/>
    <col min="6148" max="6148" width="9.140625" style="368"/>
    <col min="6149" max="6149" width="12.42578125" style="368" customWidth="1"/>
    <col min="6150" max="6150" width="13.28515625" style="368" customWidth="1"/>
    <col min="6151" max="6151" width="11.140625" style="368" customWidth="1"/>
    <col min="6152" max="6152" width="12.7109375" style="368" customWidth="1"/>
    <col min="6153" max="6153" width="11" style="368" customWidth="1"/>
    <col min="6154" max="6154" width="12.28515625" style="368" customWidth="1"/>
    <col min="6155" max="6155" width="9.140625" style="368"/>
    <col min="6156" max="6156" width="12.5703125" style="368" customWidth="1"/>
    <col min="6157" max="6157" width="12.7109375" style="368" customWidth="1"/>
    <col min="6158" max="6158" width="9.140625" style="368"/>
    <col min="6159" max="6159" width="12.28515625" style="368" customWidth="1"/>
    <col min="6160" max="6160" width="11.28515625" style="368" customWidth="1"/>
    <col min="6161" max="6161" width="9.140625" style="368"/>
    <col min="6162" max="6162" width="11" style="368" customWidth="1"/>
    <col min="6163" max="6163" width="15.140625" style="368" customWidth="1"/>
    <col min="6164" max="6400" width="9.140625" style="368"/>
    <col min="6401" max="6401" width="3.7109375" style="368" customWidth="1"/>
    <col min="6402" max="6402" width="9.140625" style="368"/>
    <col min="6403" max="6403" width="28.7109375" style="368" customWidth="1"/>
    <col min="6404" max="6404" width="9.140625" style="368"/>
    <col min="6405" max="6405" width="12.42578125" style="368" customWidth="1"/>
    <col min="6406" max="6406" width="13.28515625" style="368" customWidth="1"/>
    <col min="6407" max="6407" width="11.140625" style="368" customWidth="1"/>
    <col min="6408" max="6408" width="12.7109375" style="368" customWidth="1"/>
    <col min="6409" max="6409" width="11" style="368" customWidth="1"/>
    <col min="6410" max="6410" width="12.28515625" style="368" customWidth="1"/>
    <col min="6411" max="6411" width="9.140625" style="368"/>
    <col min="6412" max="6412" width="12.5703125" style="368" customWidth="1"/>
    <col min="6413" max="6413" width="12.7109375" style="368" customWidth="1"/>
    <col min="6414" max="6414" width="9.140625" style="368"/>
    <col min="6415" max="6415" width="12.28515625" style="368" customWidth="1"/>
    <col min="6416" max="6416" width="11.28515625" style="368" customWidth="1"/>
    <col min="6417" max="6417" width="9.140625" style="368"/>
    <col min="6418" max="6418" width="11" style="368" customWidth="1"/>
    <col min="6419" max="6419" width="15.140625" style="368" customWidth="1"/>
    <col min="6420" max="6656" width="9.140625" style="368"/>
    <col min="6657" max="6657" width="3.7109375" style="368" customWidth="1"/>
    <col min="6658" max="6658" width="9.140625" style="368"/>
    <col min="6659" max="6659" width="28.7109375" style="368" customWidth="1"/>
    <col min="6660" max="6660" width="9.140625" style="368"/>
    <col min="6661" max="6661" width="12.42578125" style="368" customWidth="1"/>
    <col min="6662" max="6662" width="13.28515625" style="368" customWidth="1"/>
    <col min="6663" max="6663" width="11.140625" style="368" customWidth="1"/>
    <col min="6664" max="6664" width="12.7109375" style="368" customWidth="1"/>
    <col min="6665" max="6665" width="11" style="368" customWidth="1"/>
    <col min="6666" max="6666" width="12.28515625" style="368" customWidth="1"/>
    <col min="6667" max="6667" width="9.140625" style="368"/>
    <col min="6668" max="6668" width="12.5703125" style="368" customWidth="1"/>
    <col min="6669" max="6669" width="12.7109375" style="368" customWidth="1"/>
    <col min="6670" max="6670" width="9.140625" style="368"/>
    <col min="6671" max="6671" width="12.28515625" style="368" customWidth="1"/>
    <col min="6672" max="6672" width="11.28515625" style="368" customWidth="1"/>
    <col min="6673" max="6673" width="9.140625" style="368"/>
    <col min="6674" max="6674" width="11" style="368" customWidth="1"/>
    <col min="6675" max="6675" width="15.140625" style="368" customWidth="1"/>
    <col min="6676" max="6912" width="9.140625" style="368"/>
    <col min="6913" max="6913" width="3.7109375" style="368" customWidth="1"/>
    <col min="6914" max="6914" width="9.140625" style="368"/>
    <col min="6915" max="6915" width="28.7109375" style="368" customWidth="1"/>
    <col min="6916" max="6916" width="9.140625" style="368"/>
    <col min="6917" max="6917" width="12.42578125" style="368" customWidth="1"/>
    <col min="6918" max="6918" width="13.28515625" style="368" customWidth="1"/>
    <col min="6919" max="6919" width="11.140625" style="368" customWidth="1"/>
    <col min="6920" max="6920" width="12.7109375" style="368" customWidth="1"/>
    <col min="6921" max="6921" width="11" style="368" customWidth="1"/>
    <col min="6922" max="6922" width="12.28515625" style="368" customWidth="1"/>
    <col min="6923" max="6923" width="9.140625" style="368"/>
    <col min="6924" max="6924" width="12.5703125" style="368" customWidth="1"/>
    <col min="6925" max="6925" width="12.7109375" style="368" customWidth="1"/>
    <col min="6926" max="6926" width="9.140625" style="368"/>
    <col min="6927" max="6927" width="12.28515625" style="368" customWidth="1"/>
    <col min="6928" max="6928" width="11.28515625" style="368" customWidth="1"/>
    <col min="6929" max="6929" width="9.140625" style="368"/>
    <col min="6930" max="6930" width="11" style="368" customWidth="1"/>
    <col min="6931" max="6931" width="15.140625" style="368" customWidth="1"/>
    <col min="6932" max="7168" width="9.140625" style="368"/>
    <col min="7169" max="7169" width="3.7109375" style="368" customWidth="1"/>
    <col min="7170" max="7170" width="9.140625" style="368"/>
    <col min="7171" max="7171" width="28.7109375" style="368" customWidth="1"/>
    <col min="7172" max="7172" width="9.140625" style="368"/>
    <col min="7173" max="7173" width="12.42578125" style="368" customWidth="1"/>
    <col min="7174" max="7174" width="13.28515625" style="368" customWidth="1"/>
    <col min="7175" max="7175" width="11.140625" style="368" customWidth="1"/>
    <col min="7176" max="7176" width="12.7109375" style="368" customWidth="1"/>
    <col min="7177" max="7177" width="11" style="368" customWidth="1"/>
    <col min="7178" max="7178" width="12.28515625" style="368" customWidth="1"/>
    <col min="7179" max="7179" width="9.140625" style="368"/>
    <col min="7180" max="7180" width="12.5703125" style="368" customWidth="1"/>
    <col min="7181" max="7181" width="12.7109375" style="368" customWidth="1"/>
    <col min="7182" max="7182" width="9.140625" style="368"/>
    <col min="7183" max="7183" width="12.28515625" style="368" customWidth="1"/>
    <col min="7184" max="7184" width="11.28515625" style="368" customWidth="1"/>
    <col min="7185" max="7185" width="9.140625" style="368"/>
    <col min="7186" max="7186" width="11" style="368" customWidth="1"/>
    <col min="7187" max="7187" width="15.140625" style="368" customWidth="1"/>
    <col min="7188" max="7424" width="9.140625" style="368"/>
    <col min="7425" max="7425" width="3.7109375" style="368" customWidth="1"/>
    <col min="7426" max="7426" width="9.140625" style="368"/>
    <col min="7427" max="7427" width="28.7109375" style="368" customWidth="1"/>
    <col min="7428" max="7428" width="9.140625" style="368"/>
    <col min="7429" max="7429" width="12.42578125" style="368" customWidth="1"/>
    <col min="7430" max="7430" width="13.28515625" style="368" customWidth="1"/>
    <col min="7431" max="7431" width="11.140625" style="368" customWidth="1"/>
    <col min="7432" max="7432" width="12.7109375" style="368" customWidth="1"/>
    <col min="7433" max="7433" width="11" style="368" customWidth="1"/>
    <col min="7434" max="7434" width="12.28515625" style="368" customWidth="1"/>
    <col min="7435" max="7435" width="9.140625" style="368"/>
    <col min="7436" max="7436" width="12.5703125" style="368" customWidth="1"/>
    <col min="7437" max="7437" width="12.7109375" style="368" customWidth="1"/>
    <col min="7438" max="7438" width="9.140625" style="368"/>
    <col min="7439" max="7439" width="12.28515625" style="368" customWidth="1"/>
    <col min="7440" max="7440" width="11.28515625" style="368" customWidth="1"/>
    <col min="7441" max="7441" width="9.140625" style="368"/>
    <col min="7442" max="7442" width="11" style="368" customWidth="1"/>
    <col min="7443" max="7443" width="15.140625" style="368" customWidth="1"/>
    <col min="7444" max="7680" width="9.140625" style="368"/>
    <col min="7681" max="7681" width="3.7109375" style="368" customWidth="1"/>
    <col min="7682" max="7682" width="9.140625" style="368"/>
    <col min="7683" max="7683" width="28.7109375" style="368" customWidth="1"/>
    <col min="7684" max="7684" width="9.140625" style="368"/>
    <col min="7685" max="7685" width="12.42578125" style="368" customWidth="1"/>
    <col min="7686" max="7686" width="13.28515625" style="368" customWidth="1"/>
    <col min="7687" max="7687" width="11.140625" style="368" customWidth="1"/>
    <col min="7688" max="7688" width="12.7109375" style="368" customWidth="1"/>
    <col min="7689" max="7689" width="11" style="368" customWidth="1"/>
    <col min="7690" max="7690" width="12.28515625" style="368" customWidth="1"/>
    <col min="7691" max="7691" width="9.140625" style="368"/>
    <col min="7692" max="7692" width="12.5703125" style="368" customWidth="1"/>
    <col min="7693" max="7693" width="12.7109375" style="368" customWidth="1"/>
    <col min="7694" max="7694" width="9.140625" style="368"/>
    <col min="7695" max="7695" width="12.28515625" style="368" customWidth="1"/>
    <col min="7696" max="7696" width="11.28515625" style="368" customWidth="1"/>
    <col min="7697" max="7697" width="9.140625" style="368"/>
    <col min="7698" max="7698" width="11" style="368" customWidth="1"/>
    <col min="7699" max="7699" width="15.140625" style="368" customWidth="1"/>
    <col min="7700" max="7936" width="9.140625" style="368"/>
    <col min="7937" max="7937" width="3.7109375" style="368" customWidth="1"/>
    <col min="7938" max="7938" width="9.140625" style="368"/>
    <col min="7939" max="7939" width="28.7109375" style="368" customWidth="1"/>
    <col min="7940" max="7940" width="9.140625" style="368"/>
    <col min="7941" max="7941" width="12.42578125" style="368" customWidth="1"/>
    <col min="7942" max="7942" width="13.28515625" style="368" customWidth="1"/>
    <col min="7943" max="7943" width="11.140625" style="368" customWidth="1"/>
    <col min="7944" max="7944" width="12.7109375" style="368" customWidth="1"/>
    <col min="7945" max="7945" width="11" style="368" customWidth="1"/>
    <col min="7946" max="7946" width="12.28515625" style="368" customWidth="1"/>
    <col min="7947" max="7947" width="9.140625" style="368"/>
    <col min="7948" max="7948" width="12.5703125" style="368" customWidth="1"/>
    <col min="7949" max="7949" width="12.7109375" style="368" customWidth="1"/>
    <col min="7950" max="7950" width="9.140625" style="368"/>
    <col min="7951" max="7951" width="12.28515625" style="368" customWidth="1"/>
    <col min="7952" max="7952" width="11.28515625" style="368" customWidth="1"/>
    <col min="7953" max="7953" width="9.140625" style="368"/>
    <col min="7954" max="7954" width="11" style="368" customWidth="1"/>
    <col min="7955" max="7955" width="15.140625" style="368" customWidth="1"/>
    <col min="7956" max="8192" width="9.140625" style="368"/>
    <col min="8193" max="8193" width="3.7109375" style="368" customWidth="1"/>
    <col min="8194" max="8194" width="9.140625" style="368"/>
    <col min="8195" max="8195" width="28.7109375" style="368" customWidth="1"/>
    <col min="8196" max="8196" width="9.140625" style="368"/>
    <col min="8197" max="8197" width="12.42578125" style="368" customWidth="1"/>
    <col min="8198" max="8198" width="13.28515625" style="368" customWidth="1"/>
    <col min="8199" max="8199" width="11.140625" style="368" customWidth="1"/>
    <col min="8200" max="8200" width="12.7109375" style="368" customWidth="1"/>
    <col min="8201" max="8201" width="11" style="368" customWidth="1"/>
    <col min="8202" max="8202" width="12.28515625" style="368" customWidth="1"/>
    <col min="8203" max="8203" width="9.140625" style="368"/>
    <col min="8204" max="8204" width="12.5703125" style="368" customWidth="1"/>
    <col min="8205" max="8205" width="12.7109375" style="368" customWidth="1"/>
    <col min="8206" max="8206" width="9.140625" style="368"/>
    <col min="8207" max="8207" width="12.28515625" style="368" customWidth="1"/>
    <col min="8208" max="8208" width="11.28515625" style="368" customWidth="1"/>
    <col min="8209" max="8209" width="9.140625" style="368"/>
    <col min="8210" max="8210" width="11" style="368" customWidth="1"/>
    <col min="8211" max="8211" width="15.140625" style="368" customWidth="1"/>
    <col min="8212" max="8448" width="9.140625" style="368"/>
    <col min="8449" max="8449" width="3.7109375" style="368" customWidth="1"/>
    <col min="8450" max="8450" width="9.140625" style="368"/>
    <col min="8451" max="8451" width="28.7109375" style="368" customWidth="1"/>
    <col min="8452" max="8452" width="9.140625" style="368"/>
    <col min="8453" max="8453" width="12.42578125" style="368" customWidth="1"/>
    <col min="8454" max="8454" width="13.28515625" style="368" customWidth="1"/>
    <col min="8455" max="8455" width="11.140625" style="368" customWidth="1"/>
    <col min="8456" max="8456" width="12.7109375" style="368" customWidth="1"/>
    <col min="8457" max="8457" width="11" style="368" customWidth="1"/>
    <col min="8458" max="8458" width="12.28515625" style="368" customWidth="1"/>
    <col min="8459" max="8459" width="9.140625" style="368"/>
    <col min="8460" max="8460" width="12.5703125" style="368" customWidth="1"/>
    <col min="8461" max="8461" width="12.7109375" style="368" customWidth="1"/>
    <col min="8462" max="8462" width="9.140625" style="368"/>
    <col min="8463" max="8463" width="12.28515625" style="368" customWidth="1"/>
    <col min="8464" max="8464" width="11.28515625" style="368" customWidth="1"/>
    <col min="8465" max="8465" width="9.140625" style="368"/>
    <col min="8466" max="8466" width="11" style="368" customWidth="1"/>
    <col min="8467" max="8467" width="15.140625" style="368" customWidth="1"/>
    <col min="8468" max="8704" width="9.140625" style="368"/>
    <col min="8705" max="8705" width="3.7109375" style="368" customWidth="1"/>
    <col min="8706" max="8706" width="9.140625" style="368"/>
    <col min="8707" max="8707" width="28.7109375" style="368" customWidth="1"/>
    <col min="8708" max="8708" width="9.140625" style="368"/>
    <col min="8709" max="8709" width="12.42578125" style="368" customWidth="1"/>
    <col min="8710" max="8710" width="13.28515625" style="368" customWidth="1"/>
    <col min="8711" max="8711" width="11.140625" style="368" customWidth="1"/>
    <col min="8712" max="8712" width="12.7109375" style="368" customWidth="1"/>
    <col min="8713" max="8713" width="11" style="368" customWidth="1"/>
    <col min="8714" max="8714" width="12.28515625" style="368" customWidth="1"/>
    <col min="8715" max="8715" width="9.140625" style="368"/>
    <col min="8716" max="8716" width="12.5703125" style="368" customWidth="1"/>
    <col min="8717" max="8717" width="12.7109375" style="368" customWidth="1"/>
    <col min="8718" max="8718" width="9.140625" style="368"/>
    <col min="8719" max="8719" width="12.28515625" style="368" customWidth="1"/>
    <col min="8720" max="8720" width="11.28515625" style="368" customWidth="1"/>
    <col min="8721" max="8721" width="9.140625" style="368"/>
    <col min="8722" max="8722" width="11" style="368" customWidth="1"/>
    <col min="8723" max="8723" width="15.140625" style="368" customWidth="1"/>
    <col min="8724" max="8960" width="9.140625" style="368"/>
    <col min="8961" max="8961" width="3.7109375" style="368" customWidth="1"/>
    <col min="8962" max="8962" width="9.140625" style="368"/>
    <col min="8963" max="8963" width="28.7109375" style="368" customWidth="1"/>
    <col min="8964" max="8964" width="9.140625" style="368"/>
    <col min="8965" max="8965" width="12.42578125" style="368" customWidth="1"/>
    <col min="8966" max="8966" width="13.28515625" style="368" customWidth="1"/>
    <col min="8967" max="8967" width="11.140625" style="368" customWidth="1"/>
    <col min="8968" max="8968" width="12.7109375" style="368" customWidth="1"/>
    <col min="8969" max="8969" width="11" style="368" customWidth="1"/>
    <col min="8970" max="8970" width="12.28515625" style="368" customWidth="1"/>
    <col min="8971" max="8971" width="9.140625" style="368"/>
    <col min="8972" max="8972" width="12.5703125" style="368" customWidth="1"/>
    <col min="8973" max="8973" width="12.7109375" style="368" customWidth="1"/>
    <col min="8974" max="8974" width="9.140625" style="368"/>
    <col min="8975" max="8975" width="12.28515625" style="368" customWidth="1"/>
    <col min="8976" max="8976" width="11.28515625" style="368" customWidth="1"/>
    <col min="8977" max="8977" width="9.140625" style="368"/>
    <col min="8978" max="8978" width="11" style="368" customWidth="1"/>
    <col min="8979" max="8979" width="15.140625" style="368" customWidth="1"/>
    <col min="8980" max="9216" width="9.140625" style="368"/>
    <col min="9217" max="9217" width="3.7109375" style="368" customWidth="1"/>
    <col min="9218" max="9218" width="9.140625" style="368"/>
    <col min="9219" max="9219" width="28.7109375" style="368" customWidth="1"/>
    <col min="9220" max="9220" width="9.140625" style="368"/>
    <col min="9221" max="9221" width="12.42578125" style="368" customWidth="1"/>
    <col min="9222" max="9222" width="13.28515625" style="368" customWidth="1"/>
    <col min="9223" max="9223" width="11.140625" style="368" customWidth="1"/>
    <col min="9224" max="9224" width="12.7109375" style="368" customWidth="1"/>
    <col min="9225" max="9225" width="11" style="368" customWidth="1"/>
    <col min="9226" max="9226" width="12.28515625" style="368" customWidth="1"/>
    <col min="9227" max="9227" width="9.140625" style="368"/>
    <col min="9228" max="9228" width="12.5703125" style="368" customWidth="1"/>
    <col min="9229" max="9229" width="12.7109375" style="368" customWidth="1"/>
    <col min="9230" max="9230" width="9.140625" style="368"/>
    <col min="9231" max="9231" width="12.28515625" style="368" customWidth="1"/>
    <col min="9232" max="9232" width="11.28515625" style="368" customWidth="1"/>
    <col min="9233" max="9233" width="9.140625" style="368"/>
    <col min="9234" max="9234" width="11" style="368" customWidth="1"/>
    <col min="9235" max="9235" width="15.140625" style="368" customWidth="1"/>
    <col min="9236" max="9472" width="9.140625" style="368"/>
    <col min="9473" max="9473" width="3.7109375" style="368" customWidth="1"/>
    <col min="9474" max="9474" width="9.140625" style="368"/>
    <col min="9475" max="9475" width="28.7109375" style="368" customWidth="1"/>
    <col min="9476" max="9476" width="9.140625" style="368"/>
    <col min="9477" max="9477" width="12.42578125" style="368" customWidth="1"/>
    <col min="9478" max="9478" width="13.28515625" style="368" customWidth="1"/>
    <col min="9479" max="9479" width="11.140625" style="368" customWidth="1"/>
    <col min="9480" max="9480" width="12.7109375" style="368" customWidth="1"/>
    <col min="9481" max="9481" width="11" style="368" customWidth="1"/>
    <col min="9482" max="9482" width="12.28515625" style="368" customWidth="1"/>
    <col min="9483" max="9483" width="9.140625" style="368"/>
    <col min="9484" max="9484" width="12.5703125" style="368" customWidth="1"/>
    <col min="9485" max="9485" width="12.7109375" style="368" customWidth="1"/>
    <col min="9486" max="9486" width="9.140625" style="368"/>
    <col min="9487" max="9487" width="12.28515625" style="368" customWidth="1"/>
    <col min="9488" max="9488" width="11.28515625" style="368" customWidth="1"/>
    <col min="9489" max="9489" width="9.140625" style="368"/>
    <col min="9490" max="9490" width="11" style="368" customWidth="1"/>
    <col min="9491" max="9491" width="15.140625" style="368" customWidth="1"/>
    <col min="9492" max="9728" width="9.140625" style="368"/>
    <col min="9729" max="9729" width="3.7109375" style="368" customWidth="1"/>
    <col min="9730" max="9730" width="9.140625" style="368"/>
    <col min="9731" max="9731" width="28.7109375" style="368" customWidth="1"/>
    <col min="9732" max="9732" width="9.140625" style="368"/>
    <col min="9733" max="9733" width="12.42578125" style="368" customWidth="1"/>
    <col min="9734" max="9734" width="13.28515625" style="368" customWidth="1"/>
    <col min="9735" max="9735" width="11.140625" style="368" customWidth="1"/>
    <col min="9736" max="9736" width="12.7109375" style="368" customWidth="1"/>
    <col min="9737" max="9737" width="11" style="368" customWidth="1"/>
    <col min="9738" max="9738" width="12.28515625" style="368" customWidth="1"/>
    <col min="9739" max="9739" width="9.140625" style="368"/>
    <col min="9740" max="9740" width="12.5703125" style="368" customWidth="1"/>
    <col min="9741" max="9741" width="12.7109375" style="368" customWidth="1"/>
    <col min="9742" max="9742" width="9.140625" style="368"/>
    <col min="9743" max="9743" width="12.28515625" style="368" customWidth="1"/>
    <col min="9744" max="9744" width="11.28515625" style="368" customWidth="1"/>
    <col min="9745" max="9745" width="9.140625" style="368"/>
    <col min="9746" max="9746" width="11" style="368" customWidth="1"/>
    <col min="9747" max="9747" width="15.140625" style="368" customWidth="1"/>
    <col min="9748" max="9984" width="9.140625" style="368"/>
    <col min="9985" max="9985" width="3.7109375" style="368" customWidth="1"/>
    <col min="9986" max="9986" width="9.140625" style="368"/>
    <col min="9987" max="9987" width="28.7109375" style="368" customWidth="1"/>
    <col min="9988" max="9988" width="9.140625" style="368"/>
    <col min="9989" max="9989" width="12.42578125" style="368" customWidth="1"/>
    <col min="9990" max="9990" width="13.28515625" style="368" customWidth="1"/>
    <col min="9991" max="9991" width="11.140625" style="368" customWidth="1"/>
    <col min="9992" max="9992" width="12.7109375" style="368" customWidth="1"/>
    <col min="9993" max="9993" width="11" style="368" customWidth="1"/>
    <col min="9994" max="9994" width="12.28515625" style="368" customWidth="1"/>
    <col min="9995" max="9995" width="9.140625" style="368"/>
    <col min="9996" max="9996" width="12.5703125" style="368" customWidth="1"/>
    <col min="9997" max="9997" width="12.7109375" style="368" customWidth="1"/>
    <col min="9998" max="9998" width="9.140625" style="368"/>
    <col min="9999" max="9999" width="12.28515625" style="368" customWidth="1"/>
    <col min="10000" max="10000" width="11.28515625" style="368" customWidth="1"/>
    <col min="10001" max="10001" width="9.140625" style="368"/>
    <col min="10002" max="10002" width="11" style="368" customWidth="1"/>
    <col min="10003" max="10003" width="15.140625" style="368" customWidth="1"/>
    <col min="10004" max="10240" width="9.140625" style="368"/>
    <col min="10241" max="10241" width="3.7109375" style="368" customWidth="1"/>
    <col min="10242" max="10242" width="9.140625" style="368"/>
    <col min="10243" max="10243" width="28.7109375" style="368" customWidth="1"/>
    <col min="10244" max="10244" width="9.140625" style="368"/>
    <col min="10245" max="10245" width="12.42578125" style="368" customWidth="1"/>
    <col min="10246" max="10246" width="13.28515625" style="368" customWidth="1"/>
    <col min="10247" max="10247" width="11.140625" style="368" customWidth="1"/>
    <col min="10248" max="10248" width="12.7109375" style="368" customWidth="1"/>
    <col min="10249" max="10249" width="11" style="368" customWidth="1"/>
    <col min="10250" max="10250" width="12.28515625" style="368" customWidth="1"/>
    <col min="10251" max="10251" width="9.140625" style="368"/>
    <col min="10252" max="10252" width="12.5703125" style="368" customWidth="1"/>
    <col min="10253" max="10253" width="12.7109375" style="368" customWidth="1"/>
    <col min="10254" max="10254" width="9.140625" style="368"/>
    <col min="10255" max="10255" width="12.28515625" style="368" customWidth="1"/>
    <col min="10256" max="10256" width="11.28515625" style="368" customWidth="1"/>
    <col min="10257" max="10257" width="9.140625" style="368"/>
    <col min="10258" max="10258" width="11" style="368" customWidth="1"/>
    <col min="10259" max="10259" width="15.140625" style="368" customWidth="1"/>
    <col min="10260" max="10496" width="9.140625" style="368"/>
    <col min="10497" max="10497" width="3.7109375" style="368" customWidth="1"/>
    <col min="10498" max="10498" width="9.140625" style="368"/>
    <col min="10499" max="10499" width="28.7109375" style="368" customWidth="1"/>
    <col min="10500" max="10500" width="9.140625" style="368"/>
    <col min="10501" max="10501" width="12.42578125" style="368" customWidth="1"/>
    <col min="10502" max="10502" width="13.28515625" style="368" customWidth="1"/>
    <col min="10503" max="10503" width="11.140625" style="368" customWidth="1"/>
    <col min="10504" max="10504" width="12.7109375" style="368" customWidth="1"/>
    <col min="10505" max="10505" width="11" style="368" customWidth="1"/>
    <col min="10506" max="10506" width="12.28515625" style="368" customWidth="1"/>
    <col min="10507" max="10507" width="9.140625" style="368"/>
    <col min="10508" max="10508" width="12.5703125" style="368" customWidth="1"/>
    <col min="10509" max="10509" width="12.7109375" style="368" customWidth="1"/>
    <col min="10510" max="10510" width="9.140625" style="368"/>
    <col min="10511" max="10511" width="12.28515625" style="368" customWidth="1"/>
    <col min="10512" max="10512" width="11.28515625" style="368" customWidth="1"/>
    <col min="10513" max="10513" width="9.140625" style="368"/>
    <col min="10514" max="10514" width="11" style="368" customWidth="1"/>
    <col min="10515" max="10515" width="15.140625" style="368" customWidth="1"/>
    <col min="10516" max="10752" width="9.140625" style="368"/>
    <col min="10753" max="10753" width="3.7109375" style="368" customWidth="1"/>
    <col min="10754" max="10754" width="9.140625" style="368"/>
    <col min="10755" max="10755" width="28.7109375" style="368" customWidth="1"/>
    <col min="10756" max="10756" width="9.140625" style="368"/>
    <col min="10757" max="10757" width="12.42578125" style="368" customWidth="1"/>
    <col min="10758" max="10758" width="13.28515625" style="368" customWidth="1"/>
    <col min="10759" max="10759" width="11.140625" style="368" customWidth="1"/>
    <col min="10760" max="10760" width="12.7109375" style="368" customWidth="1"/>
    <col min="10761" max="10761" width="11" style="368" customWidth="1"/>
    <col min="10762" max="10762" width="12.28515625" style="368" customWidth="1"/>
    <col min="10763" max="10763" width="9.140625" style="368"/>
    <col min="10764" max="10764" width="12.5703125" style="368" customWidth="1"/>
    <col min="10765" max="10765" width="12.7109375" style="368" customWidth="1"/>
    <col min="10766" max="10766" width="9.140625" style="368"/>
    <col min="10767" max="10767" width="12.28515625" style="368" customWidth="1"/>
    <col min="10768" max="10768" width="11.28515625" style="368" customWidth="1"/>
    <col min="10769" max="10769" width="9.140625" style="368"/>
    <col min="10770" max="10770" width="11" style="368" customWidth="1"/>
    <col min="10771" max="10771" width="15.140625" style="368" customWidth="1"/>
    <col min="10772" max="11008" width="9.140625" style="368"/>
    <col min="11009" max="11009" width="3.7109375" style="368" customWidth="1"/>
    <col min="11010" max="11010" width="9.140625" style="368"/>
    <col min="11011" max="11011" width="28.7109375" style="368" customWidth="1"/>
    <col min="11012" max="11012" width="9.140625" style="368"/>
    <col min="11013" max="11013" width="12.42578125" style="368" customWidth="1"/>
    <col min="11014" max="11014" width="13.28515625" style="368" customWidth="1"/>
    <col min="11015" max="11015" width="11.140625" style="368" customWidth="1"/>
    <col min="11016" max="11016" width="12.7109375" style="368" customWidth="1"/>
    <col min="11017" max="11017" width="11" style="368" customWidth="1"/>
    <col min="11018" max="11018" width="12.28515625" style="368" customWidth="1"/>
    <col min="11019" max="11019" width="9.140625" style="368"/>
    <col min="11020" max="11020" width="12.5703125" style="368" customWidth="1"/>
    <col min="11021" max="11021" width="12.7109375" style="368" customWidth="1"/>
    <col min="11022" max="11022" width="9.140625" style="368"/>
    <col min="11023" max="11023" width="12.28515625" style="368" customWidth="1"/>
    <col min="11024" max="11024" width="11.28515625" style="368" customWidth="1"/>
    <col min="11025" max="11025" width="9.140625" style="368"/>
    <col min="11026" max="11026" width="11" style="368" customWidth="1"/>
    <col min="11027" max="11027" width="15.140625" style="368" customWidth="1"/>
    <col min="11028" max="11264" width="9.140625" style="368"/>
    <col min="11265" max="11265" width="3.7109375" style="368" customWidth="1"/>
    <col min="11266" max="11266" width="9.140625" style="368"/>
    <col min="11267" max="11267" width="28.7109375" style="368" customWidth="1"/>
    <col min="11268" max="11268" width="9.140625" style="368"/>
    <col min="11269" max="11269" width="12.42578125" style="368" customWidth="1"/>
    <col min="11270" max="11270" width="13.28515625" style="368" customWidth="1"/>
    <col min="11271" max="11271" width="11.140625" style="368" customWidth="1"/>
    <col min="11272" max="11272" width="12.7109375" style="368" customWidth="1"/>
    <col min="11273" max="11273" width="11" style="368" customWidth="1"/>
    <col min="11274" max="11274" width="12.28515625" style="368" customWidth="1"/>
    <col min="11275" max="11275" width="9.140625" style="368"/>
    <col min="11276" max="11276" width="12.5703125" style="368" customWidth="1"/>
    <col min="11277" max="11277" width="12.7109375" style="368" customWidth="1"/>
    <col min="11278" max="11278" width="9.140625" style="368"/>
    <col min="11279" max="11279" width="12.28515625" style="368" customWidth="1"/>
    <col min="11280" max="11280" width="11.28515625" style="368" customWidth="1"/>
    <col min="11281" max="11281" width="9.140625" style="368"/>
    <col min="11282" max="11282" width="11" style="368" customWidth="1"/>
    <col min="11283" max="11283" width="15.140625" style="368" customWidth="1"/>
    <col min="11284" max="11520" width="9.140625" style="368"/>
    <col min="11521" max="11521" width="3.7109375" style="368" customWidth="1"/>
    <col min="11522" max="11522" width="9.140625" style="368"/>
    <col min="11523" max="11523" width="28.7109375" style="368" customWidth="1"/>
    <col min="11524" max="11524" width="9.140625" style="368"/>
    <col min="11525" max="11525" width="12.42578125" style="368" customWidth="1"/>
    <col min="11526" max="11526" width="13.28515625" style="368" customWidth="1"/>
    <col min="11527" max="11527" width="11.140625" style="368" customWidth="1"/>
    <col min="11528" max="11528" width="12.7109375" style="368" customWidth="1"/>
    <col min="11529" max="11529" width="11" style="368" customWidth="1"/>
    <col min="11530" max="11530" width="12.28515625" style="368" customWidth="1"/>
    <col min="11531" max="11531" width="9.140625" style="368"/>
    <col min="11532" max="11532" width="12.5703125" style="368" customWidth="1"/>
    <col min="11533" max="11533" width="12.7109375" style="368" customWidth="1"/>
    <col min="11534" max="11534" width="9.140625" style="368"/>
    <col min="11535" max="11535" width="12.28515625" style="368" customWidth="1"/>
    <col min="11536" max="11536" width="11.28515625" style="368" customWidth="1"/>
    <col min="11537" max="11537" width="9.140625" style="368"/>
    <col min="11538" max="11538" width="11" style="368" customWidth="1"/>
    <col min="11539" max="11539" width="15.140625" style="368" customWidth="1"/>
    <col min="11540" max="11776" width="9.140625" style="368"/>
    <col min="11777" max="11777" width="3.7109375" style="368" customWidth="1"/>
    <col min="11778" max="11778" width="9.140625" style="368"/>
    <col min="11779" max="11779" width="28.7109375" style="368" customWidth="1"/>
    <col min="11780" max="11780" width="9.140625" style="368"/>
    <col min="11781" max="11781" width="12.42578125" style="368" customWidth="1"/>
    <col min="11782" max="11782" width="13.28515625" style="368" customWidth="1"/>
    <col min="11783" max="11783" width="11.140625" style="368" customWidth="1"/>
    <col min="11784" max="11784" width="12.7109375" style="368" customWidth="1"/>
    <col min="11785" max="11785" width="11" style="368" customWidth="1"/>
    <col min="11786" max="11786" width="12.28515625" style="368" customWidth="1"/>
    <col min="11787" max="11787" width="9.140625" style="368"/>
    <col min="11788" max="11788" width="12.5703125" style="368" customWidth="1"/>
    <col min="11789" max="11789" width="12.7109375" style="368" customWidth="1"/>
    <col min="11790" max="11790" width="9.140625" style="368"/>
    <col min="11791" max="11791" width="12.28515625" style="368" customWidth="1"/>
    <col min="11792" max="11792" width="11.28515625" style="368" customWidth="1"/>
    <col min="11793" max="11793" width="9.140625" style="368"/>
    <col min="11794" max="11794" width="11" style="368" customWidth="1"/>
    <col min="11795" max="11795" width="15.140625" style="368" customWidth="1"/>
    <col min="11796" max="12032" width="9.140625" style="368"/>
    <col min="12033" max="12033" width="3.7109375" style="368" customWidth="1"/>
    <col min="12034" max="12034" width="9.140625" style="368"/>
    <col min="12035" max="12035" width="28.7109375" style="368" customWidth="1"/>
    <col min="12036" max="12036" width="9.140625" style="368"/>
    <col min="12037" max="12037" width="12.42578125" style="368" customWidth="1"/>
    <col min="12038" max="12038" width="13.28515625" style="368" customWidth="1"/>
    <col min="12039" max="12039" width="11.140625" style="368" customWidth="1"/>
    <col min="12040" max="12040" width="12.7109375" style="368" customWidth="1"/>
    <col min="12041" max="12041" width="11" style="368" customWidth="1"/>
    <col min="12042" max="12042" width="12.28515625" style="368" customWidth="1"/>
    <col min="12043" max="12043" width="9.140625" style="368"/>
    <col min="12044" max="12044" width="12.5703125" style="368" customWidth="1"/>
    <col min="12045" max="12045" width="12.7109375" style="368" customWidth="1"/>
    <col min="12046" max="12046" width="9.140625" style="368"/>
    <col min="12047" max="12047" width="12.28515625" style="368" customWidth="1"/>
    <col min="12048" max="12048" width="11.28515625" style="368" customWidth="1"/>
    <col min="12049" max="12049" width="9.140625" style="368"/>
    <col min="12050" max="12050" width="11" style="368" customWidth="1"/>
    <col min="12051" max="12051" width="15.140625" style="368" customWidth="1"/>
    <col min="12052" max="12288" width="9.140625" style="368"/>
    <col min="12289" max="12289" width="3.7109375" style="368" customWidth="1"/>
    <col min="12290" max="12290" width="9.140625" style="368"/>
    <col min="12291" max="12291" width="28.7109375" style="368" customWidth="1"/>
    <col min="12292" max="12292" width="9.140625" style="368"/>
    <col min="12293" max="12293" width="12.42578125" style="368" customWidth="1"/>
    <col min="12294" max="12294" width="13.28515625" style="368" customWidth="1"/>
    <col min="12295" max="12295" width="11.140625" style="368" customWidth="1"/>
    <col min="12296" max="12296" width="12.7109375" style="368" customWidth="1"/>
    <col min="12297" max="12297" width="11" style="368" customWidth="1"/>
    <col min="12298" max="12298" width="12.28515625" style="368" customWidth="1"/>
    <col min="12299" max="12299" width="9.140625" style="368"/>
    <col min="12300" max="12300" width="12.5703125" style="368" customWidth="1"/>
    <col min="12301" max="12301" width="12.7109375" style="368" customWidth="1"/>
    <col min="12302" max="12302" width="9.140625" style="368"/>
    <col min="12303" max="12303" width="12.28515625" style="368" customWidth="1"/>
    <col min="12304" max="12304" width="11.28515625" style="368" customWidth="1"/>
    <col min="12305" max="12305" width="9.140625" style="368"/>
    <col min="12306" max="12306" width="11" style="368" customWidth="1"/>
    <col min="12307" max="12307" width="15.140625" style="368" customWidth="1"/>
    <col min="12308" max="12544" width="9.140625" style="368"/>
    <col min="12545" max="12545" width="3.7109375" style="368" customWidth="1"/>
    <col min="12546" max="12546" width="9.140625" style="368"/>
    <col min="12547" max="12547" width="28.7109375" style="368" customWidth="1"/>
    <col min="12548" max="12548" width="9.140625" style="368"/>
    <col min="12549" max="12549" width="12.42578125" style="368" customWidth="1"/>
    <col min="12550" max="12550" width="13.28515625" style="368" customWidth="1"/>
    <col min="12551" max="12551" width="11.140625" style="368" customWidth="1"/>
    <col min="12552" max="12552" width="12.7109375" style="368" customWidth="1"/>
    <col min="12553" max="12553" width="11" style="368" customWidth="1"/>
    <col min="12554" max="12554" width="12.28515625" style="368" customWidth="1"/>
    <col min="12555" max="12555" width="9.140625" style="368"/>
    <col min="12556" max="12556" width="12.5703125" style="368" customWidth="1"/>
    <col min="12557" max="12557" width="12.7109375" style="368" customWidth="1"/>
    <col min="12558" max="12558" width="9.140625" style="368"/>
    <col min="12559" max="12559" width="12.28515625" style="368" customWidth="1"/>
    <col min="12560" max="12560" width="11.28515625" style="368" customWidth="1"/>
    <col min="12561" max="12561" width="9.140625" style="368"/>
    <col min="12562" max="12562" width="11" style="368" customWidth="1"/>
    <col min="12563" max="12563" width="15.140625" style="368" customWidth="1"/>
    <col min="12564" max="12800" width="9.140625" style="368"/>
    <col min="12801" max="12801" width="3.7109375" style="368" customWidth="1"/>
    <col min="12802" max="12802" width="9.140625" style="368"/>
    <col min="12803" max="12803" width="28.7109375" style="368" customWidth="1"/>
    <col min="12804" max="12804" width="9.140625" style="368"/>
    <col min="12805" max="12805" width="12.42578125" style="368" customWidth="1"/>
    <col min="12806" max="12806" width="13.28515625" style="368" customWidth="1"/>
    <col min="12807" max="12807" width="11.140625" style="368" customWidth="1"/>
    <col min="12808" max="12808" width="12.7109375" style="368" customWidth="1"/>
    <col min="12809" max="12809" width="11" style="368" customWidth="1"/>
    <col min="12810" max="12810" width="12.28515625" style="368" customWidth="1"/>
    <col min="12811" max="12811" width="9.140625" style="368"/>
    <col min="12812" max="12812" width="12.5703125" style="368" customWidth="1"/>
    <col min="12813" max="12813" width="12.7109375" style="368" customWidth="1"/>
    <col min="12814" max="12814" width="9.140625" style="368"/>
    <col min="12815" max="12815" width="12.28515625" style="368" customWidth="1"/>
    <col min="12816" max="12816" width="11.28515625" style="368" customWidth="1"/>
    <col min="12817" max="12817" width="9.140625" style="368"/>
    <col min="12818" max="12818" width="11" style="368" customWidth="1"/>
    <col min="12819" max="12819" width="15.140625" style="368" customWidth="1"/>
    <col min="12820" max="13056" width="9.140625" style="368"/>
    <col min="13057" max="13057" width="3.7109375" style="368" customWidth="1"/>
    <col min="13058" max="13058" width="9.140625" style="368"/>
    <col min="13059" max="13059" width="28.7109375" style="368" customWidth="1"/>
    <col min="13060" max="13060" width="9.140625" style="368"/>
    <col min="13061" max="13061" width="12.42578125" style="368" customWidth="1"/>
    <col min="13062" max="13062" width="13.28515625" style="368" customWidth="1"/>
    <col min="13063" max="13063" width="11.140625" style="368" customWidth="1"/>
    <col min="13064" max="13064" width="12.7109375" style="368" customWidth="1"/>
    <col min="13065" max="13065" width="11" style="368" customWidth="1"/>
    <col min="13066" max="13066" width="12.28515625" style="368" customWidth="1"/>
    <col min="13067" max="13067" width="9.140625" style="368"/>
    <col min="13068" max="13068" width="12.5703125" style="368" customWidth="1"/>
    <col min="13069" max="13069" width="12.7109375" style="368" customWidth="1"/>
    <col min="13070" max="13070" width="9.140625" style="368"/>
    <col min="13071" max="13071" width="12.28515625" style="368" customWidth="1"/>
    <col min="13072" max="13072" width="11.28515625" style="368" customWidth="1"/>
    <col min="13073" max="13073" width="9.140625" style="368"/>
    <col min="13074" max="13074" width="11" style="368" customWidth="1"/>
    <col min="13075" max="13075" width="15.140625" style="368" customWidth="1"/>
    <col min="13076" max="13312" width="9.140625" style="368"/>
    <col min="13313" max="13313" width="3.7109375" style="368" customWidth="1"/>
    <col min="13314" max="13314" width="9.140625" style="368"/>
    <col min="13315" max="13315" width="28.7109375" style="368" customWidth="1"/>
    <col min="13316" max="13316" width="9.140625" style="368"/>
    <col min="13317" max="13317" width="12.42578125" style="368" customWidth="1"/>
    <col min="13318" max="13318" width="13.28515625" style="368" customWidth="1"/>
    <col min="13319" max="13319" width="11.140625" style="368" customWidth="1"/>
    <col min="13320" max="13320" width="12.7109375" style="368" customWidth="1"/>
    <col min="13321" max="13321" width="11" style="368" customWidth="1"/>
    <col min="13322" max="13322" width="12.28515625" style="368" customWidth="1"/>
    <col min="13323" max="13323" width="9.140625" style="368"/>
    <col min="13324" max="13324" width="12.5703125" style="368" customWidth="1"/>
    <col min="13325" max="13325" width="12.7109375" style="368" customWidth="1"/>
    <col min="13326" max="13326" width="9.140625" style="368"/>
    <col min="13327" max="13327" width="12.28515625" style="368" customWidth="1"/>
    <col min="13328" max="13328" width="11.28515625" style="368" customWidth="1"/>
    <col min="13329" max="13329" width="9.140625" style="368"/>
    <col min="13330" max="13330" width="11" style="368" customWidth="1"/>
    <col min="13331" max="13331" width="15.140625" style="368" customWidth="1"/>
    <col min="13332" max="13568" width="9.140625" style="368"/>
    <col min="13569" max="13569" width="3.7109375" style="368" customWidth="1"/>
    <col min="13570" max="13570" width="9.140625" style="368"/>
    <col min="13571" max="13571" width="28.7109375" style="368" customWidth="1"/>
    <col min="13572" max="13572" width="9.140625" style="368"/>
    <col min="13573" max="13573" width="12.42578125" style="368" customWidth="1"/>
    <col min="13574" max="13574" width="13.28515625" style="368" customWidth="1"/>
    <col min="13575" max="13575" width="11.140625" style="368" customWidth="1"/>
    <col min="13576" max="13576" width="12.7109375" style="368" customWidth="1"/>
    <col min="13577" max="13577" width="11" style="368" customWidth="1"/>
    <col min="13578" max="13578" width="12.28515625" style="368" customWidth="1"/>
    <col min="13579" max="13579" width="9.140625" style="368"/>
    <col min="13580" max="13580" width="12.5703125" style="368" customWidth="1"/>
    <col min="13581" max="13581" width="12.7109375" style="368" customWidth="1"/>
    <col min="13582" max="13582" width="9.140625" style="368"/>
    <col min="13583" max="13583" width="12.28515625" style="368" customWidth="1"/>
    <col min="13584" max="13584" width="11.28515625" style="368" customWidth="1"/>
    <col min="13585" max="13585" width="9.140625" style="368"/>
    <col min="13586" max="13586" width="11" style="368" customWidth="1"/>
    <col min="13587" max="13587" width="15.140625" style="368" customWidth="1"/>
    <col min="13588" max="13824" width="9.140625" style="368"/>
    <col min="13825" max="13825" width="3.7109375" style="368" customWidth="1"/>
    <col min="13826" max="13826" width="9.140625" style="368"/>
    <col min="13827" max="13827" width="28.7109375" style="368" customWidth="1"/>
    <col min="13828" max="13828" width="9.140625" style="368"/>
    <col min="13829" max="13829" width="12.42578125" style="368" customWidth="1"/>
    <col min="13830" max="13830" width="13.28515625" style="368" customWidth="1"/>
    <col min="13831" max="13831" width="11.140625" style="368" customWidth="1"/>
    <col min="13832" max="13832" width="12.7109375" style="368" customWidth="1"/>
    <col min="13833" max="13833" width="11" style="368" customWidth="1"/>
    <col min="13834" max="13834" width="12.28515625" style="368" customWidth="1"/>
    <col min="13835" max="13835" width="9.140625" style="368"/>
    <col min="13836" max="13836" width="12.5703125" style="368" customWidth="1"/>
    <col min="13837" max="13837" width="12.7109375" style="368" customWidth="1"/>
    <col min="13838" max="13838" width="9.140625" style="368"/>
    <col min="13839" max="13839" width="12.28515625" style="368" customWidth="1"/>
    <col min="13840" max="13840" width="11.28515625" style="368" customWidth="1"/>
    <col min="13841" max="13841" width="9.140625" style="368"/>
    <col min="13842" max="13842" width="11" style="368" customWidth="1"/>
    <col min="13843" max="13843" width="15.140625" style="368" customWidth="1"/>
    <col min="13844" max="14080" width="9.140625" style="368"/>
    <col min="14081" max="14081" width="3.7109375" style="368" customWidth="1"/>
    <col min="14082" max="14082" width="9.140625" style="368"/>
    <col min="14083" max="14083" width="28.7109375" style="368" customWidth="1"/>
    <col min="14084" max="14084" width="9.140625" style="368"/>
    <col min="14085" max="14085" width="12.42578125" style="368" customWidth="1"/>
    <col min="14086" max="14086" width="13.28515625" style="368" customWidth="1"/>
    <col min="14087" max="14087" width="11.140625" style="368" customWidth="1"/>
    <col min="14088" max="14088" width="12.7109375" style="368" customWidth="1"/>
    <col min="14089" max="14089" width="11" style="368" customWidth="1"/>
    <col min="14090" max="14090" width="12.28515625" style="368" customWidth="1"/>
    <col min="14091" max="14091" width="9.140625" style="368"/>
    <col min="14092" max="14092" width="12.5703125" style="368" customWidth="1"/>
    <col min="14093" max="14093" width="12.7109375" style="368" customWidth="1"/>
    <col min="14094" max="14094" width="9.140625" style="368"/>
    <col min="14095" max="14095" width="12.28515625" style="368" customWidth="1"/>
    <col min="14096" max="14096" width="11.28515625" style="368" customWidth="1"/>
    <col min="14097" max="14097" width="9.140625" style="368"/>
    <col min="14098" max="14098" width="11" style="368" customWidth="1"/>
    <col min="14099" max="14099" width="15.140625" style="368" customWidth="1"/>
    <col min="14100" max="14336" width="9.140625" style="368"/>
    <col min="14337" max="14337" width="3.7109375" style="368" customWidth="1"/>
    <col min="14338" max="14338" width="9.140625" style="368"/>
    <col min="14339" max="14339" width="28.7109375" style="368" customWidth="1"/>
    <col min="14340" max="14340" width="9.140625" style="368"/>
    <col min="14341" max="14341" width="12.42578125" style="368" customWidth="1"/>
    <col min="14342" max="14342" width="13.28515625" style="368" customWidth="1"/>
    <col min="14343" max="14343" width="11.140625" style="368" customWidth="1"/>
    <col min="14344" max="14344" width="12.7109375" style="368" customWidth="1"/>
    <col min="14345" max="14345" width="11" style="368" customWidth="1"/>
    <col min="14346" max="14346" width="12.28515625" style="368" customWidth="1"/>
    <col min="14347" max="14347" width="9.140625" style="368"/>
    <col min="14348" max="14348" width="12.5703125" style="368" customWidth="1"/>
    <col min="14349" max="14349" width="12.7109375" style="368" customWidth="1"/>
    <col min="14350" max="14350" width="9.140625" style="368"/>
    <col min="14351" max="14351" width="12.28515625" style="368" customWidth="1"/>
    <col min="14352" max="14352" width="11.28515625" style="368" customWidth="1"/>
    <col min="14353" max="14353" width="9.140625" style="368"/>
    <col min="14354" max="14354" width="11" style="368" customWidth="1"/>
    <col min="14355" max="14355" width="15.140625" style="368" customWidth="1"/>
    <col min="14356" max="14592" width="9.140625" style="368"/>
    <col min="14593" max="14593" width="3.7109375" style="368" customWidth="1"/>
    <col min="14594" max="14594" width="9.140625" style="368"/>
    <col min="14595" max="14595" width="28.7109375" style="368" customWidth="1"/>
    <col min="14596" max="14596" width="9.140625" style="368"/>
    <col min="14597" max="14597" width="12.42578125" style="368" customWidth="1"/>
    <col min="14598" max="14598" width="13.28515625" style="368" customWidth="1"/>
    <col min="14599" max="14599" width="11.140625" style="368" customWidth="1"/>
    <col min="14600" max="14600" width="12.7109375" style="368" customWidth="1"/>
    <col min="14601" max="14601" width="11" style="368" customWidth="1"/>
    <col min="14602" max="14602" width="12.28515625" style="368" customWidth="1"/>
    <col min="14603" max="14603" width="9.140625" style="368"/>
    <col min="14604" max="14604" width="12.5703125" style="368" customWidth="1"/>
    <col min="14605" max="14605" width="12.7109375" style="368" customWidth="1"/>
    <col min="14606" max="14606" width="9.140625" style="368"/>
    <col min="14607" max="14607" width="12.28515625" style="368" customWidth="1"/>
    <col min="14608" max="14608" width="11.28515625" style="368" customWidth="1"/>
    <col min="14609" max="14609" width="9.140625" style="368"/>
    <col min="14610" max="14610" width="11" style="368" customWidth="1"/>
    <col min="14611" max="14611" width="15.140625" style="368" customWidth="1"/>
    <col min="14612" max="14848" width="9.140625" style="368"/>
    <col min="14849" max="14849" width="3.7109375" style="368" customWidth="1"/>
    <col min="14850" max="14850" width="9.140625" style="368"/>
    <col min="14851" max="14851" width="28.7109375" style="368" customWidth="1"/>
    <col min="14852" max="14852" width="9.140625" style="368"/>
    <col min="14853" max="14853" width="12.42578125" style="368" customWidth="1"/>
    <col min="14854" max="14854" width="13.28515625" style="368" customWidth="1"/>
    <col min="14855" max="14855" width="11.140625" style="368" customWidth="1"/>
    <col min="14856" max="14856" width="12.7109375" style="368" customWidth="1"/>
    <col min="14857" max="14857" width="11" style="368" customWidth="1"/>
    <col min="14858" max="14858" width="12.28515625" style="368" customWidth="1"/>
    <col min="14859" max="14859" width="9.140625" style="368"/>
    <col min="14860" max="14860" width="12.5703125" style="368" customWidth="1"/>
    <col min="14861" max="14861" width="12.7109375" style="368" customWidth="1"/>
    <col min="14862" max="14862" width="9.140625" style="368"/>
    <col min="14863" max="14863" width="12.28515625" style="368" customWidth="1"/>
    <col min="14864" max="14864" width="11.28515625" style="368" customWidth="1"/>
    <col min="14865" max="14865" width="9.140625" style="368"/>
    <col min="14866" max="14866" width="11" style="368" customWidth="1"/>
    <col min="14867" max="14867" width="15.140625" style="368" customWidth="1"/>
    <col min="14868" max="15104" width="9.140625" style="368"/>
    <col min="15105" max="15105" width="3.7109375" style="368" customWidth="1"/>
    <col min="15106" max="15106" width="9.140625" style="368"/>
    <col min="15107" max="15107" width="28.7109375" style="368" customWidth="1"/>
    <col min="15108" max="15108" width="9.140625" style="368"/>
    <col min="15109" max="15109" width="12.42578125" style="368" customWidth="1"/>
    <col min="15110" max="15110" width="13.28515625" style="368" customWidth="1"/>
    <col min="15111" max="15111" width="11.140625" style="368" customWidth="1"/>
    <col min="15112" max="15112" width="12.7109375" style="368" customWidth="1"/>
    <col min="15113" max="15113" width="11" style="368" customWidth="1"/>
    <col min="15114" max="15114" width="12.28515625" style="368" customWidth="1"/>
    <col min="15115" max="15115" width="9.140625" style="368"/>
    <col min="15116" max="15116" width="12.5703125" style="368" customWidth="1"/>
    <col min="15117" max="15117" width="12.7109375" style="368" customWidth="1"/>
    <col min="15118" max="15118" width="9.140625" style="368"/>
    <col min="15119" max="15119" width="12.28515625" style="368" customWidth="1"/>
    <col min="15120" max="15120" width="11.28515625" style="368" customWidth="1"/>
    <col min="15121" max="15121" width="9.140625" style="368"/>
    <col min="15122" max="15122" width="11" style="368" customWidth="1"/>
    <col min="15123" max="15123" width="15.140625" style="368" customWidth="1"/>
    <col min="15124" max="15360" width="9.140625" style="368"/>
    <col min="15361" max="15361" width="3.7109375" style="368" customWidth="1"/>
    <col min="15362" max="15362" width="9.140625" style="368"/>
    <col min="15363" max="15363" width="28.7109375" style="368" customWidth="1"/>
    <col min="15364" max="15364" width="9.140625" style="368"/>
    <col min="15365" max="15365" width="12.42578125" style="368" customWidth="1"/>
    <col min="15366" max="15366" width="13.28515625" style="368" customWidth="1"/>
    <col min="15367" max="15367" width="11.140625" style="368" customWidth="1"/>
    <col min="15368" max="15368" width="12.7109375" style="368" customWidth="1"/>
    <col min="15369" max="15369" width="11" style="368" customWidth="1"/>
    <col min="15370" max="15370" width="12.28515625" style="368" customWidth="1"/>
    <col min="15371" max="15371" width="9.140625" style="368"/>
    <col min="15372" max="15372" width="12.5703125" style="368" customWidth="1"/>
    <col min="15373" max="15373" width="12.7109375" style="368" customWidth="1"/>
    <col min="15374" max="15374" width="9.140625" style="368"/>
    <col min="15375" max="15375" width="12.28515625" style="368" customWidth="1"/>
    <col min="15376" max="15376" width="11.28515625" style="368" customWidth="1"/>
    <col min="15377" max="15377" width="9.140625" style="368"/>
    <col min="15378" max="15378" width="11" style="368" customWidth="1"/>
    <col min="15379" max="15379" width="15.140625" style="368" customWidth="1"/>
    <col min="15380" max="15616" width="9.140625" style="368"/>
    <col min="15617" max="15617" width="3.7109375" style="368" customWidth="1"/>
    <col min="15618" max="15618" width="9.140625" style="368"/>
    <col min="15619" max="15619" width="28.7109375" style="368" customWidth="1"/>
    <col min="15620" max="15620" width="9.140625" style="368"/>
    <col min="15621" max="15621" width="12.42578125" style="368" customWidth="1"/>
    <col min="15622" max="15622" width="13.28515625" style="368" customWidth="1"/>
    <col min="15623" max="15623" width="11.140625" style="368" customWidth="1"/>
    <col min="15624" max="15624" width="12.7109375" style="368" customWidth="1"/>
    <col min="15625" max="15625" width="11" style="368" customWidth="1"/>
    <col min="15626" max="15626" width="12.28515625" style="368" customWidth="1"/>
    <col min="15627" max="15627" width="9.140625" style="368"/>
    <col min="15628" max="15628" width="12.5703125" style="368" customWidth="1"/>
    <col min="15629" max="15629" width="12.7109375" style="368" customWidth="1"/>
    <col min="15630" max="15630" width="9.140625" style="368"/>
    <col min="15631" max="15631" width="12.28515625" style="368" customWidth="1"/>
    <col min="15632" max="15632" width="11.28515625" style="368" customWidth="1"/>
    <col min="15633" max="15633" width="9.140625" style="368"/>
    <col min="15634" max="15634" width="11" style="368" customWidth="1"/>
    <col min="15635" max="15635" width="15.140625" style="368" customWidth="1"/>
    <col min="15636" max="15872" width="9.140625" style="368"/>
    <col min="15873" max="15873" width="3.7109375" style="368" customWidth="1"/>
    <col min="15874" max="15874" width="9.140625" style="368"/>
    <col min="15875" max="15875" width="28.7109375" style="368" customWidth="1"/>
    <col min="15876" max="15876" width="9.140625" style="368"/>
    <col min="15877" max="15877" width="12.42578125" style="368" customWidth="1"/>
    <col min="15878" max="15878" width="13.28515625" style="368" customWidth="1"/>
    <col min="15879" max="15879" width="11.140625" style="368" customWidth="1"/>
    <col min="15880" max="15880" width="12.7109375" style="368" customWidth="1"/>
    <col min="15881" max="15881" width="11" style="368" customWidth="1"/>
    <col min="15882" max="15882" width="12.28515625" style="368" customWidth="1"/>
    <col min="15883" max="15883" width="9.140625" style="368"/>
    <col min="15884" max="15884" width="12.5703125" style="368" customWidth="1"/>
    <col min="15885" max="15885" width="12.7109375" style="368" customWidth="1"/>
    <col min="15886" max="15886" width="9.140625" style="368"/>
    <col min="15887" max="15887" width="12.28515625" style="368" customWidth="1"/>
    <col min="15888" max="15888" width="11.28515625" style="368" customWidth="1"/>
    <col min="15889" max="15889" width="9.140625" style="368"/>
    <col min="15890" max="15890" width="11" style="368" customWidth="1"/>
    <col min="15891" max="15891" width="15.140625" style="368" customWidth="1"/>
    <col min="15892" max="16128" width="9.140625" style="368"/>
    <col min="16129" max="16129" width="3.7109375" style="368" customWidth="1"/>
    <col min="16130" max="16130" width="9.140625" style="368"/>
    <col min="16131" max="16131" width="28.7109375" style="368" customWidth="1"/>
    <col min="16132" max="16132" width="9.140625" style="368"/>
    <col min="16133" max="16133" width="12.42578125" style="368" customWidth="1"/>
    <col min="16134" max="16134" width="13.28515625" style="368" customWidth="1"/>
    <col min="16135" max="16135" width="11.140625" style="368" customWidth="1"/>
    <col min="16136" max="16136" width="12.7109375" style="368" customWidth="1"/>
    <col min="16137" max="16137" width="11" style="368" customWidth="1"/>
    <col min="16138" max="16138" width="12.28515625" style="368" customWidth="1"/>
    <col min="16139" max="16139" width="9.140625" style="368"/>
    <col min="16140" max="16140" width="12.5703125" style="368" customWidth="1"/>
    <col min="16141" max="16141" width="12.7109375" style="368" customWidth="1"/>
    <col min="16142" max="16142" width="9.140625" style="368"/>
    <col min="16143" max="16143" width="12.28515625" style="368" customWidth="1"/>
    <col min="16144" max="16144" width="11.28515625" style="368" customWidth="1"/>
    <col min="16145" max="16145" width="9.140625" style="368"/>
    <col min="16146" max="16146" width="11" style="368" customWidth="1"/>
    <col min="16147" max="16147" width="15.140625" style="368" customWidth="1"/>
    <col min="16148" max="16384" width="9.140625" style="368"/>
  </cols>
  <sheetData>
    <row r="1" spans="1:19" s="366" customFormat="1" ht="15.75" x14ac:dyDescent="0.25">
      <c r="C1" s="788" t="s">
        <v>574</v>
      </c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367"/>
    </row>
    <row r="3" spans="1:19" x14ac:dyDescent="0.2">
      <c r="A3" s="789" t="s">
        <v>0</v>
      </c>
      <c r="B3" s="790" t="s">
        <v>351</v>
      </c>
      <c r="C3" s="793" t="s">
        <v>352</v>
      </c>
      <c r="D3" s="796" t="s">
        <v>575</v>
      </c>
      <c r="E3" s="799" t="s">
        <v>576</v>
      </c>
      <c r="F3" s="800"/>
      <c r="G3" s="800"/>
      <c r="H3" s="800"/>
      <c r="I3" s="800"/>
      <c r="J3" s="801"/>
      <c r="K3" s="802" t="s">
        <v>577</v>
      </c>
      <c r="L3" s="802"/>
      <c r="M3" s="802"/>
      <c r="N3" s="802"/>
      <c r="O3" s="802"/>
      <c r="P3" s="802"/>
      <c r="Q3" s="802"/>
      <c r="R3" s="802"/>
      <c r="S3" s="802"/>
    </row>
    <row r="4" spans="1:19" ht="11.25" customHeight="1" x14ac:dyDescent="0.2">
      <c r="A4" s="789"/>
      <c r="B4" s="791"/>
      <c r="C4" s="794"/>
      <c r="D4" s="797"/>
      <c r="E4" s="803" t="s">
        <v>578</v>
      </c>
      <c r="F4" s="804"/>
      <c r="G4" s="807" t="s">
        <v>579</v>
      </c>
      <c r="H4" s="807"/>
      <c r="I4" s="807"/>
      <c r="J4" s="807"/>
      <c r="K4" s="808" t="s">
        <v>1</v>
      </c>
      <c r="L4" s="809" t="s">
        <v>580</v>
      </c>
      <c r="M4" s="809"/>
      <c r="N4" s="810" t="s">
        <v>578</v>
      </c>
      <c r="O4" s="810"/>
      <c r="P4" s="810"/>
      <c r="Q4" s="810"/>
      <c r="R4" s="810"/>
      <c r="S4" s="810"/>
    </row>
    <row r="5" spans="1:19" ht="48" customHeight="1" x14ac:dyDescent="0.2">
      <c r="A5" s="789"/>
      <c r="B5" s="791"/>
      <c r="C5" s="794"/>
      <c r="D5" s="797"/>
      <c r="E5" s="805"/>
      <c r="F5" s="806"/>
      <c r="G5" s="807"/>
      <c r="H5" s="807"/>
      <c r="I5" s="807"/>
      <c r="J5" s="807"/>
      <c r="K5" s="808"/>
      <c r="L5" s="369" t="s">
        <v>581</v>
      </c>
      <c r="M5" s="369" t="s">
        <v>579</v>
      </c>
      <c r="N5" s="810"/>
      <c r="O5" s="810"/>
      <c r="P5" s="810"/>
      <c r="Q5" s="810"/>
      <c r="R5" s="810"/>
      <c r="S5" s="810"/>
    </row>
    <row r="6" spans="1:19" ht="27" customHeight="1" x14ac:dyDescent="0.2">
      <c r="A6" s="789"/>
      <c r="B6" s="791"/>
      <c r="C6" s="794"/>
      <c r="D6" s="797"/>
      <c r="E6" s="811" t="s">
        <v>582</v>
      </c>
      <c r="F6" s="811" t="s">
        <v>583</v>
      </c>
      <c r="G6" s="811" t="s">
        <v>584</v>
      </c>
      <c r="H6" s="786" t="s">
        <v>582</v>
      </c>
      <c r="I6" s="786" t="s">
        <v>585</v>
      </c>
      <c r="J6" s="786"/>
      <c r="K6" s="808"/>
      <c r="L6" s="785" t="s">
        <v>582</v>
      </c>
      <c r="M6" s="785" t="s">
        <v>586</v>
      </c>
      <c r="N6" s="787" t="s">
        <v>453</v>
      </c>
      <c r="O6" s="785" t="s">
        <v>587</v>
      </c>
      <c r="P6" s="785" t="s">
        <v>586</v>
      </c>
      <c r="Q6" s="785" t="s">
        <v>588</v>
      </c>
      <c r="R6" s="786" t="s">
        <v>584</v>
      </c>
      <c r="S6" s="785" t="s">
        <v>589</v>
      </c>
    </row>
    <row r="7" spans="1:19" ht="43.5" customHeight="1" x14ac:dyDescent="0.2">
      <c r="A7" s="789"/>
      <c r="B7" s="792"/>
      <c r="C7" s="795"/>
      <c r="D7" s="798"/>
      <c r="E7" s="812"/>
      <c r="F7" s="812"/>
      <c r="G7" s="812"/>
      <c r="H7" s="786"/>
      <c r="I7" s="370" t="s">
        <v>590</v>
      </c>
      <c r="J7" s="370" t="s">
        <v>591</v>
      </c>
      <c r="K7" s="808"/>
      <c r="L7" s="785"/>
      <c r="M7" s="785"/>
      <c r="N7" s="787"/>
      <c r="O7" s="785"/>
      <c r="P7" s="785"/>
      <c r="Q7" s="785"/>
      <c r="R7" s="786"/>
      <c r="S7" s="785"/>
    </row>
    <row r="8" spans="1:19" ht="25.5" customHeight="1" x14ac:dyDescent="0.2">
      <c r="A8" s="371"/>
      <c r="B8" s="371"/>
      <c r="C8" s="385" t="s">
        <v>600</v>
      </c>
      <c r="D8" s="374">
        <f t="shared" ref="D8:S8" si="0">D10+D9</f>
        <v>189259</v>
      </c>
      <c r="E8" s="374">
        <f t="shared" si="0"/>
        <v>1034</v>
      </c>
      <c r="F8" s="374">
        <f t="shared" si="0"/>
        <v>70</v>
      </c>
      <c r="G8" s="374">
        <f t="shared" si="0"/>
        <v>87</v>
      </c>
      <c r="H8" s="374">
        <f t="shared" si="0"/>
        <v>470</v>
      </c>
      <c r="I8" s="374">
        <f t="shared" si="0"/>
        <v>329</v>
      </c>
      <c r="J8" s="374">
        <f t="shared" si="0"/>
        <v>15</v>
      </c>
      <c r="K8" s="374">
        <f t="shared" si="0"/>
        <v>187254</v>
      </c>
      <c r="L8" s="374">
        <f t="shared" si="0"/>
        <v>480</v>
      </c>
      <c r="M8" s="374">
        <f t="shared" si="0"/>
        <v>1500</v>
      </c>
      <c r="N8" s="374">
        <f t="shared" si="0"/>
        <v>185274</v>
      </c>
      <c r="O8" s="374">
        <f t="shared" si="0"/>
        <v>7273</v>
      </c>
      <c r="P8" s="374">
        <f t="shared" si="0"/>
        <v>158328</v>
      </c>
      <c r="Q8" s="374">
        <f t="shared" si="0"/>
        <v>16049</v>
      </c>
      <c r="R8" s="374">
        <f t="shared" si="0"/>
        <v>2901</v>
      </c>
      <c r="S8" s="374">
        <f t="shared" si="0"/>
        <v>723</v>
      </c>
    </row>
    <row r="9" spans="1:19" ht="13.5" customHeight="1" x14ac:dyDescent="0.2">
      <c r="A9" s="371"/>
      <c r="B9" s="371"/>
      <c r="C9" s="373" t="s">
        <v>599</v>
      </c>
      <c r="D9" s="374">
        <f>E9+G9+H9+I9+J9+K9</f>
        <v>0</v>
      </c>
      <c r="E9" s="378"/>
      <c r="F9" s="378"/>
      <c r="G9" s="378"/>
      <c r="H9" s="378"/>
      <c r="I9" s="378"/>
      <c r="J9" s="378"/>
      <c r="K9" s="374">
        <f>L9+M9+N9</f>
        <v>0</v>
      </c>
      <c r="L9" s="378"/>
      <c r="M9" s="378"/>
      <c r="N9" s="374">
        <f>O9+P9+Q9+R9+S9</f>
        <v>0</v>
      </c>
      <c r="O9" s="369"/>
      <c r="P9" s="369">
        <f>19032+5460-275-24217</f>
        <v>0</v>
      </c>
      <c r="Q9" s="369"/>
      <c r="R9" s="369"/>
      <c r="S9" s="369"/>
    </row>
    <row r="10" spans="1:19" x14ac:dyDescent="0.2">
      <c r="A10" s="383"/>
      <c r="B10" s="383"/>
      <c r="C10" s="384" t="s">
        <v>598</v>
      </c>
      <c r="D10" s="374">
        <f t="shared" ref="D10:S10" si="1">SUM(D11:D25)</f>
        <v>189259</v>
      </c>
      <c r="E10" s="374">
        <f t="shared" si="1"/>
        <v>1034</v>
      </c>
      <c r="F10" s="374">
        <f t="shared" si="1"/>
        <v>70</v>
      </c>
      <c r="G10" s="374">
        <f t="shared" si="1"/>
        <v>87</v>
      </c>
      <c r="H10" s="374">
        <f t="shared" si="1"/>
        <v>470</v>
      </c>
      <c r="I10" s="374">
        <f t="shared" si="1"/>
        <v>329</v>
      </c>
      <c r="J10" s="374">
        <f t="shared" si="1"/>
        <v>15</v>
      </c>
      <c r="K10" s="374">
        <f t="shared" si="1"/>
        <v>187254</v>
      </c>
      <c r="L10" s="374">
        <f t="shared" si="1"/>
        <v>480</v>
      </c>
      <c r="M10" s="374">
        <f t="shared" si="1"/>
        <v>1500</v>
      </c>
      <c r="N10" s="374">
        <f t="shared" si="1"/>
        <v>185274</v>
      </c>
      <c r="O10" s="374">
        <f t="shared" si="1"/>
        <v>7273</v>
      </c>
      <c r="P10" s="374">
        <f t="shared" si="1"/>
        <v>158328</v>
      </c>
      <c r="Q10" s="374">
        <f t="shared" si="1"/>
        <v>16049</v>
      </c>
      <c r="R10" s="374">
        <f t="shared" si="1"/>
        <v>2901</v>
      </c>
      <c r="S10" s="374">
        <f t="shared" si="1"/>
        <v>723</v>
      </c>
    </row>
    <row r="11" spans="1:19" ht="15" customHeight="1" x14ac:dyDescent="0.2">
      <c r="A11" s="371">
        <v>1</v>
      </c>
      <c r="B11" s="372" t="s">
        <v>15</v>
      </c>
      <c r="C11" s="373" t="s">
        <v>313</v>
      </c>
      <c r="D11" s="374">
        <f>E11+G11+H11+I11+J11+K11+F11</f>
        <v>6778</v>
      </c>
      <c r="E11" s="369"/>
      <c r="F11" s="369"/>
      <c r="G11" s="369"/>
      <c r="H11" s="369">
        <v>400</v>
      </c>
      <c r="I11" s="369">
        <v>25</v>
      </c>
      <c r="J11" s="369">
        <v>15</v>
      </c>
      <c r="K11" s="374">
        <f>L11+M11+N11</f>
        <v>6338</v>
      </c>
      <c r="L11" s="375">
        <v>480</v>
      </c>
      <c r="M11" s="369">
        <f>2000-500</f>
        <v>1500</v>
      </c>
      <c r="N11" s="374">
        <f>O11+P11+Q11+R11+S11</f>
        <v>4358</v>
      </c>
      <c r="O11" s="369">
        <v>32</v>
      </c>
      <c r="P11" s="369">
        <f>1938+500</f>
        <v>2438</v>
      </c>
      <c r="Q11" s="369">
        <v>1168</v>
      </c>
      <c r="R11" s="369">
        <v>720</v>
      </c>
      <c r="S11" s="369"/>
    </row>
    <row r="12" spans="1:19" x14ac:dyDescent="0.2">
      <c r="A12" s="371">
        <v>2</v>
      </c>
      <c r="B12" s="376" t="s">
        <v>10</v>
      </c>
      <c r="C12" s="377" t="s">
        <v>7</v>
      </c>
      <c r="D12" s="374">
        <f t="shared" ref="D12:D25" si="2">E12+G12+H12+I12+J12+K12+F12</f>
        <v>3628</v>
      </c>
      <c r="E12" s="369"/>
      <c r="F12" s="369"/>
      <c r="G12" s="369">
        <v>80</v>
      </c>
      <c r="H12" s="369">
        <v>20</v>
      </c>
      <c r="I12" s="369">
        <f>0+1</f>
        <v>1</v>
      </c>
      <c r="J12" s="369"/>
      <c r="K12" s="374">
        <f t="shared" ref="K12:K25" si="3">L12+M12+N12</f>
        <v>3527</v>
      </c>
      <c r="L12" s="378"/>
      <c r="M12" s="378"/>
      <c r="N12" s="374">
        <f t="shared" ref="N12:N25" si="4">O12+P12+Q12+R12+S12</f>
        <v>3527</v>
      </c>
      <c r="O12" s="369"/>
      <c r="P12" s="369">
        <v>726</v>
      </c>
      <c r="Q12" s="369">
        <v>366</v>
      </c>
      <c r="R12" s="369">
        <v>2160</v>
      </c>
      <c r="S12" s="369">
        <f>0+275</f>
        <v>275</v>
      </c>
    </row>
    <row r="13" spans="1:19" ht="12" customHeight="1" x14ac:dyDescent="0.2">
      <c r="A13" s="371">
        <v>3</v>
      </c>
      <c r="B13" s="372" t="s">
        <v>191</v>
      </c>
      <c r="C13" s="373" t="s">
        <v>433</v>
      </c>
      <c r="D13" s="374">
        <f t="shared" si="2"/>
        <v>101485</v>
      </c>
      <c r="E13" s="369">
        <v>975</v>
      </c>
      <c r="F13" s="369"/>
      <c r="G13" s="369"/>
      <c r="H13" s="369"/>
      <c r="I13" s="369"/>
      <c r="J13" s="369"/>
      <c r="K13" s="374">
        <f t="shared" si="3"/>
        <v>100510</v>
      </c>
      <c r="L13" s="378"/>
      <c r="M13" s="378"/>
      <c r="N13" s="374">
        <f t="shared" si="4"/>
        <v>100510</v>
      </c>
      <c r="O13" s="369"/>
      <c r="P13" s="369">
        <f>99553-6552-109</f>
        <v>92892</v>
      </c>
      <c r="Q13" s="369">
        <v>7149</v>
      </c>
      <c r="R13" s="369">
        <f>360-360+21</f>
        <v>21</v>
      </c>
      <c r="S13" s="369">
        <f>0+360+88</f>
        <v>448</v>
      </c>
    </row>
    <row r="14" spans="1:19" x14ac:dyDescent="0.2">
      <c r="A14" s="371">
        <v>4</v>
      </c>
      <c r="B14" s="372" t="s">
        <v>195</v>
      </c>
      <c r="C14" s="377" t="s">
        <v>445</v>
      </c>
      <c r="D14" s="374">
        <f t="shared" si="2"/>
        <v>38452</v>
      </c>
      <c r="E14" s="369">
        <f>100-50-20</f>
        <v>30</v>
      </c>
      <c r="F14" s="369">
        <f>0+50+20</f>
        <v>70</v>
      </c>
      <c r="G14" s="369"/>
      <c r="H14" s="369"/>
      <c r="I14" s="369"/>
      <c r="J14" s="369"/>
      <c r="K14" s="374">
        <f t="shared" si="3"/>
        <v>38352</v>
      </c>
      <c r="L14" s="378"/>
      <c r="M14" s="378"/>
      <c r="N14" s="374">
        <f t="shared" si="4"/>
        <v>38352</v>
      </c>
      <c r="O14" s="369">
        <v>7241</v>
      </c>
      <c r="P14" s="369">
        <f>25103+624-410</f>
        <v>25317</v>
      </c>
      <c r="Q14" s="369">
        <v>5794</v>
      </c>
      <c r="R14" s="369"/>
      <c r="S14" s="369"/>
    </row>
    <row r="15" spans="1:19" x14ac:dyDescent="0.2">
      <c r="A15" s="371">
        <v>5</v>
      </c>
      <c r="B15" s="376" t="s">
        <v>187</v>
      </c>
      <c r="C15" s="377" t="s">
        <v>592</v>
      </c>
      <c r="D15" s="374">
        <f t="shared" si="2"/>
        <v>22808</v>
      </c>
      <c r="E15" s="369"/>
      <c r="F15" s="369"/>
      <c r="G15" s="369"/>
      <c r="H15" s="369"/>
      <c r="I15" s="369"/>
      <c r="J15" s="369"/>
      <c r="K15" s="374">
        <f t="shared" si="3"/>
        <v>22808</v>
      </c>
      <c r="L15" s="378"/>
      <c r="M15" s="378"/>
      <c r="N15" s="374">
        <f t="shared" si="4"/>
        <v>22808</v>
      </c>
      <c r="O15" s="369"/>
      <c r="P15" s="369">
        <f>22384+624-200</f>
        <v>22808</v>
      </c>
      <c r="Q15" s="369"/>
      <c r="R15" s="369"/>
      <c r="S15" s="369"/>
    </row>
    <row r="16" spans="1:19" x14ac:dyDescent="0.2">
      <c r="A16" s="371">
        <v>6</v>
      </c>
      <c r="B16" s="376" t="s">
        <v>193</v>
      </c>
      <c r="C16" s="377" t="s">
        <v>593</v>
      </c>
      <c r="D16" s="374">
        <f t="shared" si="2"/>
        <v>8948</v>
      </c>
      <c r="E16" s="369">
        <f>0+17+12</f>
        <v>29</v>
      </c>
      <c r="F16" s="369"/>
      <c r="G16" s="369"/>
      <c r="H16" s="369"/>
      <c r="I16" s="369"/>
      <c r="J16" s="369"/>
      <c r="K16" s="374">
        <f t="shared" si="3"/>
        <v>8919</v>
      </c>
      <c r="L16" s="378"/>
      <c r="M16" s="378"/>
      <c r="N16" s="374">
        <f t="shared" si="4"/>
        <v>8919</v>
      </c>
      <c r="O16" s="369"/>
      <c r="P16" s="369">
        <f>8312-936-17-12</f>
        <v>7347</v>
      </c>
      <c r="Q16" s="369">
        <v>1572</v>
      </c>
      <c r="R16" s="369"/>
      <c r="S16" s="369"/>
    </row>
    <row r="17" spans="1:19" x14ac:dyDescent="0.2">
      <c r="A17" s="371">
        <v>7</v>
      </c>
      <c r="B17" s="372" t="s">
        <v>188</v>
      </c>
      <c r="C17" s="377" t="s">
        <v>594</v>
      </c>
      <c r="D17" s="374">
        <f t="shared" si="2"/>
        <v>6800</v>
      </c>
      <c r="E17" s="369"/>
      <c r="F17" s="369"/>
      <c r="G17" s="369"/>
      <c r="H17" s="369"/>
      <c r="I17" s="369"/>
      <c r="J17" s="369"/>
      <c r="K17" s="374">
        <f t="shared" si="3"/>
        <v>6800</v>
      </c>
      <c r="L17" s="378"/>
      <c r="M17" s="378"/>
      <c r="N17" s="374">
        <f t="shared" si="4"/>
        <v>6800</v>
      </c>
      <c r="O17" s="369"/>
      <c r="P17" s="369">
        <f>5410+780+410+200</f>
        <v>6800</v>
      </c>
      <c r="Q17" s="369"/>
      <c r="R17" s="369"/>
      <c r="S17" s="369"/>
    </row>
    <row r="18" spans="1:19" x14ac:dyDescent="0.2">
      <c r="A18" s="371">
        <v>8</v>
      </c>
      <c r="B18" s="372" t="s">
        <v>14</v>
      </c>
      <c r="C18" s="377" t="s">
        <v>13</v>
      </c>
      <c r="D18" s="374">
        <f t="shared" si="2"/>
        <v>62</v>
      </c>
      <c r="E18" s="369"/>
      <c r="F18" s="369"/>
      <c r="G18" s="369">
        <f>20-13</f>
        <v>7</v>
      </c>
      <c r="H18" s="369"/>
      <c r="I18" s="369">
        <f>70-15</f>
        <v>55</v>
      </c>
      <c r="J18" s="369"/>
      <c r="K18" s="374">
        <f t="shared" si="3"/>
        <v>0</v>
      </c>
      <c r="L18" s="378"/>
      <c r="M18" s="378"/>
      <c r="N18" s="374">
        <f t="shared" si="4"/>
        <v>0</v>
      </c>
      <c r="O18" s="369"/>
      <c r="P18" s="369"/>
      <c r="Q18" s="369"/>
      <c r="R18" s="369"/>
      <c r="S18" s="369"/>
    </row>
    <row r="19" spans="1:19" x14ac:dyDescent="0.2">
      <c r="A19" s="371">
        <v>9</v>
      </c>
      <c r="B19" s="379" t="s">
        <v>12</v>
      </c>
      <c r="C19" s="377" t="s">
        <v>2</v>
      </c>
      <c r="D19" s="374">
        <f t="shared" si="2"/>
        <v>5</v>
      </c>
      <c r="E19" s="369"/>
      <c r="F19" s="369"/>
      <c r="G19" s="369"/>
      <c r="H19" s="369"/>
      <c r="I19" s="369">
        <v>5</v>
      </c>
      <c r="J19" s="369"/>
      <c r="K19" s="374">
        <f t="shared" si="3"/>
        <v>0</v>
      </c>
      <c r="L19" s="378"/>
      <c r="M19" s="378"/>
      <c r="N19" s="374">
        <f t="shared" si="4"/>
        <v>0</v>
      </c>
      <c r="O19" s="369"/>
      <c r="P19" s="369"/>
      <c r="Q19" s="369"/>
      <c r="R19" s="369"/>
      <c r="S19" s="369"/>
    </row>
    <row r="20" spans="1:19" x14ac:dyDescent="0.2">
      <c r="A20" s="371">
        <v>10</v>
      </c>
      <c r="B20" s="380" t="s">
        <v>3</v>
      </c>
      <c r="C20" s="377" t="s">
        <v>595</v>
      </c>
      <c r="D20" s="374">
        <f t="shared" si="2"/>
        <v>25</v>
      </c>
      <c r="E20" s="369"/>
      <c r="F20" s="369"/>
      <c r="G20" s="369"/>
      <c r="H20" s="369"/>
      <c r="I20" s="369">
        <v>25</v>
      </c>
      <c r="J20" s="369"/>
      <c r="K20" s="374">
        <f t="shared" si="3"/>
        <v>0</v>
      </c>
      <c r="L20" s="378"/>
      <c r="M20" s="378"/>
      <c r="N20" s="374">
        <f t="shared" si="4"/>
        <v>0</v>
      </c>
      <c r="O20" s="369"/>
      <c r="P20" s="369"/>
      <c r="Q20" s="369"/>
      <c r="R20" s="369"/>
      <c r="S20" s="369"/>
    </row>
    <row r="21" spans="1:19" ht="12" x14ac:dyDescent="0.2">
      <c r="A21" s="371">
        <v>11</v>
      </c>
      <c r="B21" s="376" t="s">
        <v>9</v>
      </c>
      <c r="C21" s="381" t="s">
        <v>596</v>
      </c>
      <c r="D21" s="374">
        <f t="shared" si="2"/>
        <v>127</v>
      </c>
      <c r="E21" s="369"/>
      <c r="F21" s="369"/>
      <c r="G21" s="369"/>
      <c r="H21" s="369"/>
      <c r="I21" s="369">
        <v>127</v>
      </c>
      <c r="J21" s="369"/>
      <c r="K21" s="374">
        <f t="shared" si="3"/>
        <v>0</v>
      </c>
      <c r="L21" s="378"/>
      <c r="M21" s="378"/>
      <c r="N21" s="374">
        <f t="shared" si="4"/>
        <v>0</v>
      </c>
      <c r="O21" s="369"/>
      <c r="P21" s="369"/>
      <c r="Q21" s="369"/>
      <c r="R21" s="369"/>
      <c r="S21" s="369"/>
    </row>
    <row r="22" spans="1:19" x14ac:dyDescent="0.2">
      <c r="A22" s="371">
        <v>12</v>
      </c>
      <c r="B22" s="372" t="s">
        <v>4</v>
      </c>
      <c r="C22" s="377" t="s">
        <v>597</v>
      </c>
      <c r="D22" s="374">
        <f t="shared" si="2"/>
        <v>25</v>
      </c>
      <c r="E22" s="369"/>
      <c r="F22" s="369"/>
      <c r="G22" s="369"/>
      <c r="H22" s="369"/>
      <c r="I22" s="369">
        <v>25</v>
      </c>
      <c r="J22" s="369"/>
      <c r="K22" s="374">
        <f t="shared" si="3"/>
        <v>0</v>
      </c>
      <c r="L22" s="378"/>
      <c r="M22" s="378"/>
      <c r="N22" s="374">
        <f t="shared" si="4"/>
        <v>0</v>
      </c>
      <c r="O22" s="369"/>
      <c r="P22" s="369"/>
      <c r="Q22" s="369"/>
      <c r="R22" s="369"/>
      <c r="S22" s="369"/>
    </row>
    <row r="23" spans="1:19" ht="13.5" customHeight="1" x14ac:dyDescent="0.2">
      <c r="A23" s="371">
        <v>13</v>
      </c>
      <c r="B23" s="376" t="s">
        <v>6</v>
      </c>
      <c r="C23" s="373" t="s">
        <v>230</v>
      </c>
      <c r="D23" s="374">
        <f t="shared" si="2"/>
        <v>56</v>
      </c>
      <c r="E23" s="369"/>
      <c r="F23" s="369"/>
      <c r="G23" s="369"/>
      <c r="H23" s="369">
        <v>50</v>
      </c>
      <c r="I23" s="369">
        <f>10-4</f>
        <v>6</v>
      </c>
      <c r="J23" s="369"/>
      <c r="K23" s="374">
        <f t="shared" si="3"/>
        <v>0</v>
      </c>
      <c r="L23" s="378"/>
      <c r="M23" s="378"/>
      <c r="N23" s="374">
        <f t="shared" si="4"/>
        <v>0</v>
      </c>
      <c r="O23" s="369"/>
      <c r="P23" s="369"/>
      <c r="Q23" s="369"/>
      <c r="R23" s="369"/>
      <c r="S23" s="369"/>
    </row>
    <row r="24" spans="1:19" ht="13.5" customHeight="1" x14ac:dyDescent="0.2">
      <c r="A24" s="371">
        <v>14</v>
      </c>
      <c r="B24" s="382" t="s">
        <v>5</v>
      </c>
      <c r="C24" s="387" t="s">
        <v>378</v>
      </c>
      <c r="D24" s="374">
        <f t="shared" si="2"/>
        <v>10</v>
      </c>
      <c r="E24" s="369"/>
      <c r="F24" s="369"/>
      <c r="G24" s="369"/>
      <c r="H24" s="369"/>
      <c r="I24" s="369">
        <f>0+4+4+2</f>
        <v>10</v>
      </c>
      <c r="J24" s="369"/>
      <c r="K24" s="374">
        <f t="shared" si="3"/>
        <v>0</v>
      </c>
      <c r="L24" s="378"/>
      <c r="M24" s="378"/>
      <c r="N24" s="374"/>
      <c r="O24" s="369"/>
      <c r="P24" s="369"/>
      <c r="Q24" s="369"/>
      <c r="R24" s="369"/>
      <c r="S24" s="369"/>
    </row>
    <row r="25" spans="1:19" x14ac:dyDescent="0.2">
      <c r="A25" s="371">
        <v>15</v>
      </c>
      <c r="B25" s="372" t="s">
        <v>11</v>
      </c>
      <c r="C25" s="373" t="s">
        <v>8</v>
      </c>
      <c r="D25" s="374">
        <f t="shared" si="2"/>
        <v>50</v>
      </c>
      <c r="E25" s="369"/>
      <c r="F25" s="369"/>
      <c r="G25" s="369"/>
      <c r="H25" s="369"/>
      <c r="I25" s="369">
        <v>50</v>
      </c>
      <c r="J25" s="369"/>
      <c r="K25" s="374">
        <f t="shared" si="3"/>
        <v>0</v>
      </c>
      <c r="L25" s="378"/>
      <c r="M25" s="378"/>
      <c r="N25" s="374">
        <f t="shared" si="4"/>
        <v>0</v>
      </c>
      <c r="O25" s="369"/>
      <c r="P25" s="369"/>
      <c r="Q25" s="369"/>
      <c r="R25" s="369"/>
      <c r="S25" s="369"/>
    </row>
  </sheetData>
  <mergeCells count="25">
    <mergeCell ref="C1:Q1"/>
    <mergeCell ref="A3:A7"/>
    <mergeCell ref="B3:B7"/>
    <mergeCell ref="C3:C7"/>
    <mergeCell ref="D3:D7"/>
    <mergeCell ref="E3:J3"/>
    <mergeCell ref="K3:S3"/>
    <mergeCell ref="E4:F5"/>
    <mergeCell ref="G4:J5"/>
    <mergeCell ref="K4:K7"/>
    <mergeCell ref="L4:M4"/>
    <mergeCell ref="N4:S5"/>
    <mergeCell ref="E6:E7"/>
    <mergeCell ref="F6:F7"/>
    <mergeCell ref="G6:G7"/>
    <mergeCell ref="H6:H7"/>
    <mergeCell ref="P6:P7"/>
    <mergeCell ref="Q6:Q7"/>
    <mergeCell ref="R6:R7"/>
    <mergeCell ref="S6:S7"/>
    <mergeCell ref="I6:J6"/>
    <mergeCell ref="L6:L7"/>
    <mergeCell ref="M6:M7"/>
    <mergeCell ref="N6:N7"/>
    <mergeCell ref="O6:O7"/>
  </mergeCells>
  <pageMargins left="0" right="0" top="0.74803149606299213" bottom="0.74803149606299213" header="0.31496062992125984" footer="0.31496062992125984"/>
  <pageSetup paperSize="9" scale="7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7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L10" sqref="L10"/>
    </sheetView>
  </sheetViews>
  <sheetFormatPr defaultRowHeight="15" x14ac:dyDescent="0.25"/>
  <cols>
    <col min="1" max="1" width="4.7109375" style="463" customWidth="1"/>
    <col min="2" max="2" width="9.42578125" style="463" customWidth="1"/>
    <col min="3" max="3" width="27.5703125" style="463" customWidth="1"/>
    <col min="4" max="4" width="11.42578125" style="463" customWidth="1"/>
    <col min="5" max="5" width="12.28515625" style="463" customWidth="1"/>
    <col min="6" max="6" width="17.42578125" style="463" customWidth="1"/>
    <col min="7" max="7" width="9.140625" style="463"/>
    <col min="8" max="8" width="18.5703125" style="463" customWidth="1"/>
    <col min="9" max="16384" width="9.140625" style="463"/>
  </cols>
  <sheetData>
    <row r="2" spans="1:10" x14ac:dyDescent="0.25">
      <c r="A2" s="462"/>
      <c r="B2" s="818" t="s">
        <v>755</v>
      </c>
      <c r="C2" s="819"/>
      <c r="D2" s="819"/>
      <c r="E2" s="819"/>
      <c r="F2" s="819"/>
      <c r="G2" s="819"/>
      <c r="H2" s="819"/>
      <c r="I2" s="819"/>
    </row>
    <row r="3" spans="1:10" x14ac:dyDescent="0.25">
      <c r="A3" s="462"/>
      <c r="B3" s="462"/>
      <c r="C3" s="464"/>
      <c r="D3" s="464"/>
      <c r="E3" s="465"/>
      <c r="F3" s="465"/>
      <c r="G3" s="466"/>
      <c r="H3" s="466"/>
      <c r="I3" s="467"/>
    </row>
    <row r="4" spans="1:10" ht="15" customHeight="1" x14ac:dyDescent="0.25">
      <c r="A4" s="820" t="s">
        <v>0</v>
      </c>
      <c r="B4" s="820" t="s">
        <v>203</v>
      </c>
      <c r="C4" s="825" t="s">
        <v>488</v>
      </c>
      <c r="D4" s="828" t="s">
        <v>756</v>
      </c>
      <c r="E4" s="829" t="s">
        <v>16</v>
      </c>
      <c r="F4" s="829"/>
      <c r="G4" s="829"/>
      <c r="H4" s="829"/>
      <c r="I4" s="829"/>
    </row>
    <row r="5" spans="1:10" x14ac:dyDescent="0.25">
      <c r="A5" s="821"/>
      <c r="B5" s="823"/>
      <c r="C5" s="826"/>
      <c r="D5" s="823"/>
      <c r="E5" s="830"/>
      <c r="F5" s="830"/>
      <c r="G5" s="830"/>
      <c r="H5" s="830"/>
      <c r="I5" s="830"/>
    </row>
    <row r="6" spans="1:10" x14ac:dyDescent="0.25">
      <c r="A6" s="821"/>
      <c r="B6" s="823"/>
      <c r="C6" s="826"/>
      <c r="D6" s="823"/>
      <c r="E6" s="813" t="s">
        <v>757</v>
      </c>
      <c r="F6" s="813" t="s">
        <v>758</v>
      </c>
      <c r="G6" s="813" t="s">
        <v>759</v>
      </c>
      <c r="H6" s="813" t="s">
        <v>758</v>
      </c>
      <c r="I6" s="813" t="s">
        <v>760</v>
      </c>
    </row>
    <row r="7" spans="1:10" ht="35.25" customHeight="1" x14ac:dyDescent="0.25">
      <c r="A7" s="822"/>
      <c r="B7" s="824"/>
      <c r="C7" s="827"/>
      <c r="D7" s="824"/>
      <c r="E7" s="814"/>
      <c r="F7" s="814"/>
      <c r="G7" s="814"/>
      <c r="H7" s="831"/>
      <c r="I7" s="814"/>
    </row>
    <row r="8" spans="1:10" ht="35.25" customHeight="1" x14ac:dyDescent="0.25">
      <c r="A8" s="468"/>
      <c r="B8" s="469"/>
      <c r="C8" s="470"/>
      <c r="D8" s="471"/>
      <c r="E8" s="472"/>
      <c r="F8" s="472"/>
      <c r="G8" s="472"/>
      <c r="H8" s="473"/>
      <c r="I8" s="472"/>
    </row>
    <row r="9" spans="1:10" ht="12" customHeight="1" x14ac:dyDescent="0.25">
      <c r="A9" s="740" t="s">
        <v>1</v>
      </c>
      <c r="B9" s="740"/>
      <c r="C9" s="740"/>
      <c r="D9" s="474">
        <f>D10+D11</f>
        <v>1160392</v>
      </c>
      <c r="E9" s="474">
        <f>E10+E11</f>
        <v>1064676</v>
      </c>
      <c r="F9" s="474">
        <f t="shared" ref="F9:I9" si="0">F10+F11</f>
        <v>504</v>
      </c>
      <c r="G9" s="474">
        <f t="shared" si="0"/>
        <v>59252</v>
      </c>
      <c r="H9" s="474">
        <f t="shared" si="0"/>
        <v>30</v>
      </c>
      <c r="I9" s="474">
        <f t="shared" si="0"/>
        <v>23735</v>
      </c>
      <c r="J9" s="475"/>
    </row>
    <row r="10" spans="1:10" ht="11.25" customHeight="1" x14ac:dyDescent="0.25">
      <c r="A10" s="815" t="s">
        <v>17</v>
      </c>
      <c r="B10" s="816"/>
      <c r="C10" s="817"/>
      <c r="D10" s="476">
        <v>12729</v>
      </c>
      <c r="E10" s="477">
        <f t="shared" ref="E10" si="1">SUM(F10:I10)</f>
        <v>0</v>
      </c>
      <c r="F10" s="477">
        <f t="shared" ref="F10:I10" si="2">SUM(G10:J10)</f>
        <v>0</v>
      </c>
      <c r="G10" s="477">
        <f t="shared" si="2"/>
        <v>0</v>
      </c>
      <c r="H10" s="477">
        <f t="shared" si="2"/>
        <v>0</v>
      </c>
      <c r="I10" s="477">
        <f t="shared" si="2"/>
        <v>0</v>
      </c>
    </row>
    <row r="11" spans="1:10" ht="13.5" customHeight="1" x14ac:dyDescent="0.25">
      <c r="A11" s="815" t="s">
        <v>18</v>
      </c>
      <c r="B11" s="816"/>
      <c r="C11" s="817"/>
      <c r="D11" s="474">
        <f>E11+G11+I11</f>
        <v>1147663</v>
      </c>
      <c r="E11" s="474">
        <f>SUM(E12:E55)</f>
        <v>1064676</v>
      </c>
      <c r="F11" s="474">
        <f t="shared" ref="F11:I11" si="3">SUM(F12:F55)</f>
        <v>504</v>
      </c>
      <c r="G11" s="474">
        <f t="shared" si="3"/>
        <v>59252</v>
      </c>
      <c r="H11" s="474">
        <f t="shared" si="3"/>
        <v>30</v>
      </c>
      <c r="I11" s="474">
        <f t="shared" si="3"/>
        <v>23735</v>
      </c>
      <c r="J11" s="475"/>
    </row>
    <row r="12" spans="1:10" ht="12.75" customHeight="1" x14ac:dyDescent="0.25">
      <c r="A12" s="478">
        <v>1</v>
      </c>
      <c r="B12" s="479" t="s">
        <v>19</v>
      </c>
      <c r="C12" s="480" t="s">
        <v>20</v>
      </c>
      <c r="D12" s="481">
        <f>E12+G12+I12</f>
        <v>5293</v>
      </c>
      <c r="E12" s="476">
        <v>5293</v>
      </c>
      <c r="F12" s="476">
        <v>12</v>
      </c>
      <c r="G12" s="476"/>
      <c r="H12" s="476">
        <v>0</v>
      </c>
      <c r="I12" s="476"/>
    </row>
    <row r="13" spans="1:10" ht="12.75" customHeight="1" x14ac:dyDescent="0.25">
      <c r="A13" s="478">
        <v>2</v>
      </c>
      <c r="B13" s="482" t="s">
        <v>21</v>
      </c>
      <c r="C13" s="480" t="s">
        <v>153</v>
      </c>
      <c r="D13" s="481">
        <f t="shared" ref="D13:D55" si="4">E13+G13+I13</f>
        <v>5411</v>
      </c>
      <c r="E13" s="476">
        <v>5411</v>
      </c>
      <c r="F13" s="476">
        <v>8</v>
      </c>
      <c r="G13" s="476"/>
      <c r="H13" s="476">
        <v>0</v>
      </c>
      <c r="I13" s="476"/>
    </row>
    <row r="14" spans="1:10" ht="12.75" customHeight="1" x14ac:dyDescent="0.25">
      <c r="A14" s="478">
        <v>3</v>
      </c>
      <c r="B14" s="382" t="s">
        <v>22</v>
      </c>
      <c r="C14" s="483" t="s">
        <v>23</v>
      </c>
      <c r="D14" s="481">
        <f t="shared" si="4"/>
        <v>16114</v>
      </c>
      <c r="E14" s="476">
        <v>16114</v>
      </c>
      <c r="F14" s="476">
        <v>10</v>
      </c>
      <c r="G14" s="476"/>
      <c r="H14" s="476">
        <v>0</v>
      </c>
      <c r="I14" s="476"/>
    </row>
    <row r="15" spans="1:10" ht="12.75" customHeight="1" x14ac:dyDescent="0.25">
      <c r="A15" s="478">
        <v>4</v>
      </c>
      <c r="B15" s="479" t="s">
        <v>24</v>
      </c>
      <c r="C15" s="480" t="s">
        <v>154</v>
      </c>
      <c r="D15" s="481">
        <f t="shared" si="4"/>
        <v>5966</v>
      </c>
      <c r="E15" s="476">
        <v>5966</v>
      </c>
      <c r="F15" s="476">
        <v>12</v>
      </c>
      <c r="G15" s="476"/>
      <c r="H15" s="476">
        <v>0</v>
      </c>
      <c r="I15" s="476"/>
    </row>
    <row r="16" spans="1:10" ht="12.75" customHeight="1" x14ac:dyDescent="0.25">
      <c r="A16" s="478">
        <v>5</v>
      </c>
      <c r="B16" s="382" t="s">
        <v>4</v>
      </c>
      <c r="C16" s="483" t="s">
        <v>27</v>
      </c>
      <c r="D16" s="481">
        <f t="shared" si="4"/>
        <v>93332</v>
      </c>
      <c r="E16" s="476">
        <v>92997</v>
      </c>
      <c r="F16" s="476">
        <v>84</v>
      </c>
      <c r="G16" s="476">
        <v>335</v>
      </c>
      <c r="H16" s="476">
        <v>2</v>
      </c>
      <c r="I16" s="476"/>
    </row>
    <row r="17" spans="1:9" ht="12.75" customHeight="1" x14ac:dyDescent="0.25">
      <c r="A17" s="478">
        <v>6</v>
      </c>
      <c r="B17" s="382" t="s">
        <v>31</v>
      </c>
      <c r="C17" s="483" t="s">
        <v>32</v>
      </c>
      <c r="D17" s="481">
        <f t="shared" si="4"/>
        <v>6132</v>
      </c>
      <c r="E17" s="476">
        <v>6132</v>
      </c>
      <c r="F17" s="476">
        <v>6</v>
      </c>
      <c r="G17" s="476"/>
      <c r="H17" s="476">
        <v>0</v>
      </c>
      <c r="I17" s="476"/>
    </row>
    <row r="18" spans="1:9" ht="12.75" customHeight="1" x14ac:dyDescent="0.25">
      <c r="A18" s="478">
        <v>7</v>
      </c>
      <c r="B18" s="382" t="s">
        <v>35</v>
      </c>
      <c r="C18" s="483" t="s">
        <v>36</v>
      </c>
      <c r="D18" s="481">
        <f t="shared" si="4"/>
        <v>6134</v>
      </c>
      <c r="E18" s="476">
        <v>6134</v>
      </c>
      <c r="F18" s="476">
        <v>5</v>
      </c>
      <c r="G18" s="476"/>
      <c r="H18" s="476">
        <v>0</v>
      </c>
      <c r="I18" s="476"/>
    </row>
    <row r="19" spans="1:9" ht="12.75" customHeight="1" x14ac:dyDescent="0.25">
      <c r="A19" s="478">
        <v>8</v>
      </c>
      <c r="B19" s="382" t="s">
        <v>44</v>
      </c>
      <c r="C19" s="483" t="s">
        <v>45</v>
      </c>
      <c r="D19" s="481">
        <f t="shared" si="4"/>
        <v>64054</v>
      </c>
      <c r="E19" s="476">
        <v>64054</v>
      </c>
      <c r="F19" s="476">
        <v>30</v>
      </c>
      <c r="G19" s="476"/>
      <c r="H19" s="476">
        <v>0</v>
      </c>
      <c r="I19" s="476"/>
    </row>
    <row r="20" spans="1:9" ht="12.75" customHeight="1" x14ac:dyDescent="0.25">
      <c r="A20" s="478">
        <v>9</v>
      </c>
      <c r="B20" s="479" t="s">
        <v>51</v>
      </c>
      <c r="C20" s="480" t="s">
        <v>52</v>
      </c>
      <c r="D20" s="481">
        <f t="shared" si="4"/>
        <v>44505</v>
      </c>
      <c r="E20" s="476">
        <v>44505</v>
      </c>
      <c r="F20" s="476">
        <v>27</v>
      </c>
      <c r="G20" s="476"/>
      <c r="H20" s="476">
        <v>0</v>
      </c>
      <c r="I20" s="476"/>
    </row>
    <row r="21" spans="1:9" ht="12.75" customHeight="1" x14ac:dyDescent="0.25">
      <c r="A21" s="478">
        <v>10</v>
      </c>
      <c r="B21" s="382" t="s">
        <v>53</v>
      </c>
      <c r="C21" s="483" t="s">
        <v>374</v>
      </c>
      <c r="D21" s="481">
        <f t="shared" si="4"/>
        <v>4108</v>
      </c>
      <c r="E21" s="476">
        <v>1662</v>
      </c>
      <c r="F21" s="476">
        <v>5</v>
      </c>
      <c r="G21" s="476">
        <v>2446</v>
      </c>
      <c r="H21" s="476">
        <v>2</v>
      </c>
      <c r="I21" s="476"/>
    </row>
    <row r="22" spans="1:9" ht="27" customHeight="1" x14ac:dyDescent="0.25">
      <c r="A22" s="478">
        <v>11</v>
      </c>
      <c r="B22" s="479" t="s">
        <v>320</v>
      </c>
      <c r="C22" s="480" t="s">
        <v>380</v>
      </c>
      <c r="D22" s="481">
        <f t="shared" si="4"/>
        <v>91744</v>
      </c>
      <c r="E22" s="476">
        <v>91744</v>
      </c>
      <c r="F22" s="476">
        <v>20</v>
      </c>
      <c r="G22" s="476"/>
      <c r="H22" s="476">
        <v>0</v>
      </c>
      <c r="I22" s="476"/>
    </row>
    <row r="23" spans="1:9" ht="12.75" customHeight="1" x14ac:dyDescent="0.25">
      <c r="A23" s="478">
        <v>12</v>
      </c>
      <c r="B23" s="482" t="s">
        <v>56</v>
      </c>
      <c r="C23" s="480" t="s">
        <v>57</v>
      </c>
      <c r="D23" s="481">
        <f t="shared" si="4"/>
        <v>45332</v>
      </c>
      <c r="E23" s="476">
        <v>45332</v>
      </c>
      <c r="F23" s="476">
        <v>55</v>
      </c>
      <c r="G23" s="476"/>
      <c r="H23" s="476">
        <v>0</v>
      </c>
      <c r="I23" s="476"/>
    </row>
    <row r="24" spans="1:9" ht="12.75" customHeight="1" x14ac:dyDescent="0.25">
      <c r="A24" s="478">
        <v>13</v>
      </c>
      <c r="B24" s="51" t="s">
        <v>58</v>
      </c>
      <c r="C24" s="52" t="s">
        <v>59</v>
      </c>
      <c r="D24" s="481">
        <f t="shared" si="4"/>
        <v>39230</v>
      </c>
      <c r="E24" s="476">
        <v>32171</v>
      </c>
      <c r="F24" s="476">
        <v>0</v>
      </c>
      <c r="G24" s="476">
        <v>7059</v>
      </c>
      <c r="H24" s="476">
        <v>5</v>
      </c>
      <c r="I24" s="476"/>
    </row>
    <row r="25" spans="1:9" ht="12.75" customHeight="1" x14ac:dyDescent="0.25">
      <c r="A25" s="478">
        <v>14</v>
      </c>
      <c r="B25" s="482" t="s">
        <v>60</v>
      </c>
      <c r="C25" s="480" t="s">
        <v>61</v>
      </c>
      <c r="D25" s="481">
        <f t="shared" si="4"/>
        <v>3467</v>
      </c>
      <c r="E25" s="476">
        <v>3467</v>
      </c>
      <c r="F25" s="476">
        <v>0</v>
      </c>
      <c r="G25" s="476"/>
      <c r="H25" s="476">
        <v>0</v>
      </c>
      <c r="I25" s="476"/>
    </row>
    <row r="26" spans="1:9" ht="12.75" customHeight="1" x14ac:dyDescent="0.25">
      <c r="A26" s="478">
        <v>15</v>
      </c>
      <c r="B26" s="382" t="s">
        <v>62</v>
      </c>
      <c r="C26" s="483" t="s">
        <v>63</v>
      </c>
      <c r="D26" s="481">
        <f t="shared" si="4"/>
        <v>23253</v>
      </c>
      <c r="E26" s="476">
        <v>20538</v>
      </c>
      <c r="F26" s="476">
        <v>7</v>
      </c>
      <c r="G26" s="476">
        <v>2715</v>
      </c>
      <c r="H26" s="476">
        <v>4</v>
      </c>
      <c r="I26" s="476"/>
    </row>
    <row r="27" spans="1:9" ht="12.75" customHeight="1" x14ac:dyDescent="0.25">
      <c r="A27" s="478">
        <v>16</v>
      </c>
      <c r="B27" s="482" t="s">
        <v>64</v>
      </c>
      <c r="C27" s="480" t="s">
        <v>65</v>
      </c>
      <c r="D27" s="481">
        <f t="shared" si="4"/>
        <v>8874</v>
      </c>
      <c r="E27" s="476">
        <v>8874</v>
      </c>
      <c r="F27" s="476">
        <v>17</v>
      </c>
      <c r="G27" s="476"/>
      <c r="H27" s="476">
        <v>0</v>
      </c>
      <c r="I27" s="476"/>
    </row>
    <row r="28" spans="1:9" ht="12.75" customHeight="1" x14ac:dyDescent="0.25">
      <c r="A28" s="478">
        <v>17</v>
      </c>
      <c r="B28" s="479" t="s">
        <v>66</v>
      </c>
      <c r="C28" s="480" t="s">
        <v>158</v>
      </c>
      <c r="D28" s="481">
        <f t="shared" si="4"/>
        <v>11285</v>
      </c>
      <c r="E28" s="476">
        <v>11285</v>
      </c>
      <c r="F28" s="476">
        <v>9</v>
      </c>
      <c r="G28" s="476"/>
      <c r="H28" s="476">
        <v>0</v>
      </c>
      <c r="I28" s="476"/>
    </row>
    <row r="29" spans="1:9" ht="12.75" customHeight="1" x14ac:dyDescent="0.25">
      <c r="A29" s="478">
        <v>18</v>
      </c>
      <c r="B29" s="484" t="s">
        <v>67</v>
      </c>
      <c r="C29" s="485" t="s">
        <v>159</v>
      </c>
      <c r="D29" s="481">
        <f t="shared" si="4"/>
        <v>4048</v>
      </c>
      <c r="E29" s="476">
        <v>4048</v>
      </c>
      <c r="F29" s="476">
        <v>0</v>
      </c>
      <c r="G29" s="476"/>
      <c r="H29" s="476">
        <v>0</v>
      </c>
      <c r="I29" s="476"/>
    </row>
    <row r="30" spans="1:9" ht="12.75" customHeight="1" x14ac:dyDescent="0.25">
      <c r="A30" s="478">
        <v>19</v>
      </c>
      <c r="B30" s="479" t="s">
        <v>68</v>
      </c>
      <c r="C30" s="480" t="s">
        <v>160</v>
      </c>
      <c r="D30" s="481">
        <f t="shared" si="4"/>
        <v>5148</v>
      </c>
      <c r="E30" s="476">
        <v>5148</v>
      </c>
      <c r="F30" s="476">
        <v>5</v>
      </c>
      <c r="G30" s="476"/>
      <c r="H30" s="476">
        <v>0</v>
      </c>
      <c r="I30" s="476"/>
    </row>
    <row r="31" spans="1:9" ht="12.75" customHeight="1" x14ac:dyDescent="0.25">
      <c r="A31" s="478">
        <v>20</v>
      </c>
      <c r="B31" s="51" t="s">
        <v>69</v>
      </c>
      <c r="C31" s="52" t="s">
        <v>70</v>
      </c>
      <c r="D31" s="481">
        <f t="shared" si="4"/>
        <v>8922</v>
      </c>
      <c r="E31" s="476">
        <v>8922</v>
      </c>
      <c r="F31" s="476">
        <v>5</v>
      </c>
      <c r="G31" s="476"/>
      <c r="H31" s="476">
        <v>0</v>
      </c>
      <c r="I31" s="476"/>
    </row>
    <row r="32" spans="1:9" ht="12.75" customHeight="1" x14ac:dyDescent="0.25">
      <c r="A32" s="478">
        <v>21</v>
      </c>
      <c r="B32" s="382" t="s">
        <v>174</v>
      </c>
      <c r="C32" s="483" t="s">
        <v>175</v>
      </c>
      <c r="D32" s="481">
        <f t="shared" si="4"/>
        <v>2062</v>
      </c>
      <c r="E32" s="476">
        <v>2062</v>
      </c>
      <c r="F32" s="476">
        <v>1</v>
      </c>
      <c r="G32" s="476"/>
      <c r="H32" s="476">
        <v>0</v>
      </c>
      <c r="I32" s="476"/>
    </row>
    <row r="33" spans="1:9" ht="12.75" customHeight="1" x14ac:dyDescent="0.25">
      <c r="A33" s="478">
        <v>22</v>
      </c>
      <c r="B33" s="382" t="s">
        <v>72</v>
      </c>
      <c r="C33" s="483" t="s">
        <v>73</v>
      </c>
      <c r="D33" s="481">
        <f t="shared" si="4"/>
        <v>72084</v>
      </c>
      <c r="E33" s="476">
        <v>72084</v>
      </c>
      <c r="F33" s="476">
        <v>67</v>
      </c>
      <c r="G33" s="476"/>
      <c r="H33" s="476">
        <v>0</v>
      </c>
      <c r="I33" s="476"/>
    </row>
    <row r="34" spans="1:9" ht="12.75" customHeight="1" x14ac:dyDescent="0.25">
      <c r="A34" s="478">
        <v>23</v>
      </c>
      <c r="B34" s="479" t="s">
        <v>74</v>
      </c>
      <c r="C34" s="480" t="s">
        <v>161</v>
      </c>
      <c r="D34" s="481">
        <f t="shared" si="4"/>
        <v>3712</v>
      </c>
      <c r="E34" s="476">
        <v>3712</v>
      </c>
      <c r="F34" s="476">
        <v>4</v>
      </c>
      <c r="G34" s="476"/>
      <c r="H34" s="476">
        <v>0</v>
      </c>
      <c r="I34" s="476"/>
    </row>
    <row r="35" spans="1:9" ht="12.75" customHeight="1" x14ac:dyDescent="0.25">
      <c r="A35" s="478">
        <v>24</v>
      </c>
      <c r="B35" s="479" t="s">
        <v>75</v>
      </c>
      <c r="C35" s="480" t="s">
        <v>76</v>
      </c>
      <c r="D35" s="481">
        <f t="shared" si="4"/>
        <v>12612</v>
      </c>
      <c r="E35" s="476">
        <v>12612</v>
      </c>
      <c r="F35" s="476">
        <v>2</v>
      </c>
      <c r="G35" s="476"/>
      <c r="H35" s="476">
        <v>0</v>
      </c>
      <c r="I35" s="476"/>
    </row>
    <row r="36" spans="1:9" ht="12.75" customHeight="1" x14ac:dyDescent="0.25">
      <c r="A36" s="478">
        <v>25</v>
      </c>
      <c r="B36" s="486" t="s">
        <v>77</v>
      </c>
      <c r="C36" s="487" t="s">
        <v>78</v>
      </c>
      <c r="D36" s="481">
        <f t="shared" si="4"/>
        <v>2828</v>
      </c>
      <c r="E36" s="476">
        <v>2828</v>
      </c>
      <c r="F36" s="476">
        <v>2</v>
      </c>
      <c r="G36" s="476"/>
      <c r="H36" s="476">
        <v>0</v>
      </c>
      <c r="I36" s="476"/>
    </row>
    <row r="37" spans="1:9" ht="12.75" customHeight="1" x14ac:dyDescent="0.25">
      <c r="A37" s="478">
        <v>26</v>
      </c>
      <c r="B37" s="382" t="s">
        <v>79</v>
      </c>
      <c r="C37" s="483" t="s">
        <v>162</v>
      </c>
      <c r="D37" s="481">
        <f t="shared" si="4"/>
        <v>8742</v>
      </c>
      <c r="E37" s="476">
        <v>8742</v>
      </c>
      <c r="F37" s="476">
        <v>7</v>
      </c>
      <c r="G37" s="476"/>
      <c r="H37" s="476">
        <v>0</v>
      </c>
      <c r="I37" s="476"/>
    </row>
    <row r="38" spans="1:9" ht="12.75" customHeight="1" x14ac:dyDescent="0.25">
      <c r="A38" s="478">
        <v>27</v>
      </c>
      <c r="B38" s="482" t="s">
        <v>80</v>
      </c>
      <c r="C38" s="480" t="s">
        <v>81</v>
      </c>
      <c r="D38" s="481">
        <f t="shared" si="4"/>
        <v>10334</v>
      </c>
      <c r="E38" s="476">
        <v>10334</v>
      </c>
      <c r="F38" s="476">
        <v>4</v>
      </c>
      <c r="G38" s="476"/>
      <c r="H38" s="476">
        <v>0</v>
      </c>
      <c r="I38" s="476"/>
    </row>
    <row r="39" spans="1:9" ht="12.75" customHeight="1" x14ac:dyDescent="0.25">
      <c r="A39" s="478">
        <v>28</v>
      </c>
      <c r="B39" s="382" t="s">
        <v>82</v>
      </c>
      <c r="C39" s="483" t="s">
        <v>83</v>
      </c>
      <c r="D39" s="481">
        <f t="shared" si="4"/>
        <v>1763</v>
      </c>
      <c r="E39" s="476">
        <v>1763</v>
      </c>
      <c r="F39" s="476">
        <v>0</v>
      </c>
      <c r="G39" s="476"/>
      <c r="H39" s="476">
        <v>0</v>
      </c>
      <c r="I39" s="476"/>
    </row>
    <row r="40" spans="1:9" ht="12.75" customHeight="1" x14ac:dyDescent="0.25">
      <c r="A40" s="478">
        <v>29</v>
      </c>
      <c r="B40" s="482" t="s">
        <v>84</v>
      </c>
      <c r="C40" s="480" t="s">
        <v>85</v>
      </c>
      <c r="D40" s="481">
        <f t="shared" si="4"/>
        <v>7056</v>
      </c>
      <c r="E40" s="476">
        <v>7056</v>
      </c>
      <c r="F40" s="476">
        <v>12</v>
      </c>
      <c r="G40" s="476"/>
      <c r="H40" s="476">
        <v>0</v>
      </c>
      <c r="I40" s="476"/>
    </row>
    <row r="41" spans="1:9" ht="12.75" customHeight="1" x14ac:dyDescent="0.25">
      <c r="A41" s="478">
        <v>30</v>
      </c>
      <c r="B41" s="382" t="s">
        <v>86</v>
      </c>
      <c r="C41" s="483" t="s">
        <v>163</v>
      </c>
      <c r="D41" s="481">
        <f t="shared" si="4"/>
        <v>10563</v>
      </c>
      <c r="E41" s="476">
        <v>10563</v>
      </c>
      <c r="F41" s="476">
        <v>5</v>
      </c>
      <c r="G41" s="476"/>
      <c r="H41" s="476">
        <v>0</v>
      </c>
      <c r="I41" s="476"/>
    </row>
    <row r="42" spans="1:9" ht="12.75" customHeight="1" x14ac:dyDescent="0.25">
      <c r="A42" s="478">
        <v>31</v>
      </c>
      <c r="B42" s="382" t="s">
        <v>87</v>
      </c>
      <c r="C42" s="483" t="s">
        <v>88</v>
      </c>
      <c r="D42" s="481">
        <f t="shared" si="4"/>
        <v>18009</v>
      </c>
      <c r="E42" s="476">
        <v>17233</v>
      </c>
      <c r="F42" s="476">
        <v>0</v>
      </c>
      <c r="G42" s="476">
        <v>776</v>
      </c>
      <c r="H42" s="476">
        <v>0</v>
      </c>
      <c r="I42" s="476"/>
    </row>
    <row r="43" spans="1:9" ht="12.75" customHeight="1" x14ac:dyDescent="0.25">
      <c r="A43" s="478">
        <v>32</v>
      </c>
      <c r="B43" s="382" t="s">
        <v>89</v>
      </c>
      <c r="C43" s="483" t="s">
        <v>164</v>
      </c>
      <c r="D43" s="481">
        <f t="shared" si="4"/>
        <v>2869</v>
      </c>
      <c r="E43" s="476">
        <v>2869</v>
      </c>
      <c r="F43" s="476">
        <v>1</v>
      </c>
      <c r="G43" s="476"/>
      <c r="H43" s="476">
        <v>0</v>
      </c>
      <c r="I43" s="476"/>
    </row>
    <row r="44" spans="1:9" ht="12.75" customHeight="1" x14ac:dyDescent="0.25">
      <c r="A44" s="478">
        <v>33</v>
      </c>
      <c r="B44" s="482" t="s">
        <v>324</v>
      </c>
      <c r="C44" s="483" t="s">
        <v>424</v>
      </c>
      <c r="D44" s="481">
        <f t="shared" si="4"/>
        <v>379734</v>
      </c>
      <c r="E44" s="476">
        <v>313869</v>
      </c>
      <c r="F44" s="476">
        <v>5</v>
      </c>
      <c r="G44" s="476">
        <v>42130</v>
      </c>
      <c r="H44" s="476">
        <v>10</v>
      </c>
      <c r="I44" s="476">
        <v>23735</v>
      </c>
    </row>
    <row r="45" spans="1:9" ht="12.75" customHeight="1" x14ac:dyDescent="0.25">
      <c r="A45" s="478">
        <v>34</v>
      </c>
      <c r="B45" s="482" t="s">
        <v>119</v>
      </c>
      <c r="C45" s="488" t="s">
        <v>120</v>
      </c>
      <c r="D45" s="481">
        <f t="shared" si="4"/>
        <v>4821</v>
      </c>
      <c r="E45" s="476">
        <v>4821</v>
      </c>
      <c r="F45" s="476">
        <v>3</v>
      </c>
      <c r="G45" s="476"/>
      <c r="H45" s="476">
        <v>0</v>
      </c>
      <c r="I45" s="476"/>
    </row>
    <row r="46" spans="1:9" ht="12.75" customHeight="1" x14ac:dyDescent="0.25">
      <c r="A46" s="478">
        <v>35</v>
      </c>
      <c r="B46" s="382" t="s">
        <v>123</v>
      </c>
      <c r="C46" s="483" t="s">
        <v>124</v>
      </c>
      <c r="D46" s="481">
        <f t="shared" si="4"/>
        <v>13542</v>
      </c>
      <c r="E46" s="476">
        <v>13542</v>
      </c>
      <c r="F46" s="476">
        <v>6</v>
      </c>
      <c r="G46" s="476"/>
      <c r="H46" s="476">
        <v>0</v>
      </c>
      <c r="I46" s="476"/>
    </row>
    <row r="47" spans="1:9" ht="12.75" customHeight="1" x14ac:dyDescent="0.25">
      <c r="A47" s="478">
        <v>36</v>
      </c>
      <c r="B47" s="482" t="s">
        <v>127</v>
      </c>
      <c r="C47" s="480" t="s">
        <v>128</v>
      </c>
      <c r="D47" s="481">
        <f t="shared" si="4"/>
        <v>7405</v>
      </c>
      <c r="E47" s="476">
        <v>6744</v>
      </c>
      <c r="F47" s="476">
        <v>9</v>
      </c>
      <c r="G47" s="476">
        <v>661</v>
      </c>
      <c r="H47" s="476">
        <v>7</v>
      </c>
      <c r="I47" s="476"/>
    </row>
    <row r="48" spans="1:9" ht="12.75" customHeight="1" x14ac:dyDescent="0.25">
      <c r="A48" s="478">
        <v>37</v>
      </c>
      <c r="B48" s="479" t="s">
        <v>129</v>
      </c>
      <c r="C48" s="480" t="s">
        <v>130</v>
      </c>
      <c r="D48" s="481">
        <f t="shared" si="4"/>
        <v>15035</v>
      </c>
      <c r="E48" s="476">
        <v>11905</v>
      </c>
      <c r="F48" s="476">
        <v>4</v>
      </c>
      <c r="G48" s="476">
        <v>3130</v>
      </c>
      <c r="H48" s="476">
        <v>0</v>
      </c>
      <c r="I48" s="476"/>
    </row>
    <row r="49" spans="1:9" ht="12.75" customHeight="1" x14ac:dyDescent="0.25">
      <c r="A49" s="478">
        <v>38</v>
      </c>
      <c r="B49" s="479" t="s">
        <v>131</v>
      </c>
      <c r="C49" s="480" t="s">
        <v>132</v>
      </c>
      <c r="D49" s="481">
        <f t="shared" si="4"/>
        <v>12723</v>
      </c>
      <c r="E49" s="476">
        <v>12723</v>
      </c>
      <c r="F49" s="476">
        <v>5</v>
      </c>
      <c r="G49" s="476"/>
      <c r="H49" s="476">
        <v>0</v>
      </c>
      <c r="I49" s="476"/>
    </row>
    <row r="50" spans="1:9" ht="12.75" customHeight="1" x14ac:dyDescent="0.25">
      <c r="A50" s="478">
        <v>39</v>
      </c>
      <c r="B50" s="51" t="s">
        <v>135</v>
      </c>
      <c r="C50" s="52" t="s">
        <v>136</v>
      </c>
      <c r="D50" s="481">
        <f t="shared" si="4"/>
        <v>6992</v>
      </c>
      <c r="E50" s="476">
        <v>6992</v>
      </c>
      <c r="F50" s="476">
        <v>12</v>
      </c>
      <c r="G50" s="476"/>
      <c r="H50" s="476">
        <v>0</v>
      </c>
      <c r="I50" s="476"/>
    </row>
    <row r="51" spans="1:9" ht="12.75" customHeight="1" x14ac:dyDescent="0.25">
      <c r="A51" s="478">
        <v>40</v>
      </c>
      <c r="B51" s="482" t="s">
        <v>139</v>
      </c>
      <c r="C51" s="480" t="s">
        <v>140</v>
      </c>
      <c r="D51" s="481">
        <f t="shared" si="4"/>
        <v>30289</v>
      </c>
      <c r="E51" s="476">
        <v>30289</v>
      </c>
      <c r="F51" s="476">
        <v>14</v>
      </c>
      <c r="G51" s="476"/>
      <c r="H51" s="476">
        <v>0</v>
      </c>
      <c r="I51" s="476"/>
    </row>
    <row r="52" spans="1:9" ht="12.75" customHeight="1" x14ac:dyDescent="0.25">
      <c r="A52" s="478">
        <v>41</v>
      </c>
      <c r="B52" s="382" t="s">
        <v>141</v>
      </c>
      <c r="C52" s="483" t="s">
        <v>142</v>
      </c>
      <c r="D52" s="481">
        <f t="shared" si="4"/>
        <v>5214</v>
      </c>
      <c r="E52" s="476">
        <v>5214</v>
      </c>
      <c r="F52" s="476">
        <v>3</v>
      </c>
      <c r="G52" s="476"/>
      <c r="H52" s="476">
        <v>0</v>
      </c>
      <c r="I52" s="476"/>
    </row>
    <row r="53" spans="1:9" ht="12.75" customHeight="1" x14ac:dyDescent="0.25">
      <c r="A53" s="478">
        <v>42</v>
      </c>
      <c r="B53" s="382" t="s">
        <v>143</v>
      </c>
      <c r="C53" s="483" t="s">
        <v>144</v>
      </c>
      <c r="D53" s="481">
        <f t="shared" si="4"/>
        <v>7741</v>
      </c>
      <c r="E53" s="476">
        <v>7741</v>
      </c>
      <c r="F53" s="476">
        <v>3</v>
      </c>
      <c r="G53" s="476"/>
      <c r="H53" s="476">
        <v>0</v>
      </c>
      <c r="I53" s="476"/>
    </row>
    <row r="54" spans="1:9" ht="12.75" customHeight="1" x14ac:dyDescent="0.25">
      <c r="A54" s="478">
        <v>43</v>
      </c>
      <c r="B54" s="479" t="s">
        <v>145</v>
      </c>
      <c r="C54" s="480" t="s">
        <v>146</v>
      </c>
      <c r="D54" s="481">
        <f t="shared" si="4"/>
        <v>13127</v>
      </c>
      <c r="E54" s="476">
        <v>13127</v>
      </c>
      <c r="F54" s="476">
        <v>15</v>
      </c>
      <c r="G54" s="476"/>
      <c r="H54" s="476">
        <v>0</v>
      </c>
      <c r="I54" s="476"/>
    </row>
    <row r="55" spans="1:9" ht="12.75" customHeight="1" x14ac:dyDescent="0.25">
      <c r="A55" s="478">
        <v>44</v>
      </c>
      <c r="B55" s="482" t="s">
        <v>147</v>
      </c>
      <c r="C55" s="480" t="s">
        <v>165</v>
      </c>
      <c r="D55" s="481">
        <f t="shared" si="4"/>
        <v>6054</v>
      </c>
      <c r="E55" s="476">
        <v>6054</v>
      </c>
      <c r="F55" s="476">
        <v>3</v>
      </c>
      <c r="G55" s="476"/>
      <c r="H55" s="476">
        <v>0</v>
      </c>
      <c r="I55" s="476"/>
    </row>
    <row r="57" spans="1:9" x14ac:dyDescent="0.25">
      <c r="D57" s="475"/>
    </row>
  </sheetData>
  <mergeCells count="14">
    <mergeCell ref="I6:I7"/>
    <mergeCell ref="A9:C9"/>
    <mergeCell ref="A10:C10"/>
    <mergeCell ref="A11:C11"/>
    <mergeCell ref="B2:I2"/>
    <mergeCell ref="A4:A7"/>
    <mergeCell ref="B4:B7"/>
    <mergeCell ref="C4:C7"/>
    <mergeCell ref="D4:D7"/>
    <mergeCell ref="E4:I5"/>
    <mergeCell ref="E6:E7"/>
    <mergeCell ref="F6:F7"/>
    <mergeCell ref="G6:G7"/>
    <mergeCell ref="H6:H7"/>
  </mergeCells>
  <pageMargins left="0.39370078740157483" right="0" top="0.74803149606299213" bottom="0.74803149606299213" header="0.31496062992125984" footer="0.31496062992125984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4"/>
  <sheetViews>
    <sheetView tabSelected="1" workbookViewId="0">
      <pane xSplit="1" ySplit="3" topLeftCell="B67" activePane="bottomRight" state="frozen"/>
      <selection pane="topRight" activeCell="B1" sqref="B1"/>
      <selection pane="bottomLeft" activeCell="A4" sqref="A4"/>
      <selection pane="bottomRight" activeCell="K88" sqref="K88"/>
    </sheetView>
  </sheetViews>
  <sheetFormatPr defaultRowHeight="12.75" x14ac:dyDescent="0.2"/>
  <cols>
    <col min="1" max="1" width="21.85546875" style="409" customWidth="1"/>
    <col min="2" max="2" width="6.5703125" style="398" customWidth="1"/>
    <col min="3" max="3" width="6.140625" style="398" customWidth="1"/>
    <col min="4" max="4" width="6" style="398" customWidth="1"/>
    <col min="5" max="5" width="6.28515625" style="398" customWidth="1"/>
    <col min="6" max="6" width="7" style="398" customWidth="1"/>
    <col min="7" max="7" width="5.85546875" style="400" customWidth="1"/>
    <col min="8" max="8" width="5.5703125" style="398" customWidth="1"/>
    <col min="9" max="9" width="5.85546875" style="398" customWidth="1"/>
    <col min="10" max="10" width="6.140625" style="398" customWidth="1"/>
    <col min="11" max="11" width="6.28515625" style="400" customWidth="1"/>
    <col min="12" max="12" width="6.85546875" style="400" customWidth="1"/>
    <col min="13" max="13" width="6" style="400" customWidth="1"/>
    <col min="14" max="14" width="5.5703125" style="400" customWidth="1"/>
    <col min="15" max="15" width="6.42578125" style="398" customWidth="1"/>
    <col min="16" max="16" width="6.7109375" style="398" customWidth="1"/>
    <col min="17" max="17" width="6.140625" style="400" customWidth="1"/>
    <col min="18" max="18" width="6" style="398" customWidth="1"/>
    <col min="19" max="19" width="5.7109375" style="400" customWidth="1"/>
    <col min="20" max="20" width="6.140625" style="400" customWidth="1"/>
    <col min="21" max="21" width="6.85546875" style="400" customWidth="1"/>
    <col min="22" max="22" width="5.7109375" style="400" customWidth="1"/>
    <col min="23" max="23" width="5.5703125" style="398" customWidth="1"/>
    <col min="24" max="24" width="6.140625" style="398" customWidth="1"/>
    <col min="25" max="25" width="7.42578125" style="398" customWidth="1"/>
    <col min="26" max="26" width="6.140625" style="400" customWidth="1"/>
    <col min="27" max="27" width="5.85546875" style="398" customWidth="1"/>
    <col min="28" max="28" width="6" style="398" customWidth="1"/>
    <col min="29" max="29" width="6.140625" style="400" customWidth="1"/>
    <col min="30" max="30" width="7" style="400" customWidth="1"/>
    <col min="31" max="31" width="6.42578125" style="398" customWidth="1"/>
    <col min="32" max="32" width="7" style="398" customWidth="1"/>
    <col min="33" max="16384" width="9.140625" style="400"/>
  </cols>
  <sheetData>
    <row r="1" spans="1:32" ht="21" customHeight="1" x14ac:dyDescent="0.25">
      <c r="A1" s="532" t="s">
        <v>601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</row>
    <row r="2" spans="1:32" s="388" customFormat="1" ht="113.25" customHeight="1" x14ac:dyDescent="0.2">
      <c r="A2" s="397" t="s">
        <v>602</v>
      </c>
      <c r="B2" s="411" t="s">
        <v>603</v>
      </c>
      <c r="C2" s="411" t="s">
        <v>604</v>
      </c>
      <c r="D2" s="411" t="s">
        <v>13</v>
      </c>
      <c r="E2" s="412" t="s">
        <v>7</v>
      </c>
      <c r="F2" s="411" t="s">
        <v>152</v>
      </c>
      <c r="G2" s="412" t="s">
        <v>605</v>
      </c>
      <c r="H2" s="411" t="s">
        <v>347</v>
      </c>
      <c r="I2" s="411" t="s">
        <v>2</v>
      </c>
      <c r="J2" s="411" t="s">
        <v>199</v>
      </c>
      <c r="K2" s="411" t="s">
        <v>606</v>
      </c>
      <c r="L2" s="411" t="s">
        <v>645</v>
      </c>
      <c r="M2" s="411" t="s">
        <v>607</v>
      </c>
      <c r="N2" s="411" t="s">
        <v>642</v>
      </c>
      <c r="O2" s="411" t="s">
        <v>644</v>
      </c>
      <c r="P2" s="411" t="s">
        <v>608</v>
      </c>
      <c r="Q2" s="411" t="s">
        <v>609</v>
      </c>
      <c r="R2" s="411" t="s">
        <v>140</v>
      </c>
      <c r="S2" s="411" t="s">
        <v>45</v>
      </c>
      <c r="T2" s="411" t="s">
        <v>610</v>
      </c>
      <c r="U2" s="411" t="s">
        <v>611</v>
      </c>
      <c r="V2" s="411" t="s">
        <v>612</v>
      </c>
      <c r="W2" s="411" t="s">
        <v>613</v>
      </c>
      <c r="X2" s="411" t="s">
        <v>614</v>
      </c>
      <c r="Y2" s="411" t="s">
        <v>643</v>
      </c>
      <c r="Z2" s="413" t="s">
        <v>615</v>
      </c>
      <c r="AA2" s="411" t="s">
        <v>616</v>
      </c>
      <c r="AB2" s="411" t="s">
        <v>617</v>
      </c>
      <c r="AC2" s="411" t="s">
        <v>323</v>
      </c>
      <c r="AD2" s="412" t="s">
        <v>618</v>
      </c>
      <c r="AE2" s="412" t="s">
        <v>619</v>
      </c>
      <c r="AF2" s="412" t="s">
        <v>620</v>
      </c>
    </row>
    <row r="3" spans="1:32" s="388" customFormat="1" ht="11.25" customHeight="1" x14ac:dyDescent="0.2">
      <c r="A3" s="397">
        <v>1</v>
      </c>
      <c r="B3" s="397">
        <v>2</v>
      </c>
      <c r="C3" s="397">
        <v>3</v>
      </c>
      <c r="D3" s="397">
        <v>4</v>
      </c>
      <c r="E3" s="397">
        <v>5</v>
      </c>
      <c r="F3" s="397">
        <v>6</v>
      </c>
      <c r="G3" s="397">
        <v>7</v>
      </c>
      <c r="H3" s="397">
        <v>8</v>
      </c>
      <c r="I3" s="397">
        <v>9</v>
      </c>
      <c r="J3" s="397">
        <v>10</v>
      </c>
      <c r="K3" s="397">
        <v>11</v>
      </c>
      <c r="L3" s="397">
        <v>12</v>
      </c>
      <c r="M3" s="397">
        <v>13</v>
      </c>
      <c r="N3" s="397">
        <v>14</v>
      </c>
      <c r="O3" s="397">
        <v>15</v>
      </c>
      <c r="P3" s="397">
        <v>16</v>
      </c>
      <c r="Q3" s="397">
        <v>17</v>
      </c>
      <c r="R3" s="397">
        <v>18</v>
      </c>
      <c r="S3" s="397">
        <v>19</v>
      </c>
      <c r="T3" s="397">
        <v>20</v>
      </c>
      <c r="U3" s="397">
        <v>23</v>
      </c>
      <c r="V3" s="397">
        <v>24</v>
      </c>
      <c r="W3" s="397">
        <v>25</v>
      </c>
      <c r="X3" s="397">
        <v>26</v>
      </c>
      <c r="Y3" s="397">
        <v>27</v>
      </c>
      <c r="Z3" s="397">
        <v>28</v>
      </c>
      <c r="AA3" s="397">
        <v>29</v>
      </c>
      <c r="AB3" s="397">
        <v>30</v>
      </c>
      <c r="AC3" s="397">
        <v>31</v>
      </c>
      <c r="AD3" s="397">
        <v>32</v>
      </c>
      <c r="AE3" s="397">
        <v>33</v>
      </c>
      <c r="AF3" s="397">
        <v>34</v>
      </c>
    </row>
    <row r="4" spans="1:32" s="402" customFormat="1" ht="27.75" customHeight="1" x14ac:dyDescent="0.2">
      <c r="A4" s="396" t="s">
        <v>622</v>
      </c>
      <c r="B4" s="401">
        <f t="shared" ref="B4:AF4" si="0">B5+B6</f>
        <v>170</v>
      </c>
      <c r="C4" s="401">
        <f t="shared" si="0"/>
        <v>0</v>
      </c>
      <c r="D4" s="401">
        <f t="shared" si="0"/>
        <v>0</v>
      </c>
      <c r="E4" s="401">
        <f t="shared" si="0"/>
        <v>0</v>
      </c>
      <c r="F4" s="401">
        <f t="shared" si="0"/>
        <v>0</v>
      </c>
      <c r="G4" s="401">
        <f t="shared" si="0"/>
        <v>0</v>
      </c>
      <c r="H4" s="401">
        <f t="shared" si="0"/>
        <v>0</v>
      </c>
      <c r="I4" s="401">
        <f t="shared" si="0"/>
        <v>0</v>
      </c>
      <c r="J4" s="401">
        <f t="shared" si="0"/>
        <v>71</v>
      </c>
      <c r="K4" s="401">
        <f t="shared" si="0"/>
        <v>0</v>
      </c>
      <c r="L4" s="401">
        <f t="shared" si="0"/>
        <v>0</v>
      </c>
      <c r="M4" s="401">
        <f t="shared" si="0"/>
        <v>0</v>
      </c>
      <c r="N4" s="401">
        <f t="shared" si="0"/>
        <v>0</v>
      </c>
      <c r="O4" s="401">
        <f t="shared" si="0"/>
        <v>0</v>
      </c>
      <c r="P4" s="401">
        <f t="shared" si="0"/>
        <v>0</v>
      </c>
      <c r="Q4" s="401">
        <f t="shared" si="0"/>
        <v>0</v>
      </c>
      <c r="R4" s="401">
        <f t="shared" si="0"/>
        <v>0</v>
      </c>
      <c r="S4" s="401">
        <f t="shared" si="0"/>
        <v>0</v>
      </c>
      <c r="T4" s="401">
        <f t="shared" si="0"/>
        <v>0</v>
      </c>
      <c r="U4" s="401">
        <f t="shared" si="0"/>
        <v>0</v>
      </c>
      <c r="V4" s="401">
        <f t="shared" si="0"/>
        <v>0</v>
      </c>
      <c r="W4" s="401">
        <f t="shared" si="0"/>
        <v>0</v>
      </c>
      <c r="X4" s="401">
        <f t="shared" si="0"/>
        <v>0</v>
      </c>
      <c r="Y4" s="401">
        <f t="shared" si="0"/>
        <v>0</v>
      </c>
      <c r="Z4" s="401">
        <f t="shared" si="0"/>
        <v>0</v>
      </c>
      <c r="AA4" s="401">
        <f t="shared" si="0"/>
        <v>25</v>
      </c>
      <c r="AB4" s="401">
        <f t="shared" si="0"/>
        <v>0</v>
      </c>
      <c r="AC4" s="401">
        <f t="shared" si="0"/>
        <v>0</v>
      </c>
      <c r="AD4" s="401">
        <f t="shared" si="0"/>
        <v>266</v>
      </c>
      <c r="AE4" s="401">
        <f t="shared" si="0"/>
        <v>0</v>
      </c>
      <c r="AF4" s="401">
        <f t="shared" si="0"/>
        <v>266</v>
      </c>
    </row>
    <row r="5" spans="1:32" s="388" customFormat="1" ht="13.5" customHeight="1" x14ac:dyDescent="0.2">
      <c r="A5" s="403">
        <v>1</v>
      </c>
      <c r="B5" s="389">
        <v>140</v>
      </c>
      <c r="C5" s="389"/>
      <c r="D5" s="389"/>
      <c r="E5" s="389"/>
      <c r="F5" s="389"/>
      <c r="G5" s="389"/>
      <c r="H5" s="389"/>
      <c r="I5" s="389"/>
      <c r="J5" s="389">
        <f>60+4</f>
        <v>64</v>
      </c>
      <c r="K5" s="389"/>
      <c r="L5" s="389"/>
      <c r="M5" s="389"/>
      <c r="N5" s="389"/>
      <c r="O5" s="389"/>
      <c r="P5" s="389"/>
      <c r="Q5" s="389"/>
      <c r="R5" s="389"/>
      <c r="S5" s="389"/>
      <c r="T5" s="390"/>
      <c r="U5" s="390"/>
      <c r="V5" s="390"/>
      <c r="W5" s="390"/>
      <c r="X5" s="390"/>
      <c r="Y5" s="389"/>
      <c r="Z5" s="389"/>
      <c r="AA5" s="389">
        <f>20+5</f>
        <v>25</v>
      </c>
      <c r="AB5" s="389"/>
      <c r="AC5" s="389"/>
      <c r="AD5" s="389">
        <f>B5+C5+D5+E5+F5+G5+H5+I5+J5+Z5+K5+L5+M5+N5+O5+P5+Q5+R5+S5+T5+U5+V5+W5+X5+Y5+AA5+AB5+AC5</f>
        <v>229</v>
      </c>
      <c r="AE5" s="394"/>
      <c r="AF5" s="389">
        <f>AD5+AE5</f>
        <v>229</v>
      </c>
    </row>
    <row r="6" spans="1:32" s="388" customFormat="1" ht="13.5" customHeight="1" x14ac:dyDescent="0.2">
      <c r="A6" s="392">
        <v>2</v>
      </c>
      <c r="B6" s="389">
        <f>10+20</f>
        <v>30</v>
      </c>
      <c r="C6" s="390"/>
      <c r="D6" s="390"/>
      <c r="E6" s="390"/>
      <c r="F6" s="390"/>
      <c r="G6" s="390"/>
      <c r="H6" s="390"/>
      <c r="I6" s="390"/>
      <c r="J6" s="390">
        <f>5+1+1</f>
        <v>7</v>
      </c>
      <c r="K6" s="390"/>
      <c r="L6" s="389"/>
      <c r="M6" s="390"/>
      <c r="N6" s="390"/>
      <c r="O6" s="390"/>
      <c r="P6" s="390"/>
      <c r="Q6" s="390"/>
      <c r="R6" s="390"/>
      <c r="S6" s="389"/>
      <c r="T6" s="390"/>
      <c r="U6" s="390"/>
      <c r="V6" s="390"/>
      <c r="W6" s="390"/>
      <c r="X6" s="390"/>
      <c r="Y6" s="390"/>
      <c r="Z6" s="389"/>
      <c r="AA6" s="390">
        <f>5-5</f>
        <v>0</v>
      </c>
      <c r="AB6" s="390"/>
      <c r="AC6" s="389"/>
      <c r="AD6" s="389">
        <f>B6+C6+D6+E6+F6+G6+H6+I6+J6+Z6+K6+L6+M6+N6+O6+P6+Q6+R6+S6+T6+U6+V6+W6+X6+Y6+AA6+AB6+AC6</f>
        <v>37</v>
      </c>
      <c r="AE6" s="394"/>
      <c r="AF6" s="389">
        <f>AD6+AE6</f>
        <v>37</v>
      </c>
    </row>
    <row r="7" spans="1:32" s="402" customFormat="1" ht="24" customHeight="1" x14ac:dyDescent="0.2">
      <c r="A7" s="396" t="s">
        <v>623</v>
      </c>
      <c r="B7" s="401">
        <f t="shared" ref="B7:AF7" si="1">B8+B9</f>
        <v>395</v>
      </c>
      <c r="C7" s="401">
        <f t="shared" si="1"/>
        <v>0</v>
      </c>
      <c r="D7" s="401">
        <f t="shared" si="1"/>
        <v>0</v>
      </c>
      <c r="E7" s="401">
        <f t="shared" si="1"/>
        <v>53</v>
      </c>
      <c r="F7" s="401">
        <f t="shared" si="1"/>
        <v>279</v>
      </c>
      <c r="G7" s="401">
        <f t="shared" si="1"/>
        <v>0</v>
      </c>
      <c r="H7" s="401">
        <f t="shared" si="1"/>
        <v>0</v>
      </c>
      <c r="I7" s="401">
        <f t="shared" si="1"/>
        <v>0</v>
      </c>
      <c r="J7" s="401">
        <f t="shared" si="1"/>
        <v>51</v>
      </c>
      <c r="K7" s="401">
        <f t="shared" si="1"/>
        <v>0</v>
      </c>
      <c r="L7" s="401">
        <f t="shared" si="1"/>
        <v>0</v>
      </c>
      <c r="M7" s="401">
        <f t="shared" si="1"/>
        <v>0</v>
      </c>
      <c r="N7" s="401">
        <f t="shared" si="1"/>
        <v>0</v>
      </c>
      <c r="O7" s="401">
        <f t="shared" si="1"/>
        <v>0</v>
      </c>
      <c r="P7" s="401">
        <f t="shared" si="1"/>
        <v>129</v>
      </c>
      <c r="Q7" s="401">
        <f t="shared" si="1"/>
        <v>40</v>
      </c>
      <c r="R7" s="401">
        <f t="shared" si="1"/>
        <v>0</v>
      </c>
      <c r="S7" s="401">
        <f t="shared" si="1"/>
        <v>0</v>
      </c>
      <c r="T7" s="401">
        <f t="shared" si="1"/>
        <v>0</v>
      </c>
      <c r="U7" s="401">
        <f t="shared" si="1"/>
        <v>0</v>
      </c>
      <c r="V7" s="401">
        <f t="shared" si="1"/>
        <v>0</v>
      </c>
      <c r="W7" s="401">
        <f t="shared" si="1"/>
        <v>0</v>
      </c>
      <c r="X7" s="401">
        <f t="shared" si="1"/>
        <v>0</v>
      </c>
      <c r="Y7" s="401">
        <f t="shared" si="1"/>
        <v>0</v>
      </c>
      <c r="Z7" s="401">
        <f t="shared" ref="Z7" si="2">Z8+Z9</f>
        <v>0</v>
      </c>
      <c r="AA7" s="401">
        <f t="shared" si="1"/>
        <v>190</v>
      </c>
      <c r="AB7" s="401">
        <f t="shared" si="1"/>
        <v>0</v>
      </c>
      <c r="AC7" s="401">
        <f t="shared" si="1"/>
        <v>0</v>
      </c>
      <c r="AD7" s="401">
        <f t="shared" si="1"/>
        <v>1137</v>
      </c>
      <c r="AE7" s="401">
        <f t="shared" si="1"/>
        <v>0</v>
      </c>
      <c r="AF7" s="401">
        <f t="shared" si="1"/>
        <v>1137</v>
      </c>
    </row>
    <row r="8" spans="1:32" s="388" customFormat="1" ht="13.5" customHeight="1" x14ac:dyDescent="0.2">
      <c r="A8" s="392">
        <v>3</v>
      </c>
      <c r="B8" s="389">
        <f>280-40+11</f>
        <v>251</v>
      </c>
      <c r="C8" s="389"/>
      <c r="D8" s="389"/>
      <c r="E8" s="389"/>
      <c r="F8" s="389">
        <f>150+11-17</f>
        <v>144</v>
      </c>
      <c r="G8" s="389"/>
      <c r="H8" s="389"/>
      <c r="I8" s="389"/>
      <c r="J8" s="389">
        <f>12+5</f>
        <v>17</v>
      </c>
      <c r="K8" s="389"/>
      <c r="L8" s="389"/>
      <c r="M8" s="389"/>
      <c r="N8" s="389"/>
      <c r="O8" s="389"/>
      <c r="P8" s="389">
        <f>100-1</f>
        <v>99</v>
      </c>
      <c r="Q8" s="389">
        <v>40</v>
      </c>
      <c r="R8" s="389"/>
      <c r="S8" s="389"/>
      <c r="T8" s="390"/>
      <c r="U8" s="390"/>
      <c r="V8" s="390"/>
      <c r="W8" s="390"/>
      <c r="X8" s="390"/>
      <c r="Y8" s="389"/>
      <c r="Z8" s="389"/>
      <c r="AA8" s="389">
        <v>150</v>
      </c>
      <c r="AB8" s="389"/>
      <c r="AC8" s="389"/>
      <c r="AD8" s="389">
        <f>B8+C8+D8+E8+F8+G8+H8+I8+J8+Z8+K8+L8+M8+N8+O8+P8+Q8+R8+S8+T8+U8+V8+W8+X8+Y8+AA8+AB8+AC8</f>
        <v>701</v>
      </c>
      <c r="AE8" s="394"/>
      <c r="AF8" s="404">
        <f>AD8+AE8</f>
        <v>701</v>
      </c>
    </row>
    <row r="9" spans="1:32" s="388" customFormat="1" ht="13.5" customHeight="1" x14ac:dyDescent="0.2">
      <c r="A9" s="392">
        <v>4</v>
      </c>
      <c r="B9" s="390">
        <f>120+24</f>
        <v>144</v>
      </c>
      <c r="C9" s="390"/>
      <c r="D9" s="390"/>
      <c r="E9" s="389">
        <f>50+3</f>
        <v>53</v>
      </c>
      <c r="F9" s="390">
        <f>80+60-5</f>
        <v>135</v>
      </c>
      <c r="G9" s="405"/>
      <c r="H9" s="390"/>
      <c r="I9" s="390"/>
      <c r="J9" s="390">
        <f>35-2+1</f>
        <v>34</v>
      </c>
      <c r="K9" s="405"/>
      <c r="L9" s="389"/>
      <c r="M9" s="405"/>
      <c r="N9" s="405"/>
      <c r="O9" s="390"/>
      <c r="P9" s="390">
        <f>100-70</f>
        <v>30</v>
      </c>
      <c r="Q9" s="405"/>
      <c r="R9" s="390"/>
      <c r="S9" s="389"/>
      <c r="T9" s="390"/>
      <c r="U9" s="390"/>
      <c r="V9" s="390"/>
      <c r="W9" s="390"/>
      <c r="X9" s="390"/>
      <c r="Y9" s="390"/>
      <c r="Z9" s="390"/>
      <c r="AA9" s="390">
        <v>40</v>
      </c>
      <c r="AB9" s="390"/>
      <c r="AC9" s="389"/>
      <c r="AD9" s="389">
        <f>B9+C9+D9+E9+F9+G9+H9+I9+J9+Z9+K9+L9+M9+N9+O9+P9+Q9+R9+S9+T9+U9+V9+W9+X9+Y9+AA9+AB9+AC9</f>
        <v>436</v>
      </c>
      <c r="AE9" s="394"/>
      <c r="AF9" s="404">
        <f>AD9+AE9</f>
        <v>436</v>
      </c>
    </row>
    <row r="10" spans="1:32" s="388" customFormat="1" ht="20.25" customHeight="1" x14ac:dyDescent="0.2">
      <c r="A10" s="396" t="s">
        <v>624</v>
      </c>
      <c r="B10" s="401">
        <f t="shared" ref="B10:AF10" si="3">B11</f>
        <v>53</v>
      </c>
      <c r="C10" s="401">
        <f t="shared" si="3"/>
        <v>0</v>
      </c>
      <c r="D10" s="401">
        <f t="shared" si="3"/>
        <v>0</v>
      </c>
      <c r="E10" s="401">
        <f t="shared" si="3"/>
        <v>36</v>
      </c>
      <c r="F10" s="401">
        <f t="shared" si="3"/>
        <v>0</v>
      </c>
      <c r="G10" s="401">
        <f t="shared" si="3"/>
        <v>0</v>
      </c>
      <c r="H10" s="401">
        <f t="shared" si="3"/>
        <v>0</v>
      </c>
      <c r="I10" s="401">
        <f t="shared" si="3"/>
        <v>0</v>
      </c>
      <c r="J10" s="401">
        <f t="shared" si="3"/>
        <v>60</v>
      </c>
      <c r="K10" s="401">
        <f t="shared" si="3"/>
        <v>0</v>
      </c>
      <c r="L10" s="401">
        <f t="shared" si="3"/>
        <v>0</v>
      </c>
      <c r="M10" s="401">
        <f t="shared" si="3"/>
        <v>0</v>
      </c>
      <c r="N10" s="401">
        <f t="shared" si="3"/>
        <v>0</v>
      </c>
      <c r="O10" s="401">
        <f t="shared" si="3"/>
        <v>0</v>
      </c>
      <c r="P10" s="401">
        <f t="shared" si="3"/>
        <v>0</v>
      </c>
      <c r="Q10" s="401">
        <f t="shared" si="3"/>
        <v>0</v>
      </c>
      <c r="R10" s="401">
        <f t="shared" si="3"/>
        <v>0</v>
      </c>
      <c r="S10" s="401">
        <f t="shared" si="3"/>
        <v>0</v>
      </c>
      <c r="T10" s="401">
        <f t="shared" si="3"/>
        <v>0</v>
      </c>
      <c r="U10" s="401">
        <f t="shared" si="3"/>
        <v>0</v>
      </c>
      <c r="V10" s="401">
        <f t="shared" si="3"/>
        <v>0</v>
      </c>
      <c r="W10" s="401">
        <f t="shared" si="3"/>
        <v>0</v>
      </c>
      <c r="X10" s="401">
        <f t="shared" si="3"/>
        <v>0</v>
      </c>
      <c r="Y10" s="401">
        <f t="shared" si="3"/>
        <v>0</v>
      </c>
      <c r="Z10" s="401">
        <f t="shared" si="3"/>
        <v>0</v>
      </c>
      <c r="AA10" s="401">
        <f t="shared" si="3"/>
        <v>0</v>
      </c>
      <c r="AB10" s="401">
        <f t="shared" si="3"/>
        <v>0</v>
      </c>
      <c r="AC10" s="401">
        <f t="shared" si="3"/>
        <v>0</v>
      </c>
      <c r="AD10" s="401">
        <f t="shared" si="3"/>
        <v>149</v>
      </c>
      <c r="AE10" s="401">
        <f t="shared" si="3"/>
        <v>0</v>
      </c>
      <c r="AF10" s="401">
        <f t="shared" si="3"/>
        <v>149</v>
      </c>
    </row>
    <row r="11" spans="1:32" s="388" customFormat="1" ht="15" customHeight="1" x14ac:dyDescent="0.2">
      <c r="A11" s="392">
        <v>5</v>
      </c>
      <c r="B11" s="390">
        <f>50+3</f>
        <v>53</v>
      </c>
      <c r="C11" s="390"/>
      <c r="D11" s="390"/>
      <c r="E11" s="390">
        <f>34+2</f>
        <v>36</v>
      </c>
      <c r="F11" s="390"/>
      <c r="G11" s="390"/>
      <c r="H11" s="390"/>
      <c r="I11" s="390"/>
      <c r="J11" s="390">
        <v>60</v>
      </c>
      <c r="K11" s="390"/>
      <c r="L11" s="389"/>
      <c r="M11" s="390"/>
      <c r="N11" s="390"/>
      <c r="O11" s="390"/>
      <c r="P11" s="390"/>
      <c r="Q11" s="390"/>
      <c r="R11" s="390"/>
      <c r="S11" s="389"/>
      <c r="T11" s="390"/>
      <c r="U11" s="390"/>
      <c r="V11" s="390"/>
      <c r="W11" s="390"/>
      <c r="X11" s="390"/>
      <c r="Y11" s="390"/>
      <c r="Z11" s="390"/>
      <c r="AA11" s="390"/>
      <c r="AB11" s="390"/>
      <c r="AC11" s="389"/>
      <c r="AD11" s="389">
        <f>B11+C11+D11+E11+F11+G11+H11+I11+J11+Z11+K11+L11+M11+N11+O11+P11+Q11+R11+S11+T11+U11+V11+W11+X11+Y11+AA11+AB11+AC11</f>
        <v>149</v>
      </c>
      <c r="AE11" s="394"/>
      <c r="AF11" s="389">
        <f>AD11+AE11</f>
        <v>149</v>
      </c>
    </row>
    <row r="12" spans="1:32" s="388" customFormat="1" ht="20.25" customHeight="1" x14ac:dyDescent="0.2">
      <c r="A12" s="396" t="s">
        <v>625</v>
      </c>
      <c r="B12" s="401">
        <f t="shared" ref="B12:AF12" si="4">B13+B14</f>
        <v>40</v>
      </c>
      <c r="C12" s="401">
        <f t="shared" si="4"/>
        <v>0</v>
      </c>
      <c r="D12" s="401">
        <f t="shared" si="4"/>
        <v>0</v>
      </c>
      <c r="E12" s="401">
        <f t="shared" si="4"/>
        <v>11</v>
      </c>
      <c r="F12" s="401">
        <f t="shared" si="4"/>
        <v>0</v>
      </c>
      <c r="G12" s="401">
        <f t="shared" si="4"/>
        <v>0</v>
      </c>
      <c r="H12" s="401">
        <f t="shared" si="4"/>
        <v>0</v>
      </c>
      <c r="I12" s="401">
        <f t="shared" si="4"/>
        <v>0</v>
      </c>
      <c r="J12" s="401">
        <f t="shared" si="4"/>
        <v>0</v>
      </c>
      <c r="K12" s="401">
        <f t="shared" si="4"/>
        <v>0</v>
      </c>
      <c r="L12" s="401">
        <f t="shared" si="4"/>
        <v>0</v>
      </c>
      <c r="M12" s="401">
        <f t="shared" si="4"/>
        <v>0</v>
      </c>
      <c r="N12" s="401">
        <f t="shared" si="4"/>
        <v>24</v>
      </c>
      <c r="O12" s="401">
        <f t="shared" si="4"/>
        <v>0</v>
      </c>
      <c r="P12" s="401">
        <f t="shared" si="4"/>
        <v>0</v>
      </c>
      <c r="Q12" s="401">
        <f t="shared" si="4"/>
        <v>0</v>
      </c>
      <c r="R12" s="401">
        <f t="shared" si="4"/>
        <v>0</v>
      </c>
      <c r="S12" s="401">
        <f t="shared" si="4"/>
        <v>0</v>
      </c>
      <c r="T12" s="401">
        <f t="shared" si="4"/>
        <v>0</v>
      </c>
      <c r="U12" s="401">
        <f t="shared" si="4"/>
        <v>0</v>
      </c>
      <c r="V12" s="401">
        <f t="shared" si="4"/>
        <v>0</v>
      </c>
      <c r="W12" s="401">
        <f t="shared" si="4"/>
        <v>0</v>
      </c>
      <c r="X12" s="401">
        <f t="shared" si="4"/>
        <v>0</v>
      </c>
      <c r="Y12" s="401">
        <f t="shared" si="4"/>
        <v>0</v>
      </c>
      <c r="Z12" s="401">
        <f t="shared" ref="Z12" si="5">Z13+Z14</f>
        <v>0</v>
      </c>
      <c r="AA12" s="401">
        <f t="shared" si="4"/>
        <v>0</v>
      </c>
      <c r="AB12" s="401">
        <f t="shared" si="4"/>
        <v>0</v>
      </c>
      <c r="AC12" s="401">
        <f t="shared" si="4"/>
        <v>0</v>
      </c>
      <c r="AD12" s="401">
        <f t="shared" si="4"/>
        <v>75</v>
      </c>
      <c r="AE12" s="401">
        <f t="shared" si="4"/>
        <v>0</v>
      </c>
      <c r="AF12" s="401">
        <f t="shared" si="4"/>
        <v>75</v>
      </c>
    </row>
    <row r="13" spans="1:32" s="388" customFormat="1" ht="12.75" customHeight="1" x14ac:dyDescent="0.2">
      <c r="A13" s="392">
        <v>6</v>
      </c>
      <c r="B13" s="390">
        <v>40</v>
      </c>
      <c r="C13" s="390"/>
      <c r="D13" s="390"/>
      <c r="E13" s="389">
        <f>10+1</f>
        <v>11</v>
      </c>
      <c r="F13" s="390"/>
      <c r="G13" s="390"/>
      <c r="H13" s="390"/>
      <c r="I13" s="390"/>
      <c r="J13" s="390"/>
      <c r="K13" s="390"/>
      <c r="L13" s="389"/>
      <c r="M13" s="390"/>
      <c r="N13" s="390">
        <v>24</v>
      </c>
      <c r="O13" s="390"/>
      <c r="P13" s="390"/>
      <c r="Q13" s="390"/>
      <c r="R13" s="390"/>
      <c r="S13" s="389"/>
      <c r="T13" s="390"/>
      <c r="U13" s="390"/>
      <c r="V13" s="390"/>
      <c r="W13" s="390"/>
      <c r="X13" s="390"/>
      <c r="Y13" s="390"/>
      <c r="Z13" s="390"/>
      <c r="AA13" s="390"/>
      <c r="AB13" s="390"/>
      <c r="AC13" s="389"/>
      <c r="AD13" s="389">
        <f>B13+C13+D13+E13+F13+G13+H13+I13+J13+Z13+K13+L13+M13+N13+O13+P13+Q13+R13+S13+T13+U13+V13+W13+X13+Y13+AA13+AB13+AC13</f>
        <v>75</v>
      </c>
      <c r="AE13" s="394"/>
      <c r="AF13" s="389">
        <f>AD13+AE13</f>
        <v>75</v>
      </c>
    </row>
    <row r="14" spans="1:32" s="388" customFormat="1" ht="18.75" customHeight="1" x14ac:dyDescent="0.2">
      <c r="A14" s="392">
        <v>7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89"/>
      <c r="M14" s="390"/>
      <c r="N14" s="390"/>
      <c r="O14" s="390"/>
      <c r="P14" s="390"/>
      <c r="Q14" s="390"/>
      <c r="R14" s="390"/>
      <c r="S14" s="389"/>
      <c r="T14" s="390"/>
      <c r="U14" s="390"/>
      <c r="V14" s="390"/>
      <c r="W14" s="390"/>
      <c r="X14" s="390"/>
      <c r="Y14" s="390"/>
      <c r="Z14" s="390"/>
      <c r="AA14" s="390"/>
      <c r="AB14" s="390"/>
      <c r="AC14" s="389"/>
      <c r="AD14" s="389">
        <f>B14+C14+D14+E14+F14+G14+H14+I14+J14+Z14+K14+L14+M14+N14+O14+P14+Q14+R14+S14+T14+U14+V14+W14+X14+Y14+AA14+AB14+AC14</f>
        <v>0</v>
      </c>
      <c r="AE14" s="394"/>
      <c r="AF14" s="389">
        <f>AD14+AE14</f>
        <v>0</v>
      </c>
    </row>
    <row r="15" spans="1:32" s="388" customFormat="1" ht="24.75" customHeight="1" x14ac:dyDescent="0.2">
      <c r="A15" s="396" t="s">
        <v>626</v>
      </c>
      <c r="B15" s="401">
        <f t="shared" ref="B15:AF15" si="6">B16</f>
        <v>0</v>
      </c>
      <c r="C15" s="401">
        <f t="shared" si="6"/>
        <v>0</v>
      </c>
      <c r="D15" s="401">
        <f t="shared" si="6"/>
        <v>0</v>
      </c>
      <c r="E15" s="401">
        <f t="shared" si="6"/>
        <v>2</v>
      </c>
      <c r="F15" s="401">
        <f t="shared" si="6"/>
        <v>0</v>
      </c>
      <c r="G15" s="401">
        <f t="shared" si="6"/>
        <v>0</v>
      </c>
      <c r="H15" s="401">
        <f t="shared" si="6"/>
        <v>0</v>
      </c>
      <c r="I15" s="401">
        <f t="shared" si="6"/>
        <v>0</v>
      </c>
      <c r="J15" s="401">
        <f t="shared" si="6"/>
        <v>0</v>
      </c>
      <c r="K15" s="401">
        <f t="shared" si="6"/>
        <v>0</v>
      </c>
      <c r="L15" s="401">
        <f t="shared" si="6"/>
        <v>0</v>
      </c>
      <c r="M15" s="401">
        <f t="shared" si="6"/>
        <v>0</v>
      </c>
      <c r="N15" s="401">
        <f t="shared" si="6"/>
        <v>0</v>
      </c>
      <c r="O15" s="401">
        <f t="shared" si="6"/>
        <v>0</v>
      </c>
      <c r="P15" s="401">
        <f t="shared" si="6"/>
        <v>0</v>
      </c>
      <c r="Q15" s="401">
        <f t="shared" si="6"/>
        <v>0</v>
      </c>
      <c r="R15" s="401">
        <f t="shared" si="6"/>
        <v>0</v>
      </c>
      <c r="S15" s="401">
        <f t="shared" si="6"/>
        <v>0</v>
      </c>
      <c r="T15" s="401">
        <f t="shared" si="6"/>
        <v>0</v>
      </c>
      <c r="U15" s="401">
        <f t="shared" si="6"/>
        <v>0</v>
      </c>
      <c r="V15" s="401"/>
      <c r="W15" s="401">
        <f t="shared" si="6"/>
        <v>0</v>
      </c>
      <c r="X15" s="401">
        <f t="shared" si="6"/>
        <v>0</v>
      </c>
      <c r="Y15" s="401">
        <f t="shared" si="6"/>
        <v>0</v>
      </c>
      <c r="Z15" s="401">
        <f t="shared" si="6"/>
        <v>0</v>
      </c>
      <c r="AA15" s="401">
        <f t="shared" si="6"/>
        <v>0</v>
      </c>
      <c r="AB15" s="401">
        <f t="shared" si="6"/>
        <v>0</v>
      </c>
      <c r="AC15" s="401">
        <f t="shared" si="6"/>
        <v>0</v>
      </c>
      <c r="AD15" s="401">
        <f t="shared" si="6"/>
        <v>2</v>
      </c>
      <c r="AE15" s="401">
        <f t="shared" si="6"/>
        <v>0</v>
      </c>
      <c r="AF15" s="401">
        <f t="shared" si="6"/>
        <v>2</v>
      </c>
    </row>
    <row r="16" spans="1:32" s="388" customFormat="1" ht="14.25" customHeight="1" x14ac:dyDescent="0.2">
      <c r="A16" s="392">
        <v>8</v>
      </c>
      <c r="B16" s="390"/>
      <c r="C16" s="390"/>
      <c r="D16" s="390"/>
      <c r="E16" s="390">
        <f>12-11+1</f>
        <v>2</v>
      </c>
      <c r="F16" s="390"/>
      <c r="G16" s="390"/>
      <c r="H16" s="390"/>
      <c r="I16" s="390"/>
      <c r="J16" s="390"/>
      <c r="K16" s="390"/>
      <c r="L16" s="389"/>
      <c r="M16" s="390"/>
      <c r="N16" s="390"/>
      <c r="O16" s="390"/>
      <c r="P16" s="390"/>
      <c r="Q16" s="390"/>
      <c r="R16" s="390"/>
      <c r="S16" s="389"/>
      <c r="T16" s="390"/>
      <c r="U16" s="390"/>
      <c r="V16" s="389"/>
      <c r="W16" s="390"/>
      <c r="X16" s="390"/>
      <c r="Y16" s="390"/>
      <c r="Z16" s="390"/>
      <c r="AA16" s="390"/>
      <c r="AB16" s="390"/>
      <c r="AC16" s="389"/>
      <c r="AD16" s="389">
        <f>B16+C16+D16+E16+F16+G16+H16+I16+J16+Z16+K16+L16+M16+N16+O16+P16+Q16+R16+S16+T16+U16+V16+W16+X16+Y16+AA16+AB16+AC16</f>
        <v>2</v>
      </c>
      <c r="AE16" s="394"/>
      <c r="AF16" s="389">
        <f>AD16+AE16</f>
        <v>2</v>
      </c>
    </row>
    <row r="17" spans="1:32" s="388" customFormat="1" ht="18" customHeight="1" x14ac:dyDescent="0.2">
      <c r="A17" s="396" t="s">
        <v>627</v>
      </c>
      <c r="B17" s="401">
        <f t="shared" ref="B17:AF17" si="7">B18</f>
        <v>0</v>
      </c>
      <c r="C17" s="401">
        <f t="shared" si="7"/>
        <v>0</v>
      </c>
      <c r="D17" s="401">
        <f t="shared" si="7"/>
        <v>0</v>
      </c>
      <c r="E17" s="401">
        <f t="shared" si="7"/>
        <v>0</v>
      </c>
      <c r="F17" s="401">
        <f t="shared" si="7"/>
        <v>0</v>
      </c>
      <c r="G17" s="401">
        <f t="shared" si="7"/>
        <v>52</v>
      </c>
      <c r="H17" s="401">
        <f t="shared" si="7"/>
        <v>0</v>
      </c>
      <c r="I17" s="401">
        <f t="shared" si="7"/>
        <v>0</v>
      </c>
      <c r="J17" s="401">
        <f t="shared" si="7"/>
        <v>0</v>
      </c>
      <c r="K17" s="401">
        <f t="shared" si="7"/>
        <v>0</v>
      </c>
      <c r="L17" s="401">
        <f t="shared" si="7"/>
        <v>0</v>
      </c>
      <c r="M17" s="401">
        <f t="shared" si="7"/>
        <v>0</v>
      </c>
      <c r="N17" s="401">
        <f t="shared" si="7"/>
        <v>0</v>
      </c>
      <c r="O17" s="401">
        <f t="shared" si="7"/>
        <v>0</v>
      </c>
      <c r="P17" s="401">
        <f t="shared" si="7"/>
        <v>0</v>
      </c>
      <c r="Q17" s="401">
        <f t="shared" si="7"/>
        <v>0</v>
      </c>
      <c r="R17" s="401">
        <f t="shared" si="7"/>
        <v>0</v>
      </c>
      <c r="S17" s="401">
        <f t="shared" si="7"/>
        <v>0</v>
      </c>
      <c r="T17" s="401">
        <f t="shared" si="7"/>
        <v>0</v>
      </c>
      <c r="U17" s="401">
        <f t="shared" si="7"/>
        <v>0</v>
      </c>
      <c r="V17" s="401">
        <f t="shared" si="7"/>
        <v>0</v>
      </c>
      <c r="W17" s="401">
        <f t="shared" si="7"/>
        <v>0</v>
      </c>
      <c r="X17" s="401">
        <f t="shared" si="7"/>
        <v>0</v>
      </c>
      <c r="Y17" s="401">
        <f t="shared" si="7"/>
        <v>0</v>
      </c>
      <c r="Z17" s="401">
        <f t="shared" si="7"/>
        <v>0</v>
      </c>
      <c r="AA17" s="401">
        <f t="shared" si="7"/>
        <v>0</v>
      </c>
      <c r="AB17" s="401">
        <f t="shared" si="7"/>
        <v>0</v>
      </c>
      <c r="AC17" s="401">
        <f t="shared" si="7"/>
        <v>0</v>
      </c>
      <c r="AD17" s="401">
        <f t="shared" si="7"/>
        <v>52</v>
      </c>
      <c r="AE17" s="401">
        <f t="shared" si="7"/>
        <v>0</v>
      </c>
      <c r="AF17" s="401">
        <f t="shared" si="7"/>
        <v>52</v>
      </c>
    </row>
    <row r="18" spans="1:32" s="388" customFormat="1" ht="15.75" customHeight="1" x14ac:dyDescent="0.2">
      <c r="A18" s="392">
        <v>9</v>
      </c>
      <c r="B18" s="390"/>
      <c r="C18" s="390"/>
      <c r="D18" s="390"/>
      <c r="E18" s="390"/>
      <c r="F18" s="390"/>
      <c r="G18" s="390">
        <v>52</v>
      </c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89"/>
      <c r="T18" s="390"/>
      <c r="U18" s="390"/>
      <c r="V18" s="390"/>
      <c r="W18" s="390"/>
      <c r="X18" s="390"/>
      <c r="Y18" s="390"/>
      <c r="Z18" s="390"/>
      <c r="AA18" s="390"/>
      <c r="AB18" s="390"/>
      <c r="AC18" s="389"/>
      <c r="AD18" s="389">
        <f>B18+C18+D18+E18+F18+G18+H18+I18+J18+Z18+K18+L18+M18+N18+O18+P18+Q18+R18+S18+T18+U18+V18+W18+X18+Y18+AA18+AB18+AC18</f>
        <v>52</v>
      </c>
      <c r="AE18" s="394"/>
      <c r="AF18" s="389">
        <f>AD18+AE18</f>
        <v>52</v>
      </c>
    </row>
    <row r="19" spans="1:32" s="388" customFormat="1" ht="17.25" customHeight="1" x14ac:dyDescent="0.2">
      <c r="A19" s="396" t="s">
        <v>628</v>
      </c>
      <c r="B19" s="401">
        <f t="shared" ref="B19:AF19" si="8">B20+B21</f>
        <v>0</v>
      </c>
      <c r="C19" s="401">
        <f t="shared" si="8"/>
        <v>0</v>
      </c>
      <c r="D19" s="401">
        <f t="shared" si="8"/>
        <v>0</v>
      </c>
      <c r="E19" s="401">
        <f t="shared" si="8"/>
        <v>0</v>
      </c>
      <c r="F19" s="401">
        <f t="shared" si="8"/>
        <v>0</v>
      </c>
      <c r="G19" s="401">
        <f t="shared" si="8"/>
        <v>0</v>
      </c>
      <c r="H19" s="401">
        <f t="shared" si="8"/>
        <v>0</v>
      </c>
      <c r="I19" s="401">
        <f t="shared" si="8"/>
        <v>0</v>
      </c>
      <c r="J19" s="401">
        <f t="shared" si="8"/>
        <v>0</v>
      </c>
      <c r="K19" s="401">
        <f t="shared" si="8"/>
        <v>0</v>
      </c>
      <c r="L19" s="401">
        <f t="shared" si="8"/>
        <v>0</v>
      </c>
      <c r="M19" s="401">
        <f t="shared" si="8"/>
        <v>0</v>
      </c>
      <c r="N19" s="401">
        <f t="shared" si="8"/>
        <v>0</v>
      </c>
      <c r="O19" s="401">
        <f t="shared" si="8"/>
        <v>0</v>
      </c>
      <c r="P19" s="401">
        <f t="shared" si="8"/>
        <v>133</v>
      </c>
      <c r="Q19" s="401">
        <f t="shared" si="8"/>
        <v>0</v>
      </c>
      <c r="R19" s="401">
        <f t="shared" si="8"/>
        <v>0</v>
      </c>
      <c r="S19" s="401">
        <f t="shared" si="8"/>
        <v>0</v>
      </c>
      <c r="T19" s="401">
        <f t="shared" si="8"/>
        <v>0</v>
      </c>
      <c r="U19" s="401">
        <f t="shared" si="8"/>
        <v>0</v>
      </c>
      <c r="V19" s="401">
        <f t="shared" si="8"/>
        <v>0</v>
      </c>
      <c r="W19" s="401">
        <f t="shared" si="8"/>
        <v>0</v>
      </c>
      <c r="X19" s="401">
        <f t="shared" si="8"/>
        <v>34</v>
      </c>
      <c r="Y19" s="401">
        <f t="shared" si="8"/>
        <v>0</v>
      </c>
      <c r="Z19" s="401">
        <f t="shared" ref="Z19" si="9">Z20+Z21</f>
        <v>0</v>
      </c>
      <c r="AA19" s="401">
        <f t="shared" si="8"/>
        <v>0</v>
      </c>
      <c r="AB19" s="401">
        <f t="shared" si="8"/>
        <v>0</v>
      </c>
      <c r="AC19" s="401">
        <f t="shared" si="8"/>
        <v>0</v>
      </c>
      <c r="AD19" s="401">
        <f t="shared" si="8"/>
        <v>167</v>
      </c>
      <c r="AE19" s="401">
        <f t="shared" si="8"/>
        <v>0</v>
      </c>
      <c r="AF19" s="401">
        <f t="shared" si="8"/>
        <v>167</v>
      </c>
    </row>
    <row r="20" spans="1:32" s="388" customFormat="1" ht="14.25" customHeight="1" x14ac:dyDescent="0.2">
      <c r="A20" s="392">
        <v>10</v>
      </c>
      <c r="B20" s="390"/>
      <c r="C20" s="390"/>
      <c r="D20" s="390"/>
      <c r="E20" s="390"/>
      <c r="F20" s="390"/>
      <c r="G20" s="405"/>
      <c r="H20" s="390"/>
      <c r="I20" s="390"/>
      <c r="J20" s="390"/>
      <c r="K20" s="405"/>
      <c r="L20" s="390"/>
      <c r="M20" s="405"/>
      <c r="N20" s="405"/>
      <c r="O20" s="390"/>
      <c r="P20" s="389">
        <f>80+20+8</f>
        <v>108</v>
      </c>
      <c r="Q20" s="405"/>
      <c r="R20" s="390"/>
      <c r="S20" s="389"/>
      <c r="T20" s="390"/>
      <c r="U20" s="390"/>
      <c r="V20" s="390"/>
      <c r="W20" s="390"/>
      <c r="X20" s="390">
        <f>25+2+5+2</f>
        <v>34</v>
      </c>
      <c r="Y20" s="390"/>
      <c r="Z20" s="390"/>
      <c r="AA20" s="390"/>
      <c r="AB20" s="390"/>
      <c r="AC20" s="389"/>
      <c r="AD20" s="389">
        <f>B20+C20+D20+E20+F20+G20+H20+I20+J20+Z20+K20+L20+M20+N20+O20+P20+Q20+R20+S20+T20+U20+V20+W20+X20+Y20+AA20+AB20+AC20</f>
        <v>142</v>
      </c>
      <c r="AE20" s="394"/>
      <c r="AF20" s="389">
        <f>AD20+AE20</f>
        <v>142</v>
      </c>
    </row>
    <row r="21" spans="1:32" s="388" customFormat="1" ht="14.25" customHeight="1" x14ac:dyDescent="0.2">
      <c r="A21" s="392">
        <v>11</v>
      </c>
      <c r="B21" s="391"/>
      <c r="C21" s="391"/>
      <c r="D21" s="391"/>
      <c r="E21" s="391"/>
      <c r="F21" s="391"/>
      <c r="G21" s="406"/>
      <c r="H21" s="391"/>
      <c r="I21" s="391"/>
      <c r="J21" s="391"/>
      <c r="K21" s="406"/>
      <c r="L21" s="390"/>
      <c r="M21" s="406"/>
      <c r="N21" s="406"/>
      <c r="O21" s="391"/>
      <c r="P21" s="389">
        <f>35-10</f>
        <v>25</v>
      </c>
      <c r="Q21" s="406"/>
      <c r="R21" s="391"/>
      <c r="S21" s="389"/>
      <c r="T21" s="390"/>
      <c r="U21" s="390"/>
      <c r="V21" s="390"/>
      <c r="W21" s="390"/>
      <c r="X21" s="390"/>
      <c r="Y21" s="391"/>
      <c r="Z21" s="391"/>
      <c r="AA21" s="391"/>
      <c r="AB21" s="391"/>
      <c r="AC21" s="389"/>
      <c r="AD21" s="389">
        <f>B21+C21+D21+E21+F21+G21+H21+I21+J21+Z21+K21+L21+M21+N21+O21+P21+Q21+R21+S21+T21+U21+V21+W21+X21+Y21+AA21+AB21+AC21</f>
        <v>25</v>
      </c>
      <c r="AE21" s="394"/>
      <c r="AF21" s="389">
        <f>AD21+AE21</f>
        <v>25</v>
      </c>
    </row>
    <row r="22" spans="1:32" s="388" customFormat="1" ht="21" customHeight="1" x14ac:dyDescent="0.2">
      <c r="A22" s="396" t="s">
        <v>629</v>
      </c>
      <c r="B22" s="401">
        <f t="shared" ref="B22:AF22" si="10">SUM(B23:B28)</f>
        <v>330</v>
      </c>
      <c r="C22" s="401">
        <f t="shared" si="10"/>
        <v>0</v>
      </c>
      <c r="D22" s="401">
        <f t="shared" si="10"/>
        <v>0</v>
      </c>
      <c r="E22" s="401">
        <f t="shared" ref="E22" si="11">SUM(E23:E28)</f>
        <v>118</v>
      </c>
      <c r="F22" s="401">
        <f t="shared" si="10"/>
        <v>0</v>
      </c>
      <c r="G22" s="401">
        <f t="shared" si="10"/>
        <v>0</v>
      </c>
      <c r="H22" s="401">
        <f t="shared" si="10"/>
        <v>0</v>
      </c>
      <c r="I22" s="401">
        <f t="shared" si="10"/>
        <v>180</v>
      </c>
      <c r="J22" s="401">
        <f t="shared" si="10"/>
        <v>91</v>
      </c>
      <c r="K22" s="401">
        <f t="shared" si="10"/>
        <v>0</v>
      </c>
      <c r="L22" s="401">
        <f t="shared" si="10"/>
        <v>0</v>
      </c>
      <c r="M22" s="401">
        <f t="shared" si="10"/>
        <v>0</v>
      </c>
      <c r="N22" s="401">
        <f t="shared" si="10"/>
        <v>1</v>
      </c>
      <c r="O22" s="401">
        <f t="shared" si="10"/>
        <v>16</v>
      </c>
      <c r="P22" s="401">
        <f t="shared" si="10"/>
        <v>0</v>
      </c>
      <c r="Q22" s="401">
        <f t="shared" si="10"/>
        <v>0</v>
      </c>
      <c r="R22" s="401">
        <f t="shared" si="10"/>
        <v>7</v>
      </c>
      <c r="S22" s="401">
        <f t="shared" si="10"/>
        <v>0</v>
      </c>
      <c r="T22" s="401">
        <f t="shared" si="10"/>
        <v>25</v>
      </c>
      <c r="U22" s="401">
        <f t="shared" si="10"/>
        <v>0</v>
      </c>
      <c r="V22" s="401">
        <f t="shared" si="10"/>
        <v>0</v>
      </c>
      <c r="W22" s="401">
        <f t="shared" si="10"/>
        <v>0</v>
      </c>
      <c r="X22" s="401">
        <f t="shared" si="10"/>
        <v>163</v>
      </c>
      <c r="Y22" s="401">
        <f t="shared" si="10"/>
        <v>0</v>
      </c>
      <c r="Z22" s="401">
        <f t="shared" ref="Z22" si="12">SUM(Z23:Z28)</f>
        <v>0</v>
      </c>
      <c r="AA22" s="401">
        <f t="shared" si="10"/>
        <v>0</v>
      </c>
      <c r="AB22" s="401">
        <f t="shared" si="10"/>
        <v>0</v>
      </c>
      <c r="AC22" s="401">
        <f t="shared" si="10"/>
        <v>0</v>
      </c>
      <c r="AD22" s="401">
        <f t="shared" si="10"/>
        <v>931</v>
      </c>
      <c r="AE22" s="401">
        <f t="shared" si="10"/>
        <v>0</v>
      </c>
      <c r="AF22" s="401">
        <f t="shared" si="10"/>
        <v>931</v>
      </c>
    </row>
    <row r="23" spans="1:32" s="388" customFormat="1" ht="14.25" customHeight="1" x14ac:dyDescent="0.2">
      <c r="A23" s="392">
        <v>12</v>
      </c>
      <c r="B23" s="389">
        <f>320-22+5</f>
        <v>303</v>
      </c>
      <c r="C23" s="389"/>
      <c r="D23" s="389"/>
      <c r="E23" s="389">
        <f>65-5+3</f>
        <v>63</v>
      </c>
      <c r="F23" s="389"/>
      <c r="G23" s="389"/>
      <c r="H23" s="389"/>
      <c r="I23" s="389">
        <f>60+100-4+15</f>
        <v>171</v>
      </c>
      <c r="J23" s="390">
        <f>114-1-4-13-10-1</f>
        <v>85</v>
      </c>
      <c r="K23" s="389"/>
      <c r="L23" s="390">
        <v>0</v>
      </c>
      <c r="M23" s="389"/>
      <c r="N23" s="389"/>
      <c r="O23" s="389">
        <f>6-2</f>
        <v>4</v>
      </c>
      <c r="P23" s="389"/>
      <c r="Q23" s="389"/>
      <c r="R23" s="390">
        <f>4+5-2</f>
        <v>7</v>
      </c>
      <c r="S23" s="390"/>
      <c r="T23" s="390">
        <v>7</v>
      </c>
      <c r="U23" s="390"/>
      <c r="V23" s="390"/>
      <c r="W23" s="390"/>
      <c r="X23" s="390">
        <f>180-34+2</f>
        <v>148</v>
      </c>
      <c r="Y23" s="390"/>
      <c r="Z23" s="390"/>
      <c r="AA23" s="390"/>
      <c r="AB23" s="389"/>
      <c r="AC23" s="389"/>
      <c r="AD23" s="389">
        <f t="shared" ref="AD23:AD28" si="13">B23+C23+D23+E23+F23+G23+H23+I23+J23+Z23+K23+L23+M23+N23+O23+P23+Q23+R23+S23+T23+U23+V23+W23+X23+Y23+AA23+AB23+AC23</f>
        <v>788</v>
      </c>
      <c r="AE23" s="394"/>
      <c r="AF23" s="389">
        <f t="shared" ref="AF23:AF28" si="14">AD23+AE23</f>
        <v>788</v>
      </c>
    </row>
    <row r="24" spans="1:32" s="388" customFormat="1" ht="14.25" customHeight="1" x14ac:dyDescent="0.2">
      <c r="A24" s="392">
        <v>13</v>
      </c>
      <c r="B24" s="389">
        <f>5-5</f>
        <v>0</v>
      </c>
      <c r="C24" s="389"/>
      <c r="D24" s="389"/>
      <c r="E24" s="389"/>
      <c r="F24" s="389"/>
      <c r="G24" s="407"/>
      <c r="H24" s="389"/>
      <c r="I24" s="389"/>
      <c r="J24" s="390"/>
      <c r="K24" s="407"/>
      <c r="L24" s="390"/>
      <c r="M24" s="407"/>
      <c r="N24" s="407"/>
      <c r="O24" s="389"/>
      <c r="P24" s="389"/>
      <c r="Q24" s="407"/>
      <c r="R24" s="390">
        <f>6-5-1</f>
        <v>0</v>
      </c>
      <c r="S24" s="390"/>
      <c r="T24" s="390"/>
      <c r="U24" s="390"/>
      <c r="V24" s="390"/>
      <c r="W24" s="390"/>
      <c r="X24" s="390"/>
      <c r="Y24" s="390"/>
      <c r="Z24" s="390"/>
      <c r="AA24" s="390"/>
      <c r="AB24" s="389"/>
      <c r="AC24" s="389"/>
      <c r="AD24" s="389">
        <f t="shared" si="13"/>
        <v>0</v>
      </c>
      <c r="AE24" s="394"/>
      <c r="AF24" s="389">
        <f t="shared" si="14"/>
        <v>0</v>
      </c>
    </row>
    <row r="25" spans="1:32" s="388" customFormat="1" ht="14.25" customHeight="1" x14ac:dyDescent="0.2">
      <c r="A25" s="392">
        <v>14</v>
      </c>
      <c r="B25" s="390">
        <v>15</v>
      </c>
      <c r="C25" s="390"/>
      <c r="D25" s="390"/>
      <c r="E25" s="390"/>
      <c r="F25" s="390"/>
      <c r="G25" s="405"/>
      <c r="H25" s="390"/>
      <c r="I25" s="390">
        <f>3-2</f>
        <v>1</v>
      </c>
      <c r="J25" s="390">
        <f>8-1-2-4</f>
        <v>1</v>
      </c>
      <c r="K25" s="405"/>
      <c r="L25" s="390"/>
      <c r="M25" s="405"/>
      <c r="N25" s="405"/>
      <c r="O25" s="390"/>
      <c r="P25" s="390"/>
      <c r="Q25" s="405"/>
      <c r="R25" s="390"/>
      <c r="S25" s="390"/>
      <c r="T25" s="390"/>
      <c r="U25" s="390"/>
      <c r="V25" s="390"/>
      <c r="W25" s="390"/>
      <c r="X25" s="390">
        <f>12-2+1</f>
        <v>11</v>
      </c>
      <c r="Y25" s="390"/>
      <c r="Z25" s="390"/>
      <c r="AA25" s="390"/>
      <c r="AB25" s="390"/>
      <c r="AC25" s="389"/>
      <c r="AD25" s="389">
        <f t="shared" si="13"/>
        <v>28</v>
      </c>
      <c r="AE25" s="394"/>
      <c r="AF25" s="389">
        <f t="shared" si="14"/>
        <v>28</v>
      </c>
    </row>
    <row r="26" spans="1:32" s="388" customFormat="1" ht="12.75" customHeight="1" x14ac:dyDescent="0.2">
      <c r="A26" s="392">
        <v>15</v>
      </c>
      <c r="B26" s="391"/>
      <c r="C26" s="391"/>
      <c r="D26" s="391"/>
      <c r="E26" s="391">
        <f>60-1-4</f>
        <v>55</v>
      </c>
      <c r="F26" s="391"/>
      <c r="G26" s="406"/>
      <c r="H26" s="391"/>
      <c r="I26" s="391"/>
      <c r="J26" s="390"/>
      <c r="K26" s="406"/>
      <c r="L26" s="390"/>
      <c r="M26" s="406"/>
      <c r="N26" s="406"/>
      <c r="O26" s="390">
        <f>15-1-2</f>
        <v>12</v>
      </c>
      <c r="P26" s="391"/>
      <c r="Q26" s="406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1"/>
      <c r="AC26" s="389"/>
      <c r="AD26" s="389">
        <f t="shared" si="13"/>
        <v>67</v>
      </c>
      <c r="AE26" s="394"/>
      <c r="AF26" s="389">
        <f t="shared" si="14"/>
        <v>67</v>
      </c>
    </row>
    <row r="27" spans="1:32" s="388" customFormat="1" ht="14.25" customHeight="1" x14ac:dyDescent="0.2">
      <c r="A27" s="392">
        <v>16</v>
      </c>
      <c r="B27" s="390">
        <f>15-4</f>
        <v>11</v>
      </c>
      <c r="C27" s="390"/>
      <c r="D27" s="390"/>
      <c r="E27" s="390"/>
      <c r="F27" s="390"/>
      <c r="G27" s="405"/>
      <c r="H27" s="390"/>
      <c r="I27" s="390"/>
      <c r="J27" s="390"/>
      <c r="K27" s="405"/>
      <c r="L27" s="390"/>
      <c r="M27" s="405"/>
      <c r="N27" s="390">
        <f>0+1</f>
        <v>1</v>
      </c>
      <c r="O27" s="390"/>
      <c r="P27" s="390"/>
      <c r="Q27" s="405"/>
      <c r="R27" s="390"/>
      <c r="S27" s="390"/>
      <c r="T27" s="390">
        <v>18</v>
      </c>
      <c r="U27" s="390"/>
      <c r="V27" s="390"/>
      <c r="W27" s="390"/>
      <c r="X27" s="390">
        <f>33-12-3-14</f>
        <v>4</v>
      </c>
      <c r="Y27" s="390"/>
      <c r="Z27" s="390"/>
      <c r="AA27" s="390"/>
      <c r="AB27" s="390"/>
      <c r="AC27" s="389"/>
      <c r="AD27" s="389">
        <f t="shared" si="13"/>
        <v>34</v>
      </c>
      <c r="AE27" s="394"/>
      <c r="AF27" s="389">
        <f t="shared" si="14"/>
        <v>34</v>
      </c>
    </row>
    <row r="28" spans="1:32" s="388" customFormat="1" ht="14.25" customHeight="1" x14ac:dyDescent="0.2">
      <c r="A28" s="392">
        <v>17</v>
      </c>
      <c r="B28" s="391">
        <f>15-9-5</f>
        <v>1</v>
      </c>
      <c r="C28" s="391"/>
      <c r="D28" s="391"/>
      <c r="E28" s="391"/>
      <c r="F28" s="391"/>
      <c r="G28" s="406"/>
      <c r="H28" s="391"/>
      <c r="I28" s="391">
        <f>20-5-6-2+2-1</f>
        <v>8</v>
      </c>
      <c r="J28" s="390">
        <f>10-2-2-1</f>
        <v>5</v>
      </c>
      <c r="K28" s="406"/>
      <c r="L28" s="391"/>
      <c r="M28" s="406"/>
      <c r="N28" s="406"/>
      <c r="O28" s="391"/>
      <c r="P28" s="391"/>
      <c r="Q28" s="406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1"/>
      <c r="AC28" s="389"/>
      <c r="AD28" s="389">
        <f t="shared" si="13"/>
        <v>14</v>
      </c>
      <c r="AE28" s="394"/>
      <c r="AF28" s="389">
        <f t="shared" si="14"/>
        <v>14</v>
      </c>
    </row>
    <row r="29" spans="1:32" s="388" customFormat="1" ht="18.75" customHeight="1" x14ac:dyDescent="0.2">
      <c r="A29" s="396" t="s">
        <v>630</v>
      </c>
      <c r="B29" s="401">
        <f t="shared" ref="B29:AF29" si="15">B30+B31</f>
        <v>139</v>
      </c>
      <c r="C29" s="401">
        <f t="shared" si="15"/>
        <v>0</v>
      </c>
      <c r="D29" s="401">
        <f t="shared" si="15"/>
        <v>0</v>
      </c>
      <c r="E29" s="401">
        <f t="shared" si="15"/>
        <v>216</v>
      </c>
      <c r="F29" s="401">
        <f t="shared" si="15"/>
        <v>487</v>
      </c>
      <c r="G29" s="401">
        <f t="shared" si="15"/>
        <v>0</v>
      </c>
      <c r="H29" s="401">
        <f t="shared" si="15"/>
        <v>0</v>
      </c>
      <c r="I29" s="401">
        <f t="shared" si="15"/>
        <v>0</v>
      </c>
      <c r="J29" s="401">
        <f t="shared" si="15"/>
        <v>0</v>
      </c>
      <c r="K29" s="401">
        <f t="shared" si="15"/>
        <v>0</v>
      </c>
      <c r="L29" s="401">
        <f t="shared" si="15"/>
        <v>0</v>
      </c>
      <c r="M29" s="401">
        <f t="shared" si="15"/>
        <v>0</v>
      </c>
      <c r="N29" s="401">
        <f t="shared" si="15"/>
        <v>0</v>
      </c>
      <c r="O29" s="401">
        <f t="shared" si="15"/>
        <v>58</v>
      </c>
      <c r="P29" s="401">
        <f t="shared" si="15"/>
        <v>0</v>
      </c>
      <c r="Q29" s="401">
        <f t="shared" si="15"/>
        <v>76</v>
      </c>
      <c r="R29" s="401">
        <f t="shared" si="15"/>
        <v>0</v>
      </c>
      <c r="S29" s="401">
        <f t="shared" si="15"/>
        <v>0</v>
      </c>
      <c r="T29" s="401">
        <f t="shared" si="15"/>
        <v>0</v>
      </c>
      <c r="U29" s="401">
        <f t="shared" si="15"/>
        <v>0</v>
      </c>
      <c r="V29" s="401">
        <f t="shared" si="15"/>
        <v>0</v>
      </c>
      <c r="W29" s="401">
        <f t="shared" si="15"/>
        <v>0</v>
      </c>
      <c r="X29" s="401">
        <f t="shared" si="15"/>
        <v>0</v>
      </c>
      <c r="Y29" s="401">
        <f t="shared" si="15"/>
        <v>0</v>
      </c>
      <c r="Z29" s="401">
        <f t="shared" ref="Z29" si="16">Z30+Z31</f>
        <v>0</v>
      </c>
      <c r="AA29" s="401">
        <f t="shared" si="15"/>
        <v>0</v>
      </c>
      <c r="AB29" s="401">
        <f t="shared" si="15"/>
        <v>10</v>
      </c>
      <c r="AC29" s="401">
        <f t="shared" si="15"/>
        <v>0</v>
      </c>
      <c r="AD29" s="401">
        <f t="shared" si="15"/>
        <v>986</v>
      </c>
      <c r="AE29" s="401">
        <f t="shared" si="15"/>
        <v>0</v>
      </c>
      <c r="AF29" s="401">
        <f t="shared" si="15"/>
        <v>986</v>
      </c>
    </row>
    <row r="30" spans="1:32" s="388" customFormat="1" ht="14.25" customHeight="1" x14ac:dyDescent="0.2">
      <c r="A30" s="392">
        <v>18</v>
      </c>
      <c r="B30" s="389">
        <f>130-30+9</f>
        <v>109</v>
      </c>
      <c r="C30" s="389"/>
      <c r="D30" s="389"/>
      <c r="E30" s="389">
        <f>144+13+9</f>
        <v>166</v>
      </c>
      <c r="F30" s="389">
        <f>340-26+76+28</f>
        <v>418</v>
      </c>
      <c r="G30" s="389"/>
      <c r="H30" s="389"/>
      <c r="I30" s="389"/>
      <c r="J30" s="389"/>
      <c r="K30" s="389"/>
      <c r="L30" s="389"/>
      <c r="M30" s="389"/>
      <c r="N30" s="389"/>
      <c r="O30" s="389">
        <f>90-30-5-6-10</f>
        <v>39</v>
      </c>
      <c r="P30" s="389"/>
      <c r="Q30" s="389">
        <f>0+76</f>
        <v>76</v>
      </c>
      <c r="R30" s="389"/>
      <c r="S30" s="389"/>
      <c r="T30" s="389"/>
      <c r="U30" s="389"/>
      <c r="V30" s="389"/>
      <c r="W30" s="389"/>
      <c r="X30" s="389"/>
      <c r="Y30" s="389"/>
      <c r="Z30" s="390"/>
      <c r="AA30" s="389"/>
      <c r="AB30" s="389">
        <f>0+10</f>
        <v>10</v>
      </c>
      <c r="AC30" s="389"/>
      <c r="AD30" s="389">
        <f>B30+C30+D30+E30+F30+G30+H30+I30+J30+Z30+K30+L30+M30+N30+O30+P30+Q30+R30+S30+T30+U30+V30+W30+X30+Y30+AA30+AB30+AC30</f>
        <v>818</v>
      </c>
      <c r="AE30" s="394"/>
      <c r="AF30" s="389">
        <f>AD30+AE30</f>
        <v>818</v>
      </c>
    </row>
    <row r="31" spans="1:32" s="388" customFormat="1" ht="14.25" customHeight="1" x14ac:dyDescent="0.2">
      <c r="A31" s="392">
        <v>19</v>
      </c>
      <c r="B31" s="389">
        <v>30</v>
      </c>
      <c r="C31" s="389"/>
      <c r="D31" s="389"/>
      <c r="E31" s="389">
        <f>56+3-5-4</f>
        <v>50</v>
      </c>
      <c r="F31" s="389">
        <f>257-163-28+3</f>
        <v>69</v>
      </c>
      <c r="G31" s="389"/>
      <c r="H31" s="389"/>
      <c r="I31" s="389"/>
      <c r="J31" s="389"/>
      <c r="K31" s="389"/>
      <c r="L31" s="389"/>
      <c r="M31" s="389"/>
      <c r="N31" s="389"/>
      <c r="O31" s="389">
        <f>30-5-4-2</f>
        <v>19</v>
      </c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90"/>
      <c r="AA31" s="389"/>
      <c r="AB31" s="389"/>
      <c r="AC31" s="389"/>
      <c r="AD31" s="389">
        <f>B31+C31+D31+E31+F31+G31+H31+I31+J31+Z31+K31+L31+M31+N31+O31+P31+Q31+R31+S31+T31+U31+V31+W31+X31+Y31+AA31+AB31+AC31</f>
        <v>168</v>
      </c>
      <c r="AE31" s="394"/>
      <c r="AF31" s="389">
        <f>AD31+AE31</f>
        <v>168</v>
      </c>
    </row>
    <row r="32" spans="1:32" s="388" customFormat="1" ht="18.75" customHeight="1" x14ac:dyDescent="0.2">
      <c r="A32" s="396" t="s">
        <v>631</v>
      </c>
      <c r="B32" s="401">
        <f t="shared" ref="B32" si="17">B33+B34+B35+B36+B37+B38</f>
        <v>170</v>
      </c>
      <c r="C32" s="401">
        <f>C33+C34+C35+C36+C37+C38</f>
        <v>1587</v>
      </c>
      <c r="D32" s="401">
        <f t="shared" ref="D32:AF32" si="18">D33+D34+D35+D36+D37+D38</f>
        <v>0</v>
      </c>
      <c r="E32" s="401">
        <f t="shared" si="18"/>
        <v>97</v>
      </c>
      <c r="F32" s="401">
        <f t="shared" si="18"/>
        <v>0</v>
      </c>
      <c r="G32" s="401">
        <f t="shared" si="18"/>
        <v>0</v>
      </c>
      <c r="H32" s="401">
        <f t="shared" si="18"/>
        <v>0</v>
      </c>
      <c r="I32" s="401">
        <f t="shared" si="18"/>
        <v>0</v>
      </c>
      <c r="J32" s="401">
        <f t="shared" si="18"/>
        <v>0</v>
      </c>
      <c r="K32" s="401">
        <f t="shared" si="18"/>
        <v>0</v>
      </c>
      <c r="L32" s="401">
        <f t="shared" si="18"/>
        <v>0</v>
      </c>
      <c r="M32" s="401">
        <f t="shared" si="18"/>
        <v>0</v>
      </c>
      <c r="N32" s="401">
        <f t="shared" si="18"/>
        <v>0</v>
      </c>
      <c r="O32" s="401">
        <f t="shared" si="18"/>
        <v>0</v>
      </c>
      <c r="P32" s="401">
        <f t="shared" si="18"/>
        <v>0</v>
      </c>
      <c r="Q32" s="401">
        <f t="shared" si="18"/>
        <v>0</v>
      </c>
      <c r="R32" s="401">
        <f t="shared" si="18"/>
        <v>0</v>
      </c>
      <c r="S32" s="401">
        <f t="shared" si="18"/>
        <v>0</v>
      </c>
      <c r="T32" s="401">
        <f t="shared" si="18"/>
        <v>0</v>
      </c>
      <c r="U32" s="401">
        <f t="shared" si="18"/>
        <v>0</v>
      </c>
      <c r="V32" s="401">
        <f t="shared" si="18"/>
        <v>10</v>
      </c>
      <c r="W32" s="401">
        <f t="shared" si="18"/>
        <v>0</v>
      </c>
      <c r="X32" s="401">
        <f t="shared" si="18"/>
        <v>126</v>
      </c>
      <c r="Y32" s="401">
        <f t="shared" si="18"/>
        <v>3</v>
      </c>
      <c r="Z32" s="401">
        <f t="shared" si="18"/>
        <v>0</v>
      </c>
      <c r="AA32" s="401">
        <f t="shared" si="18"/>
        <v>0</v>
      </c>
      <c r="AB32" s="401">
        <f t="shared" si="18"/>
        <v>0</v>
      </c>
      <c r="AC32" s="401">
        <f t="shared" si="18"/>
        <v>0</v>
      </c>
      <c r="AD32" s="401">
        <f t="shared" si="18"/>
        <v>1993</v>
      </c>
      <c r="AE32" s="401">
        <f t="shared" si="18"/>
        <v>0</v>
      </c>
      <c r="AF32" s="401">
        <f t="shared" si="18"/>
        <v>1993</v>
      </c>
    </row>
    <row r="33" spans="1:32" s="388" customFormat="1" ht="14.25" customHeight="1" x14ac:dyDescent="0.2">
      <c r="A33" s="392">
        <v>20</v>
      </c>
      <c r="B33" s="390">
        <v>50</v>
      </c>
      <c r="C33" s="390">
        <v>1167</v>
      </c>
      <c r="D33" s="390"/>
      <c r="E33" s="390">
        <f>3-2-1</f>
        <v>0</v>
      </c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>
        <v>10</v>
      </c>
      <c r="W33" s="390"/>
      <c r="X33" s="390">
        <f>100+25+1</f>
        <v>126</v>
      </c>
      <c r="Y33" s="390">
        <v>3</v>
      </c>
      <c r="Z33" s="390"/>
      <c r="AA33" s="390"/>
      <c r="AB33" s="390"/>
      <c r="AC33" s="390"/>
      <c r="AD33" s="389">
        <f t="shared" ref="AD33:AD38" si="19">B33+C33+D33+E33+F33+G33+H33+I33+J33+Z33+K33+L33+M33+N33+O33+P33+Q33+R33+S33+T33+U33+V33+W33+X33+Y33+AA33+AB33+AC33</f>
        <v>1356</v>
      </c>
      <c r="AE33" s="394"/>
      <c r="AF33" s="389">
        <f t="shared" ref="AF33:AF38" si="20">AD33+AE33</f>
        <v>1356</v>
      </c>
    </row>
    <row r="34" spans="1:32" s="388" customFormat="1" ht="14.25" customHeight="1" x14ac:dyDescent="0.2">
      <c r="A34" s="392">
        <v>21</v>
      </c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89">
        <f t="shared" si="19"/>
        <v>0</v>
      </c>
      <c r="AE34" s="394"/>
      <c r="AF34" s="389">
        <f t="shared" si="20"/>
        <v>0</v>
      </c>
    </row>
    <row r="35" spans="1:32" s="388" customFormat="1" ht="14.25" customHeight="1" x14ac:dyDescent="0.2">
      <c r="A35" s="392">
        <v>22</v>
      </c>
      <c r="B35" s="390">
        <v>120</v>
      </c>
      <c r="C35" s="390">
        <v>250</v>
      </c>
      <c r="D35" s="390"/>
      <c r="E35" s="390">
        <v>97</v>
      </c>
      <c r="F35" s="390"/>
      <c r="G35" s="405"/>
      <c r="H35" s="390"/>
      <c r="I35" s="390"/>
      <c r="J35" s="390"/>
      <c r="K35" s="405"/>
      <c r="L35" s="390"/>
      <c r="M35" s="405"/>
      <c r="N35" s="405"/>
      <c r="O35" s="390"/>
      <c r="P35" s="390"/>
      <c r="Q35" s="405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89">
        <f t="shared" si="19"/>
        <v>467</v>
      </c>
      <c r="AE35" s="394"/>
      <c r="AF35" s="389">
        <f t="shared" si="20"/>
        <v>467</v>
      </c>
    </row>
    <row r="36" spans="1:32" s="388" customFormat="1" ht="14.25" customHeight="1" x14ac:dyDescent="0.2">
      <c r="A36" s="392">
        <v>23</v>
      </c>
      <c r="B36" s="390"/>
      <c r="C36" s="390"/>
      <c r="D36" s="390"/>
      <c r="E36" s="390"/>
      <c r="F36" s="390"/>
      <c r="G36" s="405"/>
      <c r="H36" s="390"/>
      <c r="I36" s="390"/>
      <c r="J36" s="390"/>
      <c r="K36" s="405"/>
      <c r="L36" s="390"/>
      <c r="M36" s="405"/>
      <c r="N36" s="405"/>
      <c r="O36" s="390"/>
      <c r="P36" s="390"/>
      <c r="Q36" s="405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89">
        <f t="shared" si="19"/>
        <v>0</v>
      </c>
      <c r="AE36" s="394"/>
      <c r="AF36" s="389">
        <f t="shared" si="20"/>
        <v>0</v>
      </c>
    </row>
    <row r="37" spans="1:32" s="388" customFormat="1" ht="14.25" customHeight="1" x14ac:dyDescent="0.2">
      <c r="A37" s="392">
        <v>24</v>
      </c>
      <c r="B37" s="390"/>
      <c r="C37" s="390">
        <v>170</v>
      </c>
      <c r="D37" s="390"/>
      <c r="E37" s="390"/>
      <c r="F37" s="390"/>
      <c r="G37" s="405"/>
      <c r="H37" s="390"/>
      <c r="I37" s="390"/>
      <c r="J37" s="390"/>
      <c r="K37" s="405"/>
      <c r="L37" s="390"/>
      <c r="M37" s="405"/>
      <c r="N37" s="405"/>
      <c r="O37" s="390"/>
      <c r="P37" s="390"/>
      <c r="Q37" s="405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89">
        <f t="shared" si="19"/>
        <v>170</v>
      </c>
      <c r="AE37" s="394"/>
      <c r="AF37" s="389">
        <f t="shared" si="20"/>
        <v>170</v>
      </c>
    </row>
    <row r="38" spans="1:32" s="388" customFormat="1" ht="14.25" customHeight="1" x14ac:dyDescent="0.2">
      <c r="A38" s="392">
        <v>25</v>
      </c>
      <c r="B38" s="390"/>
      <c r="C38" s="390"/>
      <c r="D38" s="390"/>
      <c r="E38" s="390"/>
      <c r="F38" s="390"/>
      <c r="G38" s="405"/>
      <c r="H38" s="390"/>
      <c r="I38" s="390"/>
      <c r="J38" s="390"/>
      <c r="K38" s="405"/>
      <c r="L38" s="390"/>
      <c r="M38" s="405"/>
      <c r="N38" s="405"/>
      <c r="O38" s="390"/>
      <c r="P38" s="390"/>
      <c r="Q38" s="405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89">
        <f t="shared" si="19"/>
        <v>0</v>
      </c>
      <c r="AE38" s="394"/>
      <c r="AF38" s="389">
        <f t="shared" si="20"/>
        <v>0</v>
      </c>
    </row>
    <row r="39" spans="1:32" s="388" customFormat="1" ht="19.5" customHeight="1" x14ac:dyDescent="0.2">
      <c r="A39" s="395" t="s">
        <v>632</v>
      </c>
      <c r="B39" s="401">
        <f t="shared" ref="B39:AF39" si="21">B40+B41+B42</f>
        <v>146</v>
      </c>
      <c r="C39" s="401">
        <f t="shared" si="21"/>
        <v>0</v>
      </c>
      <c r="D39" s="401">
        <f t="shared" si="21"/>
        <v>0</v>
      </c>
      <c r="E39" s="401">
        <f t="shared" si="21"/>
        <v>70</v>
      </c>
      <c r="F39" s="401">
        <f t="shared" si="21"/>
        <v>0</v>
      </c>
      <c r="G39" s="401">
        <f t="shared" si="21"/>
        <v>0</v>
      </c>
      <c r="H39" s="401">
        <f t="shared" si="21"/>
        <v>0</v>
      </c>
      <c r="I39" s="401">
        <f t="shared" si="21"/>
        <v>2</v>
      </c>
      <c r="J39" s="401">
        <f t="shared" si="21"/>
        <v>71</v>
      </c>
      <c r="K39" s="401">
        <f t="shared" si="21"/>
        <v>0</v>
      </c>
      <c r="L39" s="401">
        <f t="shared" si="21"/>
        <v>0</v>
      </c>
      <c r="M39" s="401">
        <f t="shared" si="21"/>
        <v>0</v>
      </c>
      <c r="N39" s="401">
        <f t="shared" si="21"/>
        <v>111</v>
      </c>
      <c r="O39" s="401">
        <f t="shared" si="21"/>
        <v>0</v>
      </c>
      <c r="P39" s="401">
        <f t="shared" si="21"/>
        <v>0</v>
      </c>
      <c r="Q39" s="401">
        <f t="shared" si="21"/>
        <v>0</v>
      </c>
      <c r="R39" s="401">
        <f t="shared" si="21"/>
        <v>0</v>
      </c>
      <c r="S39" s="401">
        <f t="shared" si="21"/>
        <v>0</v>
      </c>
      <c r="T39" s="401">
        <f t="shared" si="21"/>
        <v>0</v>
      </c>
      <c r="U39" s="401">
        <f t="shared" si="21"/>
        <v>0</v>
      </c>
      <c r="V39" s="401">
        <f t="shared" si="21"/>
        <v>0</v>
      </c>
      <c r="W39" s="401">
        <f t="shared" si="21"/>
        <v>0</v>
      </c>
      <c r="X39" s="401">
        <f t="shared" si="21"/>
        <v>0</v>
      </c>
      <c r="Y39" s="401">
        <f t="shared" si="21"/>
        <v>0</v>
      </c>
      <c r="Z39" s="401">
        <f t="shared" ref="Z39" si="22">Z40+Z41+Z42</f>
        <v>0</v>
      </c>
      <c r="AA39" s="401">
        <f t="shared" si="21"/>
        <v>0</v>
      </c>
      <c r="AB39" s="401">
        <f t="shared" si="21"/>
        <v>0</v>
      </c>
      <c r="AC39" s="401">
        <f t="shared" si="21"/>
        <v>0</v>
      </c>
      <c r="AD39" s="401">
        <f t="shared" si="21"/>
        <v>400</v>
      </c>
      <c r="AE39" s="401">
        <f t="shared" si="21"/>
        <v>0</v>
      </c>
      <c r="AF39" s="401">
        <f t="shared" si="21"/>
        <v>400</v>
      </c>
    </row>
    <row r="40" spans="1:32" s="388" customFormat="1" ht="15" customHeight="1" x14ac:dyDescent="0.2">
      <c r="A40" s="392">
        <v>26</v>
      </c>
      <c r="B40" s="390">
        <v>120</v>
      </c>
      <c r="C40" s="390"/>
      <c r="D40" s="390"/>
      <c r="E40" s="390">
        <f>35+2+10+5</f>
        <v>52</v>
      </c>
      <c r="F40" s="390"/>
      <c r="G40" s="390"/>
      <c r="H40" s="390"/>
      <c r="I40" s="390"/>
      <c r="J40" s="390">
        <f>25-5</f>
        <v>20</v>
      </c>
      <c r="K40" s="390"/>
      <c r="L40" s="390"/>
      <c r="M40" s="390"/>
      <c r="N40" s="390">
        <f>55+11</f>
        <v>66</v>
      </c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89">
        <f>B40+C40+D40+E40+F40+G40+H40+I40+J40+Z40+K40+L40+M40+N40+O40+P40+Q40+R40+S40+T40+U40+V40+W40+X40+Y40+AA40+AB40+AC40</f>
        <v>258</v>
      </c>
      <c r="AE40" s="394"/>
      <c r="AF40" s="389">
        <f>AD40+AE40</f>
        <v>258</v>
      </c>
    </row>
    <row r="41" spans="1:32" s="388" customFormat="1" ht="15" customHeight="1" x14ac:dyDescent="0.2">
      <c r="A41" s="392">
        <v>27</v>
      </c>
      <c r="B41" s="390">
        <f>30-4</f>
        <v>26</v>
      </c>
      <c r="C41" s="390"/>
      <c r="D41" s="390"/>
      <c r="E41" s="390">
        <f>15+3</f>
        <v>18</v>
      </c>
      <c r="F41" s="390"/>
      <c r="G41" s="390"/>
      <c r="H41" s="390"/>
      <c r="I41" s="390">
        <f>5-1-2</f>
        <v>2</v>
      </c>
      <c r="J41" s="390">
        <f>40+1+7+3</f>
        <v>51</v>
      </c>
      <c r="K41" s="390"/>
      <c r="L41" s="390"/>
      <c r="M41" s="390"/>
      <c r="N41" s="390">
        <v>45</v>
      </c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89">
        <f>B41+C41+D41+E41+F41+G41+H41+I41+J41+Z41+K41+L41+M41+N41+O41+P41+Q41+R41+S41+T41+U41+V41+W41+X41+Y41+AA41+AB41+AC41</f>
        <v>142</v>
      </c>
      <c r="AE41" s="394"/>
      <c r="AF41" s="389">
        <f>AD41+AE41</f>
        <v>142</v>
      </c>
    </row>
    <row r="42" spans="1:32" s="388" customFormat="1" ht="15" customHeight="1" x14ac:dyDescent="0.2">
      <c r="A42" s="392">
        <v>28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89">
        <f>B42+C42+D42+E42+F42+G42+H42+I42+J42+Z42+K42+L42+M42+N42+O42+P42+Q42+R42+S42+T42+U42+V42+W42+X42+Y42+AA42+AB42+AC42</f>
        <v>0</v>
      </c>
      <c r="AE42" s="394"/>
      <c r="AF42" s="389">
        <f>AD42+AE42</f>
        <v>0</v>
      </c>
    </row>
    <row r="43" spans="1:32" s="388" customFormat="1" ht="19.5" customHeight="1" x14ac:dyDescent="0.2">
      <c r="A43" s="395" t="s">
        <v>633</v>
      </c>
      <c r="B43" s="401">
        <f t="shared" ref="B43:AF43" si="23">B44+B45</f>
        <v>0</v>
      </c>
      <c r="C43" s="401">
        <f t="shared" si="23"/>
        <v>0</v>
      </c>
      <c r="D43" s="401">
        <f t="shared" si="23"/>
        <v>0</v>
      </c>
      <c r="E43" s="401">
        <f t="shared" si="23"/>
        <v>60</v>
      </c>
      <c r="F43" s="401">
        <f t="shared" si="23"/>
        <v>0</v>
      </c>
      <c r="G43" s="401">
        <f t="shared" si="23"/>
        <v>0</v>
      </c>
      <c r="H43" s="401">
        <f t="shared" si="23"/>
        <v>0</v>
      </c>
      <c r="I43" s="401">
        <f t="shared" si="23"/>
        <v>0</v>
      </c>
      <c r="J43" s="401">
        <f t="shared" si="23"/>
        <v>0</v>
      </c>
      <c r="K43" s="401">
        <f t="shared" si="23"/>
        <v>2400</v>
      </c>
      <c r="L43" s="401">
        <f t="shared" si="23"/>
        <v>0</v>
      </c>
      <c r="M43" s="401">
        <f t="shared" si="23"/>
        <v>200</v>
      </c>
      <c r="N43" s="401">
        <f t="shared" si="23"/>
        <v>0</v>
      </c>
      <c r="O43" s="401">
        <f t="shared" si="23"/>
        <v>0</v>
      </c>
      <c r="P43" s="401">
        <f t="shared" si="23"/>
        <v>0</v>
      </c>
      <c r="Q43" s="401">
        <f t="shared" si="23"/>
        <v>0</v>
      </c>
      <c r="R43" s="401">
        <f t="shared" si="23"/>
        <v>0</v>
      </c>
      <c r="S43" s="401">
        <f t="shared" si="23"/>
        <v>0</v>
      </c>
      <c r="T43" s="401">
        <f t="shared" si="23"/>
        <v>0</v>
      </c>
      <c r="U43" s="401">
        <f t="shared" si="23"/>
        <v>0</v>
      </c>
      <c r="V43" s="401">
        <f t="shared" si="23"/>
        <v>0</v>
      </c>
      <c r="W43" s="401">
        <f t="shared" si="23"/>
        <v>0</v>
      </c>
      <c r="X43" s="401">
        <f t="shared" si="23"/>
        <v>0</v>
      </c>
      <c r="Y43" s="401">
        <f t="shared" si="23"/>
        <v>0</v>
      </c>
      <c r="Z43" s="401">
        <f t="shared" ref="Z43" si="24">Z44+Z45</f>
        <v>0</v>
      </c>
      <c r="AA43" s="401">
        <f t="shared" si="23"/>
        <v>0</v>
      </c>
      <c r="AB43" s="401">
        <f t="shared" si="23"/>
        <v>0</v>
      </c>
      <c r="AC43" s="401">
        <f t="shared" si="23"/>
        <v>0</v>
      </c>
      <c r="AD43" s="401">
        <f t="shared" si="23"/>
        <v>2660</v>
      </c>
      <c r="AE43" s="401">
        <f t="shared" si="23"/>
        <v>0</v>
      </c>
      <c r="AF43" s="401">
        <f t="shared" si="23"/>
        <v>2660</v>
      </c>
    </row>
    <row r="44" spans="1:32" s="388" customFormat="1" ht="14.25" customHeight="1" x14ac:dyDescent="0.2">
      <c r="A44" s="392">
        <v>29</v>
      </c>
      <c r="B44" s="390"/>
      <c r="C44" s="390"/>
      <c r="D44" s="390"/>
      <c r="E44" s="390">
        <v>60</v>
      </c>
      <c r="F44" s="390"/>
      <c r="G44" s="390"/>
      <c r="H44" s="390"/>
      <c r="I44" s="390"/>
      <c r="J44" s="390"/>
      <c r="K44" s="390">
        <v>2380</v>
      </c>
      <c r="L44" s="389"/>
      <c r="M44" s="390">
        <v>200</v>
      </c>
      <c r="N44" s="390"/>
      <c r="O44" s="390"/>
      <c r="P44" s="390"/>
      <c r="Q44" s="390"/>
      <c r="R44" s="390"/>
      <c r="S44" s="389"/>
      <c r="T44" s="389"/>
      <c r="U44" s="389"/>
      <c r="V44" s="389"/>
      <c r="W44" s="390"/>
      <c r="X44" s="390"/>
      <c r="Y44" s="390"/>
      <c r="Z44" s="390"/>
      <c r="AA44" s="390"/>
      <c r="AB44" s="390"/>
      <c r="AC44" s="389"/>
      <c r="AD44" s="389">
        <f>B44+C44+D44+E44+F44+G44+H44+I44+J44+Z44+K44+L44+M44+N44+O44+P44+Q44+R44+S44+T44+U44+V44+W44+X44+Y44+AA44+AB44+AC44</f>
        <v>2640</v>
      </c>
      <c r="AE44" s="394"/>
      <c r="AF44" s="389">
        <f>AD44+AE44</f>
        <v>2640</v>
      </c>
    </row>
    <row r="45" spans="1:32" s="388" customFormat="1" ht="14.25" customHeight="1" x14ac:dyDescent="0.2">
      <c r="A45" s="392">
        <v>30</v>
      </c>
      <c r="B45" s="390"/>
      <c r="C45" s="390"/>
      <c r="D45" s="390"/>
      <c r="E45" s="390"/>
      <c r="F45" s="390"/>
      <c r="G45" s="390"/>
      <c r="H45" s="390"/>
      <c r="I45" s="390"/>
      <c r="J45" s="390"/>
      <c r="K45" s="390">
        <v>20</v>
      </c>
      <c r="L45" s="389"/>
      <c r="M45" s="390"/>
      <c r="N45" s="390"/>
      <c r="O45" s="390"/>
      <c r="P45" s="390"/>
      <c r="Q45" s="390"/>
      <c r="R45" s="390"/>
      <c r="S45" s="389"/>
      <c r="T45" s="389"/>
      <c r="U45" s="389"/>
      <c r="V45" s="389"/>
      <c r="W45" s="390"/>
      <c r="X45" s="390"/>
      <c r="Y45" s="390"/>
      <c r="Z45" s="390"/>
      <c r="AA45" s="390"/>
      <c r="AB45" s="390"/>
      <c r="AC45" s="389"/>
      <c r="AD45" s="389">
        <f>B45+C45+D45+E45+F45+G45+H45+I45+J45+Z45+K45+L45+M45+N45+O45+P45+Q45+R45+S45+T45+U45+V45+W45+X45+Y45+AA45+AB45+AC45</f>
        <v>20</v>
      </c>
      <c r="AE45" s="394"/>
      <c r="AF45" s="389">
        <f>AD45+AE45</f>
        <v>20</v>
      </c>
    </row>
    <row r="46" spans="1:32" s="388" customFormat="1" ht="18.75" customHeight="1" x14ac:dyDescent="0.2">
      <c r="A46" s="395" t="s">
        <v>634</v>
      </c>
      <c r="B46" s="401">
        <f>B47+B48+B49+B50</f>
        <v>0</v>
      </c>
      <c r="C46" s="401">
        <f t="shared" ref="C46:AF46" si="25">C47+C48+C49+C50</f>
        <v>0</v>
      </c>
      <c r="D46" s="401">
        <f t="shared" si="25"/>
        <v>0</v>
      </c>
      <c r="E46" s="401">
        <f t="shared" si="25"/>
        <v>47</v>
      </c>
      <c r="F46" s="401">
        <f t="shared" si="25"/>
        <v>0</v>
      </c>
      <c r="G46" s="401">
        <f t="shared" si="25"/>
        <v>0</v>
      </c>
      <c r="H46" s="401">
        <f t="shared" si="25"/>
        <v>0</v>
      </c>
      <c r="I46" s="401">
        <f t="shared" si="25"/>
        <v>0</v>
      </c>
      <c r="J46" s="401">
        <f t="shared" si="25"/>
        <v>0</v>
      </c>
      <c r="K46" s="401">
        <f t="shared" si="25"/>
        <v>0</v>
      </c>
      <c r="L46" s="401">
        <f t="shared" si="25"/>
        <v>0</v>
      </c>
      <c r="M46" s="401">
        <f t="shared" si="25"/>
        <v>0</v>
      </c>
      <c r="N46" s="401">
        <f t="shared" si="25"/>
        <v>0</v>
      </c>
      <c r="O46" s="401">
        <f t="shared" si="25"/>
        <v>0</v>
      </c>
      <c r="P46" s="401">
        <f t="shared" si="25"/>
        <v>0</v>
      </c>
      <c r="Q46" s="401">
        <f t="shared" si="25"/>
        <v>0</v>
      </c>
      <c r="R46" s="401">
        <f t="shared" si="25"/>
        <v>0</v>
      </c>
      <c r="S46" s="401">
        <f t="shared" si="25"/>
        <v>0</v>
      </c>
      <c r="T46" s="401">
        <f t="shared" si="25"/>
        <v>0</v>
      </c>
      <c r="U46" s="401">
        <f t="shared" si="25"/>
        <v>0</v>
      </c>
      <c r="V46" s="401">
        <f t="shared" si="25"/>
        <v>0</v>
      </c>
      <c r="W46" s="401">
        <f t="shared" si="25"/>
        <v>0</v>
      </c>
      <c r="X46" s="401">
        <f t="shared" si="25"/>
        <v>0</v>
      </c>
      <c r="Y46" s="401">
        <f t="shared" si="25"/>
        <v>0</v>
      </c>
      <c r="Z46" s="401">
        <f t="shared" ref="Z46" si="26">Z47+Z48+Z49+Z50</f>
        <v>0</v>
      </c>
      <c r="AA46" s="401">
        <f t="shared" si="25"/>
        <v>0</v>
      </c>
      <c r="AB46" s="401">
        <f t="shared" si="25"/>
        <v>0</v>
      </c>
      <c r="AC46" s="401">
        <f t="shared" si="25"/>
        <v>0</v>
      </c>
      <c r="AD46" s="401">
        <f t="shared" si="25"/>
        <v>47</v>
      </c>
      <c r="AE46" s="401">
        <f t="shared" si="25"/>
        <v>0</v>
      </c>
      <c r="AF46" s="401">
        <f t="shared" si="25"/>
        <v>47</v>
      </c>
    </row>
    <row r="47" spans="1:32" s="388" customFormat="1" ht="15" customHeight="1" x14ac:dyDescent="0.2">
      <c r="A47" s="392">
        <v>31</v>
      </c>
      <c r="B47" s="390"/>
      <c r="C47" s="390"/>
      <c r="D47" s="390"/>
      <c r="E47" s="390">
        <v>3</v>
      </c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89">
        <f>B47+C47+D47+E47+F47+G47+H47+I47+J47+Z47+K47+L47+M47+N47+O47+P47+Q47+R47+S47+T47+U47+V47+W47+X47+Y47+AA47+AB47+AC47</f>
        <v>3</v>
      </c>
      <c r="AE47" s="394"/>
      <c r="AF47" s="390">
        <f>AD47+AE47</f>
        <v>3</v>
      </c>
    </row>
    <row r="48" spans="1:32" s="388" customFormat="1" ht="13.5" customHeight="1" x14ac:dyDescent="0.2">
      <c r="A48" s="392">
        <v>32</v>
      </c>
      <c r="B48" s="390"/>
      <c r="C48" s="390"/>
      <c r="D48" s="390"/>
      <c r="E48" s="390">
        <f>40+1+1+2</f>
        <v>44</v>
      </c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89">
        <f>B48+C48+D48+E48+F48+G48+H48+I48+J48+Z48+K48+L48+M48+N48+O48+P48+Q48+R48+S48+T48+U48+V48+W48+X48+Y48+AA48+AB48+AC48</f>
        <v>44</v>
      </c>
      <c r="AE48" s="394"/>
      <c r="AF48" s="390">
        <f>AD48+AE48</f>
        <v>44</v>
      </c>
    </row>
    <row r="49" spans="1:32" s="388" customFormat="1" ht="15" customHeight="1" x14ac:dyDescent="0.2">
      <c r="A49" s="392">
        <v>33</v>
      </c>
      <c r="B49" s="390"/>
      <c r="C49" s="390"/>
      <c r="D49" s="390"/>
      <c r="E49" s="390"/>
      <c r="F49" s="390"/>
      <c r="G49" s="405"/>
      <c r="H49" s="390"/>
      <c r="I49" s="390"/>
      <c r="J49" s="390"/>
      <c r="K49" s="405"/>
      <c r="L49" s="390"/>
      <c r="M49" s="405"/>
      <c r="N49" s="405"/>
      <c r="O49" s="390"/>
      <c r="P49" s="390"/>
      <c r="Q49" s="405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89">
        <f>B49+C49+D49+E49+F49+G49+H49+I49+J49+Z49+K49+L49+M49+N49+O49+P49+Q49+R49+S49+T49+U49+V49+W49+X49+Y49+AA49+AB49+AC49</f>
        <v>0</v>
      </c>
      <c r="AE49" s="394"/>
      <c r="AF49" s="390">
        <f>AD49+AE49</f>
        <v>0</v>
      </c>
    </row>
    <row r="50" spans="1:32" s="388" customFormat="1" ht="15" customHeight="1" x14ac:dyDescent="0.2">
      <c r="A50" s="392">
        <v>34</v>
      </c>
      <c r="B50" s="390"/>
      <c r="C50" s="390"/>
      <c r="D50" s="390"/>
      <c r="E50" s="390"/>
      <c r="F50" s="390"/>
      <c r="G50" s="405"/>
      <c r="H50" s="390"/>
      <c r="I50" s="390"/>
      <c r="J50" s="390"/>
      <c r="K50" s="405"/>
      <c r="L50" s="390"/>
      <c r="M50" s="405"/>
      <c r="N50" s="405"/>
      <c r="O50" s="390"/>
      <c r="P50" s="390"/>
      <c r="Q50" s="405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89">
        <f>B50+C50+D50+E50+F50+G50+H50+I50+J50+Z50+K50+L50+M50+N50+O50+P50+Q50+R50+S50+T50+U50+V50+W50+X50+Y50+AA50+AB50+AC50</f>
        <v>0</v>
      </c>
      <c r="AE50" s="394"/>
      <c r="AF50" s="390">
        <f>AD50+AE50</f>
        <v>0</v>
      </c>
    </row>
    <row r="51" spans="1:32" s="388" customFormat="1" ht="17.25" customHeight="1" x14ac:dyDescent="0.2">
      <c r="A51" s="395" t="s">
        <v>635</v>
      </c>
      <c r="B51" s="401">
        <f t="shared" ref="B51:AF51" si="27">B52</f>
        <v>203</v>
      </c>
      <c r="C51" s="401">
        <f t="shared" si="27"/>
        <v>0</v>
      </c>
      <c r="D51" s="401">
        <f t="shared" si="27"/>
        <v>0</v>
      </c>
      <c r="E51" s="401">
        <f t="shared" si="27"/>
        <v>0</v>
      </c>
      <c r="F51" s="401">
        <f t="shared" si="27"/>
        <v>0</v>
      </c>
      <c r="G51" s="401">
        <f t="shared" si="27"/>
        <v>0</v>
      </c>
      <c r="H51" s="401">
        <f t="shared" si="27"/>
        <v>0</v>
      </c>
      <c r="I51" s="401">
        <f t="shared" si="27"/>
        <v>0</v>
      </c>
      <c r="J51" s="401">
        <f t="shared" si="27"/>
        <v>0</v>
      </c>
      <c r="K51" s="401">
        <f t="shared" si="27"/>
        <v>0</v>
      </c>
      <c r="L51" s="401">
        <f t="shared" si="27"/>
        <v>0</v>
      </c>
      <c r="M51" s="401">
        <f t="shared" si="27"/>
        <v>0</v>
      </c>
      <c r="N51" s="401">
        <f t="shared" si="27"/>
        <v>175</v>
      </c>
      <c r="O51" s="401">
        <f t="shared" si="27"/>
        <v>0</v>
      </c>
      <c r="P51" s="401">
        <f t="shared" si="27"/>
        <v>0</v>
      </c>
      <c r="Q51" s="401">
        <f t="shared" si="27"/>
        <v>0</v>
      </c>
      <c r="R51" s="401">
        <f t="shared" si="27"/>
        <v>0</v>
      </c>
      <c r="S51" s="401">
        <f t="shared" si="27"/>
        <v>0</v>
      </c>
      <c r="T51" s="401">
        <f t="shared" si="27"/>
        <v>0</v>
      </c>
      <c r="U51" s="401">
        <f t="shared" si="27"/>
        <v>0</v>
      </c>
      <c r="V51" s="401">
        <f t="shared" si="27"/>
        <v>0</v>
      </c>
      <c r="W51" s="401">
        <f t="shared" si="27"/>
        <v>0</v>
      </c>
      <c r="X51" s="401">
        <f t="shared" si="27"/>
        <v>40</v>
      </c>
      <c r="Y51" s="401">
        <f t="shared" si="27"/>
        <v>0</v>
      </c>
      <c r="Z51" s="401">
        <f t="shared" si="27"/>
        <v>0</v>
      </c>
      <c r="AA51" s="401">
        <f t="shared" si="27"/>
        <v>0</v>
      </c>
      <c r="AB51" s="401">
        <f t="shared" si="27"/>
        <v>0</v>
      </c>
      <c r="AC51" s="401">
        <f t="shared" si="27"/>
        <v>0</v>
      </c>
      <c r="AD51" s="401">
        <f t="shared" si="27"/>
        <v>418</v>
      </c>
      <c r="AE51" s="401">
        <f t="shared" si="27"/>
        <v>0</v>
      </c>
      <c r="AF51" s="401">
        <f t="shared" si="27"/>
        <v>418</v>
      </c>
    </row>
    <row r="52" spans="1:32" s="388" customFormat="1" ht="14.25" customHeight="1" x14ac:dyDescent="0.2">
      <c r="A52" s="392">
        <v>35</v>
      </c>
      <c r="B52" s="390">
        <f>200+3</f>
        <v>203</v>
      </c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>
        <f>170+5</f>
        <v>175</v>
      </c>
      <c r="O52" s="390"/>
      <c r="P52" s="390"/>
      <c r="Q52" s="390"/>
      <c r="R52" s="390"/>
      <c r="S52" s="390"/>
      <c r="T52" s="390"/>
      <c r="U52" s="390"/>
      <c r="V52" s="390"/>
      <c r="W52" s="390"/>
      <c r="X52" s="390">
        <v>40</v>
      </c>
      <c r="Y52" s="390"/>
      <c r="Z52" s="390"/>
      <c r="AA52" s="390"/>
      <c r="AB52" s="390"/>
      <c r="AC52" s="390"/>
      <c r="AD52" s="389">
        <f>B52+C52+D52+E52+F52+G52+H52+I52+J52+Z52+K52+L52+M52+N52+O52+P52+Q52+R52+S52+T52+U52+V52+W52+X52+Y52+AA52+AB52+AC52</f>
        <v>418</v>
      </c>
      <c r="AE52" s="394"/>
      <c r="AF52" s="390">
        <f>AD52+AE52</f>
        <v>418</v>
      </c>
    </row>
    <row r="53" spans="1:32" s="388" customFormat="1" ht="29.25" customHeight="1" x14ac:dyDescent="0.2">
      <c r="A53" s="396" t="s">
        <v>636</v>
      </c>
      <c r="B53" s="401">
        <f t="shared" ref="B53:AF53" si="28">SUM(B54:B64)</f>
        <v>418</v>
      </c>
      <c r="C53" s="401">
        <f t="shared" si="28"/>
        <v>0</v>
      </c>
      <c r="D53" s="401">
        <f t="shared" si="28"/>
        <v>3408</v>
      </c>
      <c r="E53" s="401">
        <f t="shared" ref="E53" si="29">SUM(E54:E64)</f>
        <v>0</v>
      </c>
      <c r="F53" s="401">
        <f t="shared" si="28"/>
        <v>0</v>
      </c>
      <c r="G53" s="401">
        <f t="shared" si="28"/>
        <v>0</v>
      </c>
      <c r="H53" s="401">
        <f t="shared" si="28"/>
        <v>0</v>
      </c>
      <c r="I53" s="401">
        <f t="shared" si="28"/>
        <v>592</v>
      </c>
      <c r="J53" s="401">
        <f t="shared" si="28"/>
        <v>551</v>
      </c>
      <c r="K53" s="401">
        <f t="shared" si="28"/>
        <v>0</v>
      </c>
      <c r="L53" s="401">
        <f t="shared" si="28"/>
        <v>0</v>
      </c>
      <c r="M53" s="401">
        <f t="shared" si="28"/>
        <v>0</v>
      </c>
      <c r="N53" s="401">
        <f t="shared" si="28"/>
        <v>0</v>
      </c>
      <c r="O53" s="401">
        <f t="shared" si="28"/>
        <v>0</v>
      </c>
      <c r="P53" s="401">
        <f t="shared" si="28"/>
        <v>276</v>
      </c>
      <c r="Q53" s="401">
        <f t="shared" si="28"/>
        <v>0</v>
      </c>
      <c r="R53" s="401">
        <f t="shared" si="28"/>
        <v>190</v>
      </c>
      <c r="S53" s="401">
        <f t="shared" si="28"/>
        <v>168</v>
      </c>
      <c r="T53" s="401">
        <f t="shared" si="28"/>
        <v>0</v>
      </c>
      <c r="U53" s="401">
        <f t="shared" si="28"/>
        <v>162</v>
      </c>
      <c r="V53" s="401">
        <f t="shared" si="28"/>
        <v>0</v>
      </c>
      <c r="W53" s="401">
        <f t="shared" si="28"/>
        <v>223</v>
      </c>
      <c r="X53" s="401">
        <f t="shared" si="28"/>
        <v>474</v>
      </c>
      <c r="Y53" s="401">
        <f t="shared" si="28"/>
        <v>32</v>
      </c>
      <c r="Z53" s="401">
        <f t="shared" si="28"/>
        <v>57</v>
      </c>
      <c r="AA53" s="401">
        <f t="shared" si="28"/>
        <v>0</v>
      </c>
      <c r="AB53" s="401">
        <f t="shared" si="28"/>
        <v>0</v>
      </c>
      <c r="AC53" s="401">
        <f t="shared" si="28"/>
        <v>352</v>
      </c>
      <c r="AD53" s="401">
        <f t="shared" si="28"/>
        <v>6903</v>
      </c>
      <c r="AE53" s="401">
        <f t="shared" si="28"/>
        <v>0</v>
      </c>
      <c r="AF53" s="401">
        <f t="shared" si="28"/>
        <v>6903</v>
      </c>
    </row>
    <row r="54" spans="1:32" s="388" customFormat="1" ht="14.25" customHeight="1" x14ac:dyDescent="0.2">
      <c r="A54" s="392">
        <v>36</v>
      </c>
      <c r="B54" s="393">
        <f>51+10+2</f>
        <v>63</v>
      </c>
      <c r="C54" s="393"/>
      <c r="D54" s="393">
        <f>360-10+5-30-15-20</f>
        <v>290</v>
      </c>
      <c r="E54" s="393"/>
      <c r="F54" s="393"/>
      <c r="G54" s="408"/>
      <c r="H54" s="393"/>
      <c r="I54" s="393">
        <f>253-41+16-2-5</f>
        <v>221</v>
      </c>
      <c r="J54" s="393">
        <f>221+9-8+18+1</f>
        <v>241</v>
      </c>
      <c r="K54" s="408"/>
      <c r="L54" s="391"/>
      <c r="M54" s="408"/>
      <c r="N54" s="408"/>
      <c r="O54" s="393"/>
      <c r="P54" s="393">
        <v>10</v>
      </c>
      <c r="Q54" s="408"/>
      <c r="R54" s="389">
        <f>25-5+5</f>
        <v>25</v>
      </c>
      <c r="S54" s="389">
        <f>100-13-1-8</f>
        <v>78</v>
      </c>
      <c r="T54" s="390"/>
      <c r="U54" s="390">
        <f>50+12</f>
        <v>62</v>
      </c>
      <c r="V54" s="390"/>
      <c r="W54" s="390">
        <f>0+102-11-11</f>
        <v>80</v>
      </c>
      <c r="X54" s="390">
        <f>253+1+5-11</f>
        <v>248</v>
      </c>
      <c r="Y54" s="390">
        <f>15+4+2-7</f>
        <v>14</v>
      </c>
      <c r="Z54" s="391">
        <f>25-15</f>
        <v>10</v>
      </c>
      <c r="AA54" s="393"/>
      <c r="AB54" s="393"/>
      <c r="AC54" s="389">
        <f>51+10+79-10</f>
        <v>130</v>
      </c>
      <c r="AD54" s="389">
        <f t="shared" ref="AD54:AD64" si="30">B54+C54+D54+E54+F54+G54+H54+I54+J54+Z54+K54+L54+M54+N54+O54+P54+Q54+R54+S54+T54+U54+V54+W54+X54+Y54+AA54+AB54+AC54</f>
        <v>1472</v>
      </c>
      <c r="AE54" s="394">
        <f>135-5-2-1-102-25</f>
        <v>0</v>
      </c>
      <c r="AF54" s="389">
        <f t="shared" ref="AF54:AF64" si="31">AD54+AE54</f>
        <v>1472</v>
      </c>
    </row>
    <row r="55" spans="1:32" s="388" customFormat="1" ht="14.25" customHeight="1" x14ac:dyDescent="0.2">
      <c r="A55" s="392">
        <v>37</v>
      </c>
      <c r="B55" s="390">
        <f>50+2</f>
        <v>52</v>
      </c>
      <c r="C55" s="390"/>
      <c r="D55" s="393">
        <f>140-15+15-5-7</f>
        <v>128</v>
      </c>
      <c r="E55" s="390"/>
      <c r="F55" s="390"/>
      <c r="G55" s="390"/>
      <c r="H55" s="390"/>
      <c r="I55" s="390">
        <f>70-21+3+2</f>
        <v>54</v>
      </c>
      <c r="J55" s="390">
        <f>68-9-6+5-7</f>
        <v>51</v>
      </c>
      <c r="K55" s="390"/>
      <c r="L55" s="389"/>
      <c r="M55" s="390"/>
      <c r="N55" s="390"/>
      <c r="O55" s="390"/>
      <c r="P55" s="390">
        <f>52-20</f>
        <v>32</v>
      </c>
      <c r="Q55" s="390"/>
      <c r="R55" s="389">
        <f>20-2+3</f>
        <v>21</v>
      </c>
      <c r="S55" s="389">
        <f>6+8</f>
        <v>14</v>
      </c>
      <c r="T55" s="390"/>
      <c r="U55" s="390">
        <v>20</v>
      </c>
      <c r="V55" s="390"/>
      <c r="W55" s="390">
        <f>0+47-1</f>
        <v>46</v>
      </c>
      <c r="X55" s="390">
        <f>22+1-2</f>
        <v>21</v>
      </c>
      <c r="Y55" s="390">
        <f>0+2+4</f>
        <v>6</v>
      </c>
      <c r="Z55" s="389">
        <f>10+1</f>
        <v>11</v>
      </c>
      <c r="AA55" s="390"/>
      <c r="AB55" s="393"/>
      <c r="AC55" s="389">
        <f>44+15+55-5</f>
        <v>109</v>
      </c>
      <c r="AD55" s="389">
        <f t="shared" si="30"/>
        <v>565</v>
      </c>
      <c r="AE55" s="394">
        <f>60-2-1-47-10</f>
        <v>0</v>
      </c>
      <c r="AF55" s="389">
        <f t="shared" si="31"/>
        <v>565</v>
      </c>
    </row>
    <row r="56" spans="1:32" s="388" customFormat="1" ht="14.25" customHeight="1" x14ac:dyDescent="0.2">
      <c r="A56" s="392">
        <v>38</v>
      </c>
      <c r="B56" s="390">
        <f>18+3</f>
        <v>21</v>
      </c>
      <c r="C56" s="390"/>
      <c r="D56" s="393">
        <f>100-10-10-6+2</f>
        <v>76</v>
      </c>
      <c r="E56" s="390"/>
      <c r="F56" s="390"/>
      <c r="G56" s="405"/>
      <c r="H56" s="390"/>
      <c r="I56" s="390">
        <f>18-2+2+2</f>
        <v>20</v>
      </c>
      <c r="J56" s="390">
        <f>12+2+8-1</f>
        <v>21</v>
      </c>
      <c r="K56" s="405"/>
      <c r="L56" s="389"/>
      <c r="M56" s="405"/>
      <c r="N56" s="405"/>
      <c r="O56" s="390"/>
      <c r="P56" s="390">
        <f>47-20</f>
        <v>27</v>
      </c>
      <c r="Q56" s="405"/>
      <c r="R56" s="389">
        <f>10+2</f>
        <v>12</v>
      </c>
      <c r="S56" s="389">
        <v>2</v>
      </c>
      <c r="T56" s="389"/>
      <c r="U56" s="389">
        <v>3</v>
      </c>
      <c r="V56" s="390"/>
      <c r="W56" s="390">
        <f>0+23-2-17</f>
        <v>4</v>
      </c>
      <c r="X56" s="390">
        <f>8-5</f>
        <v>3</v>
      </c>
      <c r="Y56" s="390">
        <f>0+1+1</f>
        <v>2</v>
      </c>
      <c r="Z56" s="389">
        <f>1+2</f>
        <v>3</v>
      </c>
      <c r="AA56" s="390"/>
      <c r="AB56" s="393"/>
      <c r="AC56" s="389">
        <f>34+16</f>
        <v>50</v>
      </c>
      <c r="AD56" s="389">
        <f t="shared" si="30"/>
        <v>244</v>
      </c>
      <c r="AE56" s="394">
        <f>25-1-23-1</f>
        <v>0</v>
      </c>
      <c r="AF56" s="389">
        <f t="shared" si="31"/>
        <v>244</v>
      </c>
    </row>
    <row r="57" spans="1:32" s="388" customFormat="1" ht="14.25" customHeight="1" x14ac:dyDescent="0.2">
      <c r="A57" s="392">
        <v>39</v>
      </c>
      <c r="B57" s="390">
        <v>100</v>
      </c>
      <c r="C57" s="390"/>
      <c r="D57" s="393">
        <f>425-15-25</f>
        <v>385</v>
      </c>
      <c r="E57" s="390"/>
      <c r="F57" s="390"/>
      <c r="G57" s="405"/>
      <c r="H57" s="390"/>
      <c r="I57" s="390">
        <f>274-55-24-16-17-5</f>
        <v>157</v>
      </c>
      <c r="J57" s="401">
        <f>163+6+10+12</f>
        <v>191</v>
      </c>
      <c r="K57" s="405"/>
      <c r="L57" s="389"/>
      <c r="M57" s="405"/>
      <c r="N57" s="405"/>
      <c r="O57" s="390"/>
      <c r="P57" s="390"/>
      <c r="Q57" s="405"/>
      <c r="R57" s="389">
        <f>70-4+11</f>
        <v>77</v>
      </c>
      <c r="S57" s="389">
        <f>40+5+3-2</f>
        <v>46</v>
      </c>
      <c r="T57" s="389"/>
      <c r="U57" s="389">
        <v>60</v>
      </c>
      <c r="V57" s="390"/>
      <c r="W57" s="390">
        <f>0+25+17+36</f>
        <v>78</v>
      </c>
      <c r="X57" s="390">
        <f>133+4+47+8</f>
        <v>192</v>
      </c>
      <c r="Y57" s="390">
        <f>0+2+5</f>
        <v>7</v>
      </c>
      <c r="Z57" s="389">
        <f>14+10</f>
        <v>24</v>
      </c>
      <c r="AA57" s="390"/>
      <c r="AB57" s="393"/>
      <c r="AC57" s="389">
        <f>36-30</f>
        <v>6</v>
      </c>
      <c r="AD57" s="389">
        <f t="shared" si="30"/>
        <v>1323</v>
      </c>
      <c r="AE57" s="394">
        <f>40-1-25-14</f>
        <v>0</v>
      </c>
      <c r="AF57" s="389">
        <f t="shared" si="31"/>
        <v>1323</v>
      </c>
    </row>
    <row r="58" spans="1:32" s="388" customFormat="1" ht="14.25" customHeight="1" x14ac:dyDescent="0.2">
      <c r="A58" s="392">
        <v>40</v>
      </c>
      <c r="B58" s="390">
        <f>90+1</f>
        <v>91</v>
      </c>
      <c r="C58" s="390"/>
      <c r="D58" s="393">
        <f>230-35-20-5</f>
        <v>170</v>
      </c>
      <c r="E58" s="390"/>
      <c r="F58" s="390"/>
      <c r="G58" s="390"/>
      <c r="H58" s="390"/>
      <c r="I58" s="390">
        <f>74-20-5-3-3</f>
        <v>43</v>
      </c>
      <c r="J58" s="390">
        <f>31-2+16-5</f>
        <v>40</v>
      </c>
      <c r="K58" s="390"/>
      <c r="L58" s="389"/>
      <c r="M58" s="390"/>
      <c r="N58" s="390"/>
      <c r="O58" s="390"/>
      <c r="P58" s="390">
        <f>60+16+22</f>
        <v>98</v>
      </c>
      <c r="Q58" s="390"/>
      <c r="R58" s="389">
        <f>60-12-11</f>
        <v>37</v>
      </c>
      <c r="S58" s="389">
        <f>14+1</f>
        <v>15</v>
      </c>
      <c r="T58" s="389"/>
      <c r="U58" s="389">
        <f>20-6</f>
        <v>14</v>
      </c>
      <c r="V58" s="390"/>
      <c r="W58" s="390">
        <f>0+21-2-5</f>
        <v>14</v>
      </c>
      <c r="X58" s="390">
        <v>10</v>
      </c>
      <c r="Y58" s="390">
        <f>0+5-2</f>
        <v>3</v>
      </c>
      <c r="Z58" s="389">
        <f>6+2</f>
        <v>8</v>
      </c>
      <c r="AA58" s="390"/>
      <c r="AB58" s="393"/>
      <c r="AC58" s="389">
        <f>34-15</f>
        <v>19</v>
      </c>
      <c r="AD58" s="389">
        <f t="shared" si="30"/>
        <v>562</v>
      </c>
      <c r="AE58" s="394">
        <f>32-5-21-6</f>
        <v>0</v>
      </c>
      <c r="AF58" s="389">
        <f t="shared" si="31"/>
        <v>562</v>
      </c>
    </row>
    <row r="59" spans="1:32" s="388" customFormat="1" ht="14.25" customHeight="1" x14ac:dyDescent="0.2">
      <c r="A59" s="392">
        <v>41</v>
      </c>
      <c r="B59" s="390">
        <v>41</v>
      </c>
      <c r="C59" s="390"/>
      <c r="D59" s="393">
        <f>120-2-18-8-4</f>
        <v>88</v>
      </c>
      <c r="E59" s="390"/>
      <c r="F59" s="390"/>
      <c r="G59" s="390"/>
      <c r="H59" s="390"/>
      <c r="I59" s="390">
        <f>35-10-6-6-1-3</f>
        <v>9</v>
      </c>
      <c r="J59" s="390">
        <f>5+2</f>
        <v>7</v>
      </c>
      <c r="K59" s="390"/>
      <c r="L59" s="389"/>
      <c r="M59" s="390"/>
      <c r="N59" s="390"/>
      <c r="O59" s="390"/>
      <c r="P59" s="390">
        <f>47+5</f>
        <v>52</v>
      </c>
      <c r="Q59" s="390"/>
      <c r="R59" s="389">
        <f>25-2-5</f>
        <v>18</v>
      </c>
      <c r="S59" s="389"/>
      <c r="T59" s="389"/>
      <c r="U59" s="389">
        <f>9-6</f>
        <v>3</v>
      </c>
      <c r="V59" s="390"/>
      <c r="W59" s="390">
        <f>0+5-1-3</f>
        <v>1</v>
      </c>
      <c r="X59" s="390"/>
      <c r="Y59" s="390">
        <f>0+1-1</f>
        <v>0</v>
      </c>
      <c r="Z59" s="389">
        <v>1</v>
      </c>
      <c r="AA59" s="390"/>
      <c r="AB59" s="393"/>
      <c r="AC59" s="389">
        <f>40+2-10</f>
        <v>32</v>
      </c>
      <c r="AD59" s="389">
        <f t="shared" si="30"/>
        <v>252</v>
      </c>
      <c r="AE59" s="394">
        <f>7-1-5-1</f>
        <v>0</v>
      </c>
      <c r="AF59" s="389">
        <f t="shared" si="31"/>
        <v>252</v>
      </c>
    </row>
    <row r="60" spans="1:32" s="388" customFormat="1" ht="14.25" customHeight="1" x14ac:dyDescent="0.2">
      <c r="A60" s="392">
        <v>42</v>
      </c>
      <c r="B60" s="390">
        <v>50</v>
      </c>
      <c r="C60" s="390"/>
      <c r="D60" s="393">
        <f>835-15+46+46</f>
        <v>912</v>
      </c>
      <c r="E60" s="390"/>
      <c r="F60" s="390"/>
      <c r="G60" s="405"/>
      <c r="H60" s="390"/>
      <c r="I60" s="390">
        <f>40+10+25+11+2</f>
        <v>88</v>
      </c>
      <c r="J60" s="390"/>
      <c r="K60" s="405"/>
      <c r="L60" s="389"/>
      <c r="M60" s="405"/>
      <c r="N60" s="405"/>
      <c r="O60" s="390"/>
      <c r="P60" s="390"/>
      <c r="Q60" s="405"/>
      <c r="R60" s="389"/>
      <c r="S60" s="389">
        <f>17-2-2</f>
        <v>13</v>
      </c>
      <c r="T60" s="389"/>
      <c r="U60" s="389"/>
      <c r="V60" s="389"/>
      <c r="W60" s="390"/>
      <c r="X60" s="390"/>
      <c r="Y60" s="390"/>
      <c r="Z60" s="389"/>
      <c r="AA60" s="390"/>
      <c r="AB60" s="393"/>
      <c r="AC60" s="389">
        <f>35-30</f>
        <v>5</v>
      </c>
      <c r="AD60" s="389">
        <f t="shared" si="30"/>
        <v>1068</v>
      </c>
      <c r="AE60" s="394"/>
      <c r="AF60" s="389">
        <f t="shared" si="31"/>
        <v>1068</v>
      </c>
    </row>
    <row r="61" spans="1:32" s="388" customFormat="1" ht="14.25" customHeight="1" x14ac:dyDescent="0.2">
      <c r="A61" s="392">
        <v>43</v>
      </c>
      <c r="B61" s="390"/>
      <c r="C61" s="390"/>
      <c r="D61" s="393">
        <f>220+18+21</f>
        <v>259</v>
      </c>
      <c r="E61" s="390"/>
      <c r="F61" s="390"/>
      <c r="G61" s="405"/>
      <c r="H61" s="390"/>
      <c r="I61" s="390"/>
      <c r="J61" s="390"/>
      <c r="K61" s="405"/>
      <c r="L61" s="389"/>
      <c r="M61" s="405"/>
      <c r="N61" s="405"/>
      <c r="O61" s="390"/>
      <c r="P61" s="390">
        <f>10+15</f>
        <v>25</v>
      </c>
      <c r="Q61" s="405"/>
      <c r="R61" s="389">
        <f>3-3</f>
        <v>0</v>
      </c>
      <c r="S61" s="389"/>
      <c r="T61" s="389"/>
      <c r="U61" s="389"/>
      <c r="V61" s="389"/>
      <c r="W61" s="390"/>
      <c r="X61" s="390"/>
      <c r="Y61" s="390"/>
      <c r="Z61" s="389"/>
      <c r="AA61" s="390"/>
      <c r="AB61" s="393"/>
      <c r="AC61" s="389"/>
      <c r="AD61" s="389">
        <f t="shared" si="30"/>
        <v>284</v>
      </c>
      <c r="AE61" s="394"/>
      <c r="AF61" s="389">
        <f t="shared" si="31"/>
        <v>284</v>
      </c>
    </row>
    <row r="62" spans="1:32" s="388" customFormat="1" ht="14.25" customHeight="1" x14ac:dyDescent="0.2">
      <c r="A62" s="392">
        <v>44</v>
      </c>
      <c r="B62" s="390"/>
      <c r="C62" s="390"/>
      <c r="D62" s="393">
        <f>5-3-1-1</f>
        <v>0</v>
      </c>
      <c r="E62" s="390"/>
      <c r="F62" s="390"/>
      <c r="G62" s="405"/>
      <c r="H62" s="390"/>
      <c r="I62" s="390"/>
      <c r="J62" s="390"/>
      <c r="K62" s="405"/>
      <c r="L62" s="389"/>
      <c r="M62" s="405"/>
      <c r="N62" s="405"/>
      <c r="O62" s="390"/>
      <c r="P62" s="390"/>
      <c r="Q62" s="405"/>
      <c r="R62" s="390"/>
      <c r="S62" s="389"/>
      <c r="T62" s="389"/>
      <c r="U62" s="389"/>
      <c r="V62" s="389"/>
      <c r="W62" s="390"/>
      <c r="X62" s="390"/>
      <c r="Y62" s="390"/>
      <c r="Z62" s="389"/>
      <c r="AA62" s="390"/>
      <c r="AB62" s="393"/>
      <c r="AC62" s="389"/>
      <c r="AD62" s="389">
        <f t="shared" si="30"/>
        <v>0</v>
      </c>
      <c r="AE62" s="394"/>
      <c r="AF62" s="389">
        <f t="shared" si="31"/>
        <v>0</v>
      </c>
    </row>
    <row r="63" spans="1:32" s="388" customFormat="1" ht="14.25" customHeight="1" x14ac:dyDescent="0.2">
      <c r="A63" s="392">
        <v>45</v>
      </c>
      <c r="B63" s="390"/>
      <c r="C63" s="390"/>
      <c r="D63" s="393">
        <f>650+58+99+13</f>
        <v>820</v>
      </c>
      <c r="E63" s="390"/>
      <c r="F63" s="390"/>
      <c r="G63" s="405"/>
      <c r="H63" s="390"/>
      <c r="I63" s="390"/>
      <c r="J63" s="390"/>
      <c r="K63" s="405"/>
      <c r="L63" s="389"/>
      <c r="M63" s="405"/>
      <c r="N63" s="405"/>
      <c r="O63" s="390"/>
      <c r="P63" s="390">
        <f>20+22-10</f>
        <v>32</v>
      </c>
      <c r="Q63" s="405"/>
      <c r="R63" s="390"/>
      <c r="S63" s="389"/>
      <c r="T63" s="389"/>
      <c r="U63" s="389"/>
      <c r="V63" s="389"/>
      <c r="W63" s="390"/>
      <c r="X63" s="390"/>
      <c r="Y63" s="390"/>
      <c r="Z63" s="389"/>
      <c r="AA63" s="390"/>
      <c r="AB63" s="393"/>
      <c r="AC63" s="389">
        <f>6-5</f>
        <v>1</v>
      </c>
      <c r="AD63" s="389">
        <f t="shared" si="30"/>
        <v>853</v>
      </c>
      <c r="AE63" s="394"/>
      <c r="AF63" s="389">
        <f t="shared" si="31"/>
        <v>853</v>
      </c>
    </row>
    <row r="64" spans="1:32" s="388" customFormat="1" ht="14.25" customHeight="1" x14ac:dyDescent="0.2">
      <c r="A64" s="392">
        <v>46</v>
      </c>
      <c r="B64" s="389"/>
      <c r="C64" s="389"/>
      <c r="D64" s="393">
        <f>350-15-20-15-20</f>
        <v>280</v>
      </c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93"/>
      <c r="AC64" s="389"/>
      <c r="AD64" s="389">
        <f t="shared" si="30"/>
        <v>280</v>
      </c>
      <c r="AE64" s="394"/>
      <c r="AF64" s="389">
        <f t="shared" si="31"/>
        <v>280</v>
      </c>
    </row>
    <row r="65" spans="1:32" s="388" customFormat="1" ht="19.5" customHeight="1" x14ac:dyDescent="0.2">
      <c r="A65" s="396" t="s">
        <v>637</v>
      </c>
      <c r="B65" s="401">
        <f t="shared" ref="B65:AF65" si="32">B66+B67</f>
        <v>24</v>
      </c>
      <c r="C65" s="401">
        <f t="shared" si="32"/>
        <v>0</v>
      </c>
      <c r="D65" s="401">
        <f t="shared" si="32"/>
        <v>0</v>
      </c>
      <c r="E65" s="401">
        <f t="shared" si="32"/>
        <v>3</v>
      </c>
      <c r="F65" s="401">
        <f t="shared" si="32"/>
        <v>0</v>
      </c>
      <c r="G65" s="401">
        <f t="shared" si="32"/>
        <v>0</v>
      </c>
      <c r="H65" s="401">
        <f t="shared" si="32"/>
        <v>0</v>
      </c>
      <c r="I65" s="401">
        <f t="shared" si="32"/>
        <v>0</v>
      </c>
      <c r="J65" s="401">
        <f t="shared" si="32"/>
        <v>0</v>
      </c>
      <c r="K65" s="401">
        <f t="shared" si="32"/>
        <v>0</v>
      </c>
      <c r="L65" s="401">
        <f t="shared" si="32"/>
        <v>0</v>
      </c>
      <c r="M65" s="401">
        <f t="shared" si="32"/>
        <v>0</v>
      </c>
      <c r="N65" s="401">
        <f t="shared" si="32"/>
        <v>0</v>
      </c>
      <c r="O65" s="401">
        <f t="shared" si="32"/>
        <v>0</v>
      </c>
      <c r="P65" s="401">
        <f t="shared" si="32"/>
        <v>0</v>
      </c>
      <c r="Q65" s="401">
        <f t="shared" si="32"/>
        <v>0</v>
      </c>
      <c r="R65" s="401">
        <f t="shared" si="32"/>
        <v>0</v>
      </c>
      <c r="S65" s="401">
        <f t="shared" si="32"/>
        <v>0</v>
      </c>
      <c r="T65" s="401">
        <f t="shared" si="32"/>
        <v>0</v>
      </c>
      <c r="U65" s="401">
        <f t="shared" si="32"/>
        <v>0</v>
      </c>
      <c r="V65" s="401">
        <f t="shared" si="32"/>
        <v>0</v>
      </c>
      <c r="W65" s="401">
        <f t="shared" si="32"/>
        <v>0</v>
      </c>
      <c r="X65" s="401">
        <f t="shared" si="32"/>
        <v>0</v>
      </c>
      <c r="Y65" s="401">
        <f t="shared" si="32"/>
        <v>0</v>
      </c>
      <c r="Z65" s="401">
        <f t="shared" ref="Z65" si="33">Z66+Z67</f>
        <v>0</v>
      </c>
      <c r="AA65" s="401">
        <f t="shared" si="32"/>
        <v>0</v>
      </c>
      <c r="AB65" s="401">
        <f t="shared" si="32"/>
        <v>0</v>
      </c>
      <c r="AC65" s="401">
        <f t="shared" si="32"/>
        <v>0</v>
      </c>
      <c r="AD65" s="401">
        <f t="shared" si="32"/>
        <v>27</v>
      </c>
      <c r="AE65" s="401">
        <f t="shared" si="32"/>
        <v>0</v>
      </c>
      <c r="AF65" s="401">
        <f t="shared" si="32"/>
        <v>27</v>
      </c>
    </row>
    <row r="66" spans="1:32" s="388" customFormat="1" ht="15.75" customHeight="1" x14ac:dyDescent="0.2">
      <c r="A66" s="392">
        <v>47</v>
      </c>
      <c r="B66" s="390">
        <v>10</v>
      </c>
      <c r="C66" s="390"/>
      <c r="D66" s="390"/>
      <c r="E66" s="390">
        <f>2+1-1</f>
        <v>2</v>
      </c>
      <c r="F66" s="390"/>
      <c r="G66" s="405"/>
      <c r="H66" s="390"/>
      <c r="I66" s="390"/>
      <c r="J66" s="390"/>
      <c r="K66" s="405"/>
      <c r="L66" s="389"/>
      <c r="M66" s="405"/>
      <c r="N66" s="405"/>
      <c r="O66" s="390"/>
      <c r="P66" s="390"/>
      <c r="Q66" s="405"/>
      <c r="R66" s="390"/>
      <c r="S66" s="389"/>
      <c r="T66" s="389"/>
      <c r="U66" s="389"/>
      <c r="V66" s="389"/>
      <c r="W66" s="390"/>
      <c r="X66" s="390"/>
      <c r="Y66" s="390"/>
      <c r="Z66" s="390"/>
      <c r="AA66" s="390"/>
      <c r="AB66" s="390"/>
      <c r="AC66" s="389"/>
      <c r="AD66" s="389">
        <f>B66+C66+D66+E66+F66+G66+H66+I66+J66+Z66+K66+L66+M66+N66+O66+P66+Q66+R66+S66+T66+U66+V66+W66+X66+Y66+AA66+AB66+AC66</f>
        <v>12</v>
      </c>
      <c r="AE66" s="394"/>
      <c r="AF66" s="389">
        <f>AD66+AE66</f>
        <v>12</v>
      </c>
    </row>
    <row r="67" spans="1:32" s="388" customFormat="1" ht="14.25" customHeight="1" x14ac:dyDescent="0.2">
      <c r="A67" s="392">
        <v>48</v>
      </c>
      <c r="B67" s="389">
        <f>10+4</f>
        <v>14</v>
      </c>
      <c r="C67" s="389"/>
      <c r="D67" s="389"/>
      <c r="E67" s="389">
        <f>3-2</f>
        <v>1</v>
      </c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>
        <f>B67+C67+D67+E67+F67+G67+H67+I67+J67+Z67+K67+L67+M67+N67+O67+P67+Q67+R67+S67+T67+U67+V67+W67+X67+Y67+AA67+AB67+AC67</f>
        <v>15</v>
      </c>
      <c r="AE67" s="394"/>
      <c r="AF67" s="389">
        <f>AD67+AE67</f>
        <v>15</v>
      </c>
    </row>
    <row r="68" spans="1:32" s="388" customFormat="1" ht="24" customHeight="1" x14ac:dyDescent="0.2">
      <c r="A68" s="396" t="s">
        <v>638</v>
      </c>
      <c r="B68" s="401">
        <f t="shared" ref="B68:AF68" si="34">SUM(B69:B73)</f>
        <v>361</v>
      </c>
      <c r="C68" s="401">
        <f t="shared" si="34"/>
        <v>0</v>
      </c>
      <c r="D68" s="401">
        <f t="shared" si="34"/>
        <v>0</v>
      </c>
      <c r="E68" s="401">
        <f t="shared" ref="E68" si="35">SUM(E69:E73)</f>
        <v>69</v>
      </c>
      <c r="F68" s="401">
        <f t="shared" si="34"/>
        <v>0</v>
      </c>
      <c r="G68" s="401">
        <f t="shared" si="34"/>
        <v>0</v>
      </c>
      <c r="H68" s="401">
        <f t="shared" si="34"/>
        <v>210</v>
      </c>
      <c r="I68" s="401">
        <f t="shared" si="34"/>
        <v>227</v>
      </c>
      <c r="J68" s="401">
        <f t="shared" si="34"/>
        <v>225</v>
      </c>
      <c r="K68" s="401">
        <f t="shared" si="34"/>
        <v>0</v>
      </c>
      <c r="L68" s="401">
        <f t="shared" si="34"/>
        <v>0</v>
      </c>
      <c r="M68" s="401">
        <f t="shared" si="34"/>
        <v>0</v>
      </c>
      <c r="N68" s="401">
        <f t="shared" si="34"/>
        <v>62</v>
      </c>
      <c r="O68" s="401">
        <f t="shared" si="34"/>
        <v>291</v>
      </c>
      <c r="P68" s="401">
        <f t="shared" si="34"/>
        <v>231</v>
      </c>
      <c r="Q68" s="401">
        <f t="shared" si="34"/>
        <v>0</v>
      </c>
      <c r="R68" s="401">
        <f t="shared" si="34"/>
        <v>30</v>
      </c>
      <c r="S68" s="401">
        <f t="shared" si="34"/>
        <v>23</v>
      </c>
      <c r="T68" s="401">
        <f t="shared" si="34"/>
        <v>40</v>
      </c>
      <c r="U68" s="401">
        <f t="shared" si="34"/>
        <v>0</v>
      </c>
      <c r="V68" s="401">
        <f t="shared" si="34"/>
        <v>15</v>
      </c>
      <c r="W68" s="401">
        <f t="shared" si="34"/>
        <v>30</v>
      </c>
      <c r="X68" s="401">
        <f t="shared" si="34"/>
        <v>73</v>
      </c>
      <c r="Y68" s="401">
        <f t="shared" si="34"/>
        <v>0</v>
      </c>
      <c r="Z68" s="401">
        <f t="shared" ref="Z68" si="36">SUM(Z69:Z73)</f>
        <v>0</v>
      </c>
      <c r="AA68" s="401">
        <f t="shared" si="34"/>
        <v>0</v>
      </c>
      <c r="AB68" s="401">
        <f t="shared" si="34"/>
        <v>0</v>
      </c>
      <c r="AC68" s="401">
        <f t="shared" si="34"/>
        <v>0</v>
      </c>
      <c r="AD68" s="401">
        <f t="shared" si="34"/>
        <v>1887</v>
      </c>
      <c r="AE68" s="401">
        <f t="shared" si="34"/>
        <v>0</v>
      </c>
      <c r="AF68" s="401">
        <f t="shared" si="34"/>
        <v>1887</v>
      </c>
    </row>
    <row r="69" spans="1:32" s="388" customFormat="1" ht="15.75" customHeight="1" x14ac:dyDescent="0.2">
      <c r="A69" s="403">
        <v>49</v>
      </c>
      <c r="B69" s="389">
        <f>70+8</f>
        <v>78</v>
      </c>
      <c r="C69" s="389"/>
      <c r="D69" s="389"/>
      <c r="E69" s="389">
        <v>60</v>
      </c>
      <c r="F69" s="389"/>
      <c r="G69" s="389"/>
      <c r="H69" s="389">
        <f>50-15</f>
        <v>35</v>
      </c>
      <c r="I69" s="389">
        <f>90-6-8-12-2</f>
        <v>62</v>
      </c>
      <c r="J69" s="389">
        <f>75+3+10</f>
        <v>88</v>
      </c>
      <c r="K69" s="389"/>
      <c r="L69" s="389"/>
      <c r="M69" s="389"/>
      <c r="N69" s="389">
        <v>16</v>
      </c>
      <c r="O69" s="389">
        <f>217+28+13+37-18</f>
        <v>277</v>
      </c>
      <c r="P69" s="389">
        <v>10</v>
      </c>
      <c r="Q69" s="389"/>
      <c r="R69" s="389">
        <v>10</v>
      </c>
      <c r="S69" s="389">
        <f>30-15-10</f>
        <v>5</v>
      </c>
      <c r="T69" s="389">
        <v>27</v>
      </c>
      <c r="U69" s="389"/>
      <c r="V69" s="389">
        <f>10-10</f>
        <v>0</v>
      </c>
      <c r="W69" s="389"/>
      <c r="X69" s="389">
        <f>36-11</f>
        <v>25</v>
      </c>
      <c r="Y69" s="389"/>
      <c r="Z69" s="389"/>
      <c r="AA69" s="389"/>
      <c r="AB69" s="389"/>
      <c r="AC69" s="389"/>
      <c r="AD69" s="389">
        <f>B69+C69+D69+E69+F69+G69+H69+I69+J69+Z69+K69+L69+M69+N69+O69+P69+Q69+R69+S69+T69+U69+V69+W69+X69+Y69+AA69+AB69+AC69</f>
        <v>693</v>
      </c>
      <c r="AE69" s="394">
        <f>10-10</f>
        <v>0</v>
      </c>
      <c r="AF69" s="389">
        <f>AD69+AE69</f>
        <v>693</v>
      </c>
    </row>
    <row r="70" spans="1:32" s="388" customFormat="1" ht="15.75" customHeight="1" x14ac:dyDescent="0.2">
      <c r="A70" s="403">
        <v>50</v>
      </c>
      <c r="B70" s="389">
        <f>0+15+2</f>
        <v>17</v>
      </c>
      <c r="C70" s="389"/>
      <c r="D70" s="389"/>
      <c r="E70" s="389">
        <f>3+1+5</f>
        <v>9</v>
      </c>
      <c r="F70" s="389"/>
      <c r="G70" s="389"/>
      <c r="H70" s="389"/>
      <c r="I70" s="389">
        <f>0+15+25+10</f>
        <v>50</v>
      </c>
      <c r="J70" s="389">
        <f>4+5+6+2</f>
        <v>17</v>
      </c>
      <c r="K70" s="389"/>
      <c r="L70" s="389"/>
      <c r="M70" s="389"/>
      <c r="N70" s="389"/>
      <c r="O70" s="389">
        <v>4</v>
      </c>
      <c r="P70" s="389"/>
      <c r="Q70" s="389"/>
      <c r="R70" s="389">
        <v>12</v>
      </c>
      <c r="S70" s="389">
        <v>3</v>
      </c>
      <c r="T70" s="389">
        <v>13</v>
      </c>
      <c r="U70" s="389"/>
      <c r="V70" s="389">
        <f>0+5</f>
        <v>5</v>
      </c>
      <c r="W70" s="389">
        <v>30</v>
      </c>
      <c r="X70" s="389">
        <f>22+9+3+2+1</f>
        <v>37</v>
      </c>
      <c r="Y70" s="389"/>
      <c r="Z70" s="389"/>
      <c r="AA70" s="389"/>
      <c r="AB70" s="389"/>
      <c r="AC70" s="389"/>
      <c r="AD70" s="389">
        <f>B70+C70+D70+E70+F70+G70+H70+I70+J70+Z70+K70+L70+M70+N70+O70+P70+Q70+R70+S70+T70+U70+V70+W70+X70+Y70+AA70+AB70+AC70</f>
        <v>197</v>
      </c>
      <c r="AE70" s="394">
        <f>12-12</f>
        <v>0</v>
      </c>
      <c r="AF70" s="389">
        <f>AD70+AE70</f>
        <v>197</v>
      </c>
    </row>
    <row r="71" spans="1:32" s="388" customFormat="1" ht="15.75" customHeight="1" x14ac:dyDescent="0.2">
      <c r="A71" s="403">
        <v>51</v>
      </c>
      <c r="B71" s="389">
        <f>150-15</f>
        <v>135</v>
      </c>
      <c r="C71" s="389"/>
      <c r="D71" s="389"/>
      <c r="E71" s="389"/>
      <c r="F71" s="389"/>
      <c r="G71" s="389"/>
      <c r="H71" s="389">
        <f>160+15</f>
        <v>175</v>
      </c>
      <c r="I71" s="389">
        <f>93+11+3</f>
        <v>107</v>
      </c>
      <c r="J71" s="389">
        <f>125-5</f>
        <v>120</v>
      </c>
      <c r="K71" s="389"/>
      <c r="L71" s="389"/>
      <c r="M71" s="389"/>
      <c r="N71" s="389">
        <f>63-16-1</f>
        <v>46</v>
      </c>
      <c r="O71" s="389"/>
      <c r="P71" s="389">
        <f>174+18-50</f>
        <v>142</v>
      </c>
      <c r="Q71" s="389"/>
      <c r="R71" s="389">
        <v>8</v>
      </c>
      <c r="S71" s="389">
        <f>0+15</f>
        <v>15</v>
      </c>
      <c r="T71" s="389"/>
      <c r="U71" s="389"/>
      <c r="V71" s="389">
        <v>10</v>
      </c>
      <c r="W71" s="389"/>
      <c r="X71" s="389">
        <f>20-9</f>
        <v>11</v>
      </c>
      <c r="Y71" s="389"/>
      <c r="Z71" s="389"/>
      <c r="AA71" s="389"/>
      <c r="AB71" s="389"/>
      <c r="AC71" s="389"/>
      <c r="AD71" s="389">
        <f>B71+C71+D71+E71+F71+G71+H71+I71+J71+Z71+K71+L71+M71+N71+O71+P71+Q71+R71+S71+T71+U71+V71+W71+X71+Y71+AA71+AB71+AC71</f>
        <v>769</v>
      </c>
      <c r="AE71" s="394">
        <f>16-16</f>
        <v>0</v>
      </c>
      <c r="AF71" s="389">
        <f>AD71+AE71</f>
        <v>769</v>
      </c>
    </row>
    <row r="72" spans="1:32" s="388" customFormat="1" ht="15.75" customHeight="1" x14ac:dyDescent="0.2">
      <c r="A72" s="403">
        <v>52</v>
      </c>
      <c r="B72" s="389">
        <f>150-19</f>
        <v>131</v>
      </c>
      <c r="C72" s="389"/>
      <c r="D72" s="389"/>
      <c r="E72" s="389"/>
      <c r="F72" s="389"/>
      <c r="G72" s="407"/>
      <c r="H72" s="389"/>
      <c r="I72" s="389">
        <f>7+1</f>
        <v>8</v>
      </c>
      <c r="J72" s="389"/>
      <c r="K72" s="407"/>
      <c r="L72" s="389"/>
      <c r="M72" s="407"/>
      <c r="N72" s="389"/>
      <c r="O72" s="389"/>
      <c r="P72" s="389">
        <f>50+44+23-38</f>
        <v>79</v>
      </c>
      <c r="Q72" s="407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>
        <f>B72+C72+D72+E72+F72+G72+H72+I72+J72+Z72+K72+L72+M72+N72+O72+P72+Q72+R72+S72+T72+U72+V72+W72+X72+Y72+AA72+AB72+AC72</f>
        <v>218</v>
      </c>
      <c r="AE72" s="394"/>
      <c r="AF72" s="389">
        <f>AD72+AE72</f>
        <v>218</v>
      </c>
    </row>
    <row r="73" spans="1:32" s="388" customFormat="1" ht="15.75" customHeight="1" x14ac:dyDescent="0.2">
      <c r="A73" s="403">
        <v>53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>
        <v>10</v>
      </c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>
        <f>B73+C73+D73+E73+F73+G73+H73+I73+J73+Z73+K73+L73+M73+N73+O73+P73+Q73+R73+S73+T73+U73+V73+W73+X73+Y73+AA73+AB73+AC73</f>
        <v>10</v>
      </c>
      <c r="AE73" s="394"/>
      <c r="AF73" s="389">
        <f>AD73+AE73</f>
        <v>10</v>
      </c>
    </row>
    <row r="74" spans="1:32" s="388" customFormat="1" ht="18.75" customHeight="1" x14ac:dyDescent="0.2">
      <c r="A74" s="396" t="s">
        <v>639</v>
      </c>
      <c r="B74" s="401">
        <f t="shared" ref="B74:AF74" si="37">B75+B76</f>
        <v>134</v>
      </c>
      <c r="C74" s="401">
        <f t="shared" si="37"/>
        <v>0</v>
      </c>
      <c r="D74" s="401">
        <f t="shared" si="37"/>
        <v>0</v>
      </c>
      <c r="E74" s="401">
        <f t="shared" si="37"/>
        <v>123</v>
      </c>
      <c r="F74" s="401">
        <f t="shared" si="37"/>
        <v>0</v>
      </c>
      <c r="G74" s="401">
        <f t="shared" si="37"/>
        <v>0</v>
      </c>
      <c r="H74" s="401">
        <f t="shared" si="37"/>
        <v>0</v>
      </c>
      <c r="I74" s="401">
        <f t="shared" si="37"/>
        <v>0</v>
      </c>
      <c r="J74" s="401">
        <f t="shared" si="37"/>
        <v>9</v>
      </c>
      <c r="K74" s="401">
        <f t="shared" si="37"/>
        <v>0</v>
      </c>
      <c r="L74" s="401">
        <f t="shared" si="37"/>
        <v>30</v>
      </c>
      <c r="M74" s="401">
        <f t="shared" si="37"/>
        <v>0</v>
      </c>
      <c r="N74" s="401">
        <f t="shared" si="37"/>
        <v>0</v>
      </c>
      <c r="O74" s="401">
        <f t="shared" si="37"/>
        <v>40</v>
      </c>
      <c r="P74" s="401">
        <f t="shared" si="37"/>
        <v>0</v>
      </c>
      <c r="Q74" s="401">
        <f t="shared" si="37"/>
        <v>0</v>
      </c>
      <c r="R74" s="401">
        <f t="shared" si="37"/>
        <v>0</v>
      </c>
      <c r="S74" s="401">
        <f t="shared" si="37"/>
        <v>0</v>
      </c>
      <c r="T74" s="401">
        <f t="shared" si="37"/>
        <v>0</v>
      </c>
      <c r="U74" s="401">
        <f t="shared" si="37"/>
        <v>0</v>
      </c>
      <c r="V74" s="401">
        <f t="shared" si="37"/>
        <v>0</v>
      </c>
      <c r="W74" s="401">
        <f t="shared" si="37"/>
        <v>0</v>
      </c>
      <c r="X74" s="401">
        <f t="shared" si="37"/>
        <v>0</v>
      </c>
      <c r="Y74" s="401">
        <f t="shared" si="37"/>
        <v>7</v>
      </c>
      <c r="Z74" s="401">
        <f t="shared" si="37"/>
        <v>0</v>
      </c>
      <c r="AA74" s="401">
        <f t="shared" si="37"/>
        <v>50</v>
      </c>
      <c r="AB74" s="401">
        <f t="shared" si="37"/>
        <v>0</v>
      </c>
      <c r="AC74" s="401">
        <f t="shared" si="37"/>
        <v>0</v>
      </c>
      <c r="AD74" s="401">
        <f t="shared" si="37"/>
        <v>393</v>
      </c>
      <c r="AE74" s="401">
        <f t="shared" si="37"/>
        <v>0</v>
      </c>
      <c r="AF74" s="401">
        <f t="shared" si="37"/>
        <v>393</v>
      </c>
    </row>
    <row r="75" spans="1:32" s="388" customFormat="1" ht="18" customHeight="1" x14ac:dyDescent="0.2">
      <c r="A75" s="392">
        <v>54</v>
      </c>
      <c r="B75" s="389">
        <f>100+14</f>
        <v>114</v>
      </c>
      <c r="C75" s="389"/>
      <c r="D75" s="389"/>
      <c r="E75" s="389">
        <f>130-10+3</f>
        <v>123</v>
      </c>
      <c r="F75" s="389"/>
      <c r="G75" s="389"/>
      <c r="H75" s="389"/>
      <c r="I75" s="389"/>
      <c r="J75" s="389">
        <f>10-1</f>
        <v>9</v>
      </c>
      <c r="K75" s="389"/>
      <c r="L75" s="389">
        <v>20</v>
      </c>
      <c r="M75" s="389"/>
      <c r="N75" s="389"/>
      <c r="O75" s="389">
        <f>36+8-4</f>
        <v>40</v>
      </c>
      <c r="P75" s="389"/>
      <c r="Q75" s="389"/>
      <c r="R75" s="389"/>
      <c r="S75" s="389"/>
      <c r="T75" s="389"/>
      <c r="U75" s="389"/>
      <c r="V75" s="389"/>
      <c r="W75" s="389"/>
      <c r="X75" s="389"/>
      <c r="Y75" s="389">
        <v>7</v>
      </c>
      <c r="Z75" s="389"/>
      <c r="AA75" s="389">
        <v>40</v>
      </c>
      <c r="AB75" s="389"/>
      <c r="AC75" s="389"/>
      <c r="AD75" s="389">
        <f>B75+C75+D75+E75+F75+G75+H75+I75+J75+Z75+K75+L75+M75+N75+O75+P75+Q75+R75+S75+T75+U75+V75+W75+X75+Y75+AA75+AB75+AC75</f>
        <v>353</v>
      </c>
      <c r="AE75" s="394"/>
      <c r="AF75" s="389">
        <f>AD75+AE75</f>
        <v>353</v>
      </c>
    </row>
    <row r="76" spans="1:32" s="388" customFormat="1" ht="12.75" customHeight="1" x14ac:dyDescent="0.2">
      <c r="A76" s="392">
        <v>55</v>
      </c>
      <c r="B76" s="389">
        <f>30-10</f>
        <v>20</v>
      </c>
      <c r="C76" s="389"/>
      <c r="D76" s="389"/>
      <c r="E76" s="389"/>
      <c r="F76" s="389"/>
      <c r="G76" s="389"/>
      <c r="H76" s="389"/>
      <c r="I76" s="389"/>
      <c r="J76" s="389"/>
      <c r="K76" s="389"/>
      <c r="L76" s="389">
        <v>10</v>
      </c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>
        <v>10</v>
      </c>
      <c r="AB76" s="389"/>
      <c r="AC76" s="389"/>
      <c r="AD76" s="389">
        <f>B76+C76+D76+E76+F76+G76+H76+I76+J76+Z76+K76+L76+M76+N76+O76+P76+Q76+R76+S76+T76+U76+V76+W76+X76+Y76+AA76+AB76+AC76</f>
        <v>40</v>
      </c>
      <c r="AE76" s="394"/>
      <c r="AF76" s="389">
        <f>AD76+AE76</f>
        <v>40</v>
      </c>
    </row>
    <row r="77" spans="1:32" s="388" customFormat="1" ht="24.75" customHeight="1" x14ac:dyDescent="0.2">
      <c r="A77" s="396" t="s">
        <v>640</v>
      </c>
      <c r="B77" s="401">
        <f t="shared" ref="B77:AF77" si="38">B78</f>
        <v>0</v>
      </c>
      <c r="C77" s="401">
        <f t="shared" si="38"/>
        <v>0</v>
      </c>
      <c r="D77" s="401">
        <f t="shared" si="38"/>
        <v>0</v>
      </c>
      <c r="E77" s="401">
        <f t="shared" si="38"/>
        <v>56</v>
      </c>
      <c r="F77" s="401">
        <f t="shared" si="38"/>
        <v>0</v>
      </c>
      <c r="G77" s="401">
        <f t="shared" si="38"/>
        <v>0</v>
      </c>
      <c r="H77" s="401">
        <f t="shared" si="38"/>
        <v>0</v>
      </c>
      <c r="I77" s="401">
        <f t="shared" si="38"/>
        <v>0</v>
      </c>
      <c r="J77" s="401">
        <f t="shared" si="38"/>
        <v>61</v>
      </c>
      <c r="K77" s="401">
        <f t="shared" si="38"/>
        <v>0</v>
      </c>
      <c r="L77" s="401">
        <f t="shared" si="38"/>
        <v>0</v>
      </c>
      <c r="M77" s="401">
        <f t="shared" si="38"/>
        <v>0</v>
      </c>
      <c r="N77" s="401">
        <f t="shared" si="38"/>
        <v>0</v>
      </c>
      <c r="O77" s="401">
        <f t="shared" si="38"/>
        <v>0</v>
      </c>
      <c r="P77" s="401">
        <f t="shared" si="38"/>
        <v>0</v>
      </c>
      <c r="Q77" s="401">
        <f t="shared" si="38"/>
        <v>0</v>
      </c>
      <c r="R77" s="401">
        <f t="shared" si="38"/>
        <v>0</v>
      </c>
      <c r="S77" s="401">
        <f t="shared" si="38"/>
        <v>0</v>
      </c>
      <c r="T77" s="401">
        <f t="shared" si="38"/>
        <v>0</v>
      </c>
      <c r="U77" s="401">
        <f t="shared" si="38"/>
        <v>0</v>
      </c>
      <c r="V77" s="401">
        <f t="shared" si="38"/>
        <v>0</v>
      </c>
      <c r="W77" s="401">
        <f t="shared" si="38"/>
        <v>0</v>
      </c>
      <c r="X77" s="401">
        <f t="shared" si="38"/>
        <v>19</v>
      </c>
      <c r="Y77" s="401">
        <f t="shared" si="38"/>
        <v>0</v>
      </c>
      <c r="Z77" s="401">
        <f t="shared" si="38"/>
        <v>0</v>
      </c>
      <c r="AA77" s="401">
        <f t="shared" si="38"/>
        <v>0</v>
      </c>
      <c r="AB77" s="401">
        <f t="shared" si="38"/>
        <v>0</v>
      </c>
      <c r="AC77" s="401">
        <f t="shared" si="38"/>
        <v>0</v>
      </c>
      <c r="AD77" s="401">
        <f t="shared" si="38"/>
        <v>136</v>
      </c>
      <c r="AE77" s="401">
        <f t="shared" si="38"/>
        <v>0</v>
      </c>
      <c r="AF77" s="401">
        <f t="shared" si="38"/>
        <v>136</v>
      </c>
    </row>
    <row r="78" spans="1:32" s="388" customFormat="1" ht="16.5" customHeight="1" x14ac:dyDescent="0.2">
      <c r="A78" s="392">
        <v>56</v>
      </c>
      <c r="B78" s="389"/>
      <c r="C78" s="389"/>
      <c r="D78" s="389"/>
      <c r="E78" s="389">
        <f>65-10+1</f>
        <v>56</v>
      </c>
      <c r="F78" s="389"/>
      <c r="G78" s="389"/>
      <c r="H78" s="389"/>
      <c r="I78" s="389"/>
      <c r="J78" s="389">
        <f>60+3-2</f>
        <v>61</v>
      </c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>
        <f>20-3+2</f>
        <v>19</v>
      </c>
      <c r="Y78" s="389"/>
      <c r="Z78" s="389"/>
      <c r="AA78" s="389"/>
      <c r="AB78" s="389"/>
      <c r="AC78" s="389"/>
      <c r="AD78" s="389">
        <f>B78+C78+D78+E78+F78+G78+H78+I78+J78+Z78+K78+L78+M78+N78+O78+P78+Q78+R78+S78+T78+U78+V78+W78+X78+Y78+AA78+AB78+AC78</f>
        <v>136</v>
      </c>
      <c r="AE78" s="394"/>
      <c r="AF78" s="389">
        <f>AD78+AE78</f>
        <v>136</v>
      </c>
    </row>
    <row r="79" spans="1:32" s="388" customFormat="1" ht="18.75" customHeight="1" x14ac:dyDescent="0.2">
      <c r="A79" s="396" t="s">
        <v>641</v>
      </c>
      <c r="B79" s="401">
        <f t="shared" ref="B79:AF79" si="39">B80+B81</f>
        <v>20</v>
      </c>
      <c r="C79" s="401">
        <f t="shared" si="39"/>
        <v>0</v>
      </c>
      <c r="D79" s="401">
        <f t="shared" si="39"/>
        <v>0</v>
      </c>
      <c r="E79" s="401">
        <f t="shared" si="39"/>
        <v>170</v>
      </c>
      <c r="F79" s="401">
        <f t="shared" si="39"/>
        <v>0</v>
      </c>
      <c r="G79" s="401">
        <f t="shared" si="39"/>
        <v>0</v>
      </c>
      <c r="H79" s="401">
        <f t="shared" si="39"/>
        <v>0</v>
      </c>
      <c r="I79" s="401">
        <f t="shared" si="39"/>
        <v>0</v>
      </c>
      <c r="J79" s="401">
        <f t="shared" si="39"/>
        <v>20</v>
      </c>
      <c r="K79" s="401">
        <f t="shared" si="39"/>
        <v>0</v>
      </c>
      <c r="L79" s="401">
        <f t="shared" si="39"/>
        <v>0</v>
      </c>
      <c r="M79" s="401">
        <f t="shared" si="39"/>
        <v>0</v>
      </c>
      <c r="N79" s="401">
        <f t="shared" si="39"/>
        <v>0</v>
      </c>
      <c r="O79" s="401">
        <f t="shared" si="39"/>
        <v>0</v>
      </c>
      <c r="P79" s="401">
        <f t="shared" si="39"/>
        <v>0</v>
      </c>
      <c r="Q79" s="401">
        <f t="shared" si="39"/>
        <v>0</v>
      </c>
      <c r="R79" s="401">
        <f t="shared" si="39"/>
        <v>0</v>
      </c>
      <c r="S79" s="401">
        <f t="shared" si="39"/>
        <v>0</v>
      </c>
      <c r="T79" s="401">
        <f t="shared" si="39"/>
        <v>0</v>
      </c>
      <c r="U79" s="401">
        <f t="shared" si="39"/>
        <v>0</v>
      </c>
      <c r="V79" s="401">
        <f t="shared" si="39"/>
        <v>0</v>
      </c>
      <c r="W79" s="401">
        <f t="shared" si="39"/>
        <v>0</v>
      </c>
      <c r="X79" s="401">
        <f t="shared" si="39"/>
        <v>0</v>
      </c>
      <c r="Y79" s="401">
        <f t="shared" si="39"/>
        <v>0</v>
      </c>
      <c r="Z79" s="401">
        <f t="shared" ref="Z79" si="40">Z80+Z81</f>
        <v>0</v>
      </c>
      <c r="AA79" s="401">
        <f t="shared" si="39"/>
        <v>0</v>
      </c>
      <c r="AB79" s="401">
        <f t="shared" si="39"/>
        <v>0</v>
      </c>
      <c r="AC79" s="401">
        <f t="shared" si="39"/>
        <v>0</v>
      </c>
      <c r="AD79" s="401">
        <f t="shared" si="39"/>
        <v>210</v>
      </c>
      <c r="AE79" s="401">
        <f t="shared" si="39"/>
        <v>0</v>
      </c>
      <c r="AF79" s="401">
        <f t="shared" si="39"/>
        <v>210</v>
      </c>
    </row>
    <row r="80" spans="1:32" s="388" customFormat="1" ht="15.75" customHeight="1" x14ac:dyDescent="0.2">
      <c r="A80" s="392">
        <v>57</v>
      </c>
      <c r="B80" s="389">
        <v>20</v>
      </c>
      <c r="C80" s="389"/>
      <c r="D80" s="389"/>
      <c r="E80" s="389">
        <v>170</v>
      </c>
      <c r="F80" s="389"/>
      <c r="G80" s="389"/>
      <c r="H80" s="389"/>
      <c r="I80" s="389"/>
      <c r="J80" s="389">
        <v>20</v>
      </c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>
        <f>B80+C80+D80+E80+F80+G80+H80+I80+J80+Z80+K80+L80+M80+N80+O80+P80+Q80+R80+S80+T80+U80+V80+W80+X80+Y80+AA80+AB80+AC80</f>
        <v>210</v>
      </c>
      <c r="AE80" s="394"/>
      <c r="AF80" s="389">
        <f>AD80+AE80</f>
        <v>210</v>
      </c>
    </row>
    <row r="81" spans="1:32" s="388" customFormat="1" ht="17.25" customHeight="1" x14ac:dyDescent="0.2">
      <c r="A81" s="392">
        <v>58</v>
      </c>
      <c r="B81" s="389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>
        <f>B81+C81+D81+E81+F81+G81+H81+I81+J81+Z81+K81+L81+M81+N81+O81+P81+Q81+R81+S81+T81+U81+V81+W81+X81+Y81+AA81+AB81+AC81</f>
        <v>0</v>
      </c>
      <c r="AE81" s="394"/>
      <c r="AF81" s="389">
        <f>AD81+AE81</f>
        <v>0</v>
      </c>
    </row>
    <row r="82" spans="1:32" s="388" customFormat="1" ht="18.75" customHeight="1" x14ac:dyDescent="0.2">
      <c r="A82" s="396" t="s">
        <v>1</v>
      </c>
      <c r="B82" s="401">
        <f t="shared" ref="B82:AF82" si="41">B4+B7+B10+B12+B15+B17+B19+B22+B29+B32+B39+B43+B51+B53+B65+B68+B74+B77+B79+B46</f>
        <v>2603</v>
      </c>
      <c r="C82" s="401">
        <f t="shared" si="41"/>
        <v>1587</v>
      </c>
      <c r="D82" s="401">
        <f t="shared" si="41"/>
        <v>3408</v>
      </c>
      <c r="E82" s="401">
        <f t="shared" si="41"/>
        <v>1131</v>
      </c>
      <c r="F82" s="401">
        <f t="shared" si="41"/>
        <v>766</v>
      </c>
      <c r="G82" s="401">
        <f t="shared" si="41"/>
        <v>52</v>
      </c>
      <c r="H82" s="401">
        <f t="shared" si="41"/>
        <v>210</v>
      </c>
      <c r="I82" s="401">
        <f t="shared" si="41"/>
        <v>1001</v>
      </c>
      <c r="J82" s="401">
        <f t="shared" si="41"/>
        <v>1210</v>
      </c>
      <c r="K82" s="401">
        <f t="shared" si="41"/>
        <v>2400</v>
      </c>
      <c r="L82" s="401">
        <f t="shared" si="41"/>
        <v>30</v>
      </c>
      <c r="M82" s="401">
        <f t="shared" si="41"/>
        <v>200</v>
      </c>
      <c r="N82" s="401">
        <f t="shared" si="41"/>
        <v>373</v>
      </c>
      <c r="O82" s="401">
        <f t="shared" si="41"/>
        <v>405</v>
      </c>
      <c r="P82" s="401">
        <f t="shared" si="41"/>
        <v>769</v>
      </c>
      <c r="Q82" s="401">
        <f t="shared" si="41"/>
        <v>116</v>
      </c>
      <c r="R82" s="401">
        <f t="shared" si="41"/>
        <v>227</v>
      </c>
      <c r="S82" s="401">
        <f t="shared" si="41"/>
        <v>191</v>
      </c>
      <c r="T82" s="401">
        <f t="shared" si="41"/>
        <v>65</v>
      </c>
      <c r="U82" s="401">
        <f t="shared" si="41"/>
        <v>162</v>
      </c>
      <c r="V82" s="401">
        <f t="shared" si="41"/>
        <v>25</v>
      </c>
      <c r="W82" s="401">
        <f t="shared" si="41"/>
        <v>253</v>
      </c>
      <c r="X82" s="401">
        <f t="shared" si="41"/>
        <v>929</v>
      </c>
      <c r="Y82" s="401">
        <f t="shared" si="41"/>
        <v>42</v>
      </c>
      <c r="Z82" s="401">
        <f t="shared" si="41"/>
        <v>57</v>
      </c>
      <c r="AA82" s="401">
        <f t="shared" si="41"/>
        <v>265</v>
      </c>
      <c r="AB82" s="401">
        <f t="shared" si="41"/>
        <v>10</v>
      </c>
      <c r="AC82" s="401">
        <f t="shared" si="41"/>
        <v>352</v>
      </c>
      <c r="AD82" s="401">
        <f t="shared" si="41"/>
        <v>18839</v>
      </c>
      <c r="AE82" s="401">
        <f t="shared" si="41"/>
        <v>0</v>
      </c>
      <c r="AF82" s="401">
        <f t="shared" si="41"/>
        <v>18839</v>
      </c>
    </row>
    <row r="83" spans="1:32" x14ac:dyDescent="0.2">
      <c r="C83" s="410"/>
      <c r="D83" s="410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399"/>
      <c r="X83" s="410"/>
      <c r="Y83" s="410"/>
      <c r="Z83" s="410"/>
      <c r="AA83" s="410"/>
      <c r="AB83" s="410"/>
      <c r="AC83" s="410"/>
      <c r="AD83" s="410"/>
      <c r="AE83" s="399"/>
      <c r="AF83" s="410"/>
    </row>
    <row r="84" spans="1:32" x14ac:dyDescent="0.2">
      <c r="AF84" s="399"/>
    </row>
  </sheetData>
  <mergeCells count="1">
    <mergeCell ref="A1:A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94" sqref="E94"/>
    </sheetView>
  </sheetViews>
  <sheetFormatPr defaultRowHeight="15" x14ac:dyDescent="0.25"/>
  <cols>
    <col min="1" max="1" width="5.7109375" style="350" customWidth="1"/>
    <col min="2" max="2" width="9.140625" style="350"/>
    <col min="3" max="3" width="34.140625" style="363" customWidth="1"/>
    <col min="4" max="5" width="9.140625" style="350"/>
    <col min="6" max="6" width="10.140625" style="350" customWidth="1"/>
    <col min="7" max="7" width="9.140625" style="350"/>
    <col min="8" max="8" width="10.28515625" style="350" customWidth="1"/>
    <col min="9" max="9" width="11.28515625" style="350" customWidth="1"/>
    <col min="10" max="10" width="9.140625" style="350"/>
    <col min="11" max="11" width="10.42578125" style="350" customWidth="1"/>
    <col min="12" max="12" width="10.7109375" style="337" customWidth="1"/>
    <col min="13" max="16384" width="9.140625" style="350"/>
  </cols>
  <sheetData>
    <row r="1" spans="1:12" s="334" customFormat="1" x14ac:dyDescent="0.25">
      <c r="A1" s="534" t="s">
        <v>573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</row>
    <row r="2" spans="1:12" s="337" customFormat="1" x14ac:dyDescent="0.25">
      <c r="A2" s="335"/>
      <c r="B2" s="335"/>
      <c r="C2" s="336"/>
      <c r="D2" s="335"/>
      <c r="E2" s="335"/>
      <c r="F2" s="335"/>
      <c r="G2" s="335"/>
      <c r="H2" s="335"/>
      <c r="I2" s="335"/>
      <c r="J2" s="335"/>
      <c r="K2" s="335"/>
    </row>
    <row r="3" spans="1:12" s="338" customFormat="1" ht="29.25" customHeight="1" x14ac:dyDescent="0.2">
      <c r="A3" s="535" t="s">
        <v>0</v>
      </c>
      <c r="B3" s="535" t="s">
        <v>551</v>
      </c>
      <c r="C3" s="535" t="s">
        <v>352</v>
      </c>
      <c r="D3" s="537" t="s">
        <v>552</v>
      </c>
      <c r="E3" s="539" t="s">
        <v>553</v>
      </c>
      <c r="F3" s="541" t="s">
        <v>16</v>
      </c>
      <c r="G3" s="542"/>
      <c r="H3" s="542"/>
      <c r="I3" s="542"/>
      <c r="J3" s="542"/>
      <c r="K3" s="543" t="s">
        <v>554</v>
      </c>
      <c r="L3" s="543"/>
    </row>
    <row r="4" spans="1:12" s="338" customFormat="1" ht="57" thickBot="1" x14ac:dyDescent="0.25">
      <c r="A4" s="536"/>
      <c r="B4" s="536"/>
      <c r="C4" s="536"/>
      <c r="D4" s="538"/>
      <c r="E4" s="540"/>
      <c r="F4" s="339" t="s">
        <v>555</v>
      </c>
      <c r="G4" s="340" t="s">
        <v>556</v>
      </c>
      <c r="H4" s="340" t="s">
        <v>557</v>
      </c>
      <c r="I4" s="340" t="s">
        <v>558</v>
      </c>
      <c r="J4" s="340" t="s">
        <v>559</v>
      </c>
      <c r="K4" s="340" t="s">
        <v>560</v>
      </c>
      <c r="L4" s="340" t="s">
        <v>561</v>
      </c>
    </row>
    <row r="5" spans="1:12" s="337" customFormat="1" ht="15.75" thickBot="1" x14ac:dyDescent="0.3">
      <c r="A5" s="341"/>
      <c r="B5" s="341"/>
      <c r="C5" s="361" t="s">
        <v>477</v>
      </c>
      <c r="D5" s="362">
        <f t="shared" ref="D5:I5" si="0">SUM(D7:D154)+D6</f>
        <v>258268</v>
      </c>
      <c r="E5" s="362">
        <f t="shared" si="0"/>
        <v>244379</v>
      </c>
      <c r="F5" s="362">
        <f t="shared" si="0"/>
        <v>100</v>
      </c>
      <c r="G5" s="362">
        <f t="shared" si="0"/>
        <v>1801</v>
      </c>
      <c r="H5" s="362">
        <f t="shared" si="0"/>
        <v>27649</v>
      </c>
      <c r="I5" s="362">
        <f t="shared" si="0"/>
        <v>5124</v>
      </c>
      <c r="J5" s="362">
        <f>SUM(J7:J154)</f>
        <v>177</v>
      </c>
      <c r="K5" s="362">
        <f>SUM(K7:K154)+K6</f>
        <v>13496</v>
      </c>
      <c r="L5" s="362">
        <f>SUM(L7:L154)+L6</f>
        <v>393</v>
      </c>
    </row>
    <row r="6" spans="1:12" s="337" customFormat="1" x14ac:dyDescent="0.25">
      <c r="A6" s="341"/>
      <c r="B6" s="341"/>
      <c r="C6" s="365" t="s">
        <v>17</v>
      </c>
      <c r="D6" s="341">
        <f>E6+K6</f>
        <v>918</v>
      </c>
      <c r="E6" s="360">
        <v>918</v>
      </c>
      <c r="F6" s="360"/>
      <c r="G6" s="360">
        <f>16+25</f>
        <v>41</v>
      </c>
      <c r="H6" s="360">
        <f>105-3+396+4</f>
        <v>502</v>
      </c>
      <c r="I6" s="360">
        <f>0+175</f>
        <v>175</v>
      </c>
      <c r="J6" s="360"/>
      <c r="K6" s="341"/>
      <c r="L6" s="341"/>
    </row>
    <row r="7" spans="1:12" s="337" customFormat="1" x14ac:dyDescent="0.25">
      <c r="A7" s="341">
        <v>1</v>
      </c>
      <c r="B7" s="341" t="s">
        <v>19</v>
      </c>
      <c r="C7" s="342" t="s">
        <v>20</v>
      </c>
      <c r="D7" s="341">
        <f t="shared" ref="D7:D19" si="1">E7+K7</f>
        <v>1091</v>
      </c>
      <c r="E7" s="341">
        <f>915+176</f>
        <v>1091</v>
      </c>
      <c r="F7" s="341"/>
      <c r="G7" s="341">
        <v>0</v>
      </c>
      <c r="H7" s="341">
        <v>0</v>
      </c>
      <c r="I7" s="341">
        <v>0</v>
      </c>
      <c r="J7" s="341">
        <v>0</v>
      </c>
      <c r="K7" s="341"/>
      <c r="L7" s="341"/>
    </row>
    <row r="8" spans="1:12" s="337" customFormat="1" x14ac:dyDescent="0.25">
      <c r="A8" s="341">
        <v>2</v>
      </c>
      <c r="B8" s="341" t="s">
        <v>21</v>
      </c>
      <c r="C8" s="342" t="s">
        <v>153</v>
      </c>
      <c r="D8" s="341">
        <f t="shared" si="1"/>
        <v>1075</v>
      </c>
      <c r="E8" s="341">
        <f>935+140</f>
        <v>1075</v>
      </c>
      <c r="F8" s="341"/>
      <c r="G8" s="341">
        <v>0</v>
      </c>
      <c r="H8" s="341">
        <v>0</v>
      </c>
      <c r="I8" s="341">
        <v>0</v>
      </c>
      <c r="J8" s="341">
        <v>0</v>
      </c>
      <c r="K8" s="341"/>
      <c r="L8" s="341"/>
    </row>
    <row r="9" spans="1:12" s="337" customFormat="1" x14ac:dyDescent="0.25">
      <c r="A9" s="341">
        <v>3</v>
      </c>
      <c r="B9" s="341" t="s">
        <v>22</v>
      </c>
      <c r="C9" s="342" t="s">
        <v>23</v>
      </c>
      <c r="D9" s="341">
        <f t="shared" si="1"/>
        <v>2110</v>
      </c>
      <c r="E9" s="341">
        <f>2795-685</f>
        <v>2110</v>
      </c>
      <c r="F9" s="341"/>
      <c r="G9" s="341">
        <v>0</v>
      </c>
      <c r="H9" s="341">
        <v>0</v>
      </c>
      <c r="I9" s="341">
        <v>0</v>
      </c>
      <c r="J9" s="341">
        <v>6</v>
      </c>
      <c r="K9" s="341"/>
      <c r="L9" s="341"/>
    </row>
    <row r="10" spans="1:12" s="337" customFormat="1" x14ac:dyDescent="0.25">
      <c r="A10" s="341">
        <v>4</v>
      </c>
      <c r="B10" s="341" t="s">
        <v>24</v>
      </c>
      <c r="C10" s="342" t="s">
        <v>154</v>
      </c>
      <c r="D10" s="341">
        <f t="shared" si="1"/>
        <v>1179</v>
      </c>
      <c r="E10" s="341">
        <f>1026+153</f>
        <v>1179</v>
      </c>
      <c r="F10" s="341"/>
      <c r="G10" s="341">
        <v>0</v>
      </c>
      <c r="H10" s="341">
        <v>0</v>
      </c>
      <c r="I10" s="341">
        <v>0</v>
      </c>
      <c r="J10" s="341">
        <v>0</v>
      </c>
      <c r="K10" s="341"/>
      <c r="L10" s="341"/>
    </row>
    <row r="11" spans="1:12" s="337" customFormat="1" ht="12.75" customHeight="1" x14ac:dyDescent="0.25">
      <c r="A11" s="341">
        <v>5</v>
      </c>
      <c r="B11" s="341" t="s">
        <v>25</v>
      </c>
      <c r="C11" s="342" t="s">
        <v>26</v>
      </c>
      <c r="D11" s="341">
        <f t="shared" si="1"/>
        <v>1378</v>
      </c>
      <c r="E11" s="341">
        <f>1108+185+85</f>
        <v>1378</v>
      </c>
      <c r="F11" s="341"/>
      <c r="G11" s="341">
        <v>0</v>
      </c>
      <c r="H11" s="341">
        <v>0</v>
      </c>
      <c r="I11" s="341">
        <v>0</v>
      </c>
      <c r="J11" s="341">
        <v>0</v>
      </c>
      <c r="K11" s="341"/>
      <c r="L11" s="341"/>
    </row>
    <row r="12" spans="1:12" s="337" customFormat="1" x14ac:dyDescent="0.25">
      <c r="A12" s="341">
        <v>6</v>
      </c>
      <c r="B12" s="341" t="s">
        <v>4</v>
      </c>
      <c r="C12" s="342" t="s">
        <v>27</v>
      </c>
      <c r="D12" s="341">
        <f t="shared" si="1"/>
        <v>7702</v>
      </c>
      <c r="E12" s="341">
        <f>7691+4+2-10+4+11</f>
        <v>7702</v>
      </c>
      <c r="F12" s="341"/>
      <c r="G12" s="341">
        <v>0</v>
      </c>
      <c r="H12" s="341">
        <f>26-10+4+11</f>
        <v>31</v>
      </c>
      <c r="I12" s="341">
        <v>0</v>
      </c>
      <c r="J12" s="341">
        <v>10</v>
      </c>
      <c r="K12" s="341"/>
      <c r="L12" s="341"/>
    </row>
    <row r="13" spans="1:12" s="337" customFormat="1" x14ac:dyDescent="0.25">
      <c r="A13" s="341">
        <v>7</v>
      </c>
      <c r="B13" s="341" t="s">
        <v>28</v>
      </c>
      <c r="C13" s="342" t="s">
        <v>155</v>
      </c>
      <c r="D13" s="341">
        <f t="shared" si="1"/>
        <v>2634</v>
      </c>
      <c r="E13" s="341">
        <f>2797-1-162</f>
        <v>2634</v>
      </c>
      <c r="F13" s="341"/>
      <c r="G13" s="341">
        <v>0</v>
      </c>
      <c r="H13" s="341">
        <v>0</v>
      </c>
      <c r="I13" s="341">
        <v>0</v>
      </c>
      <c r="J13" s="341">
        <v>1</v>
      </c>
      <c r="K13" s="341"/>
      <c r="L13" s="341"/>
    </row>
    <row r="14" spans="1:12" s="337" customFormat="1" x14ac:dyDescent="0.25">
      <c r="A14" s="341">
        <v>8</v>
      </c>
      <c r="B14" s="341" t="s">
        <v>29</v>
      </c>
      <c r="C14" s="342" t="s">
        <v>30</v>
      </c>
      <c r="D14" s="341">
        <f t="shared" si="1"/>
        <v>1321</v>
      </c>
      <c r="E14" s="341">
        <f>1170+151</f>
        <v>1321</v>
      </c>
      <c r="F14" s="341"/>
      <c r="G14" s="341">
        <v>0</v>
      </c>
      <c r="H14" s="341">
        <v>0</v>
      </c>
      <c r="I14" s="341">
        <v>0</v>
      </c>
      <c r="J14" s="341">
        <v>0</v>
      </c>
      <c r="K14" s="341"/>
      <c r="L14" s="341"/>
    </row>
    <row r="15" spans="1:12" s="337" customFormat="1" x14ac:dyDescent="0.25">
      <c r="A15" s="341">
        <v>9</v>
      </c>
      <c r="B15" s="341" t="s">
        <v>31</v>
      </c>
      <c r="C15" s="342" t="s">
        <v>32</v>
      </c>
      <c r="D15" s="341">
        <f t="shared" si="1"/>
        <v>1302</v>
      </c>
      <c r="E15" s="341">
        <f>1058+244</f>
        <v>1302</v>
      </c>
      <c r="F15" s="341"/>
      <c r="G15" s="341">
        <v>0</v>
      </c>
      <c r="H15" s="341">
        <v>0</v>
      </c>
      <c r="I15" s="341">
        <v>0</v>
      </c>
      <c r="J15" s="341">
        <v>0</v>
      </c>
      <c r="K15" s="341"/>
      <c r="L15" s="341"/>
    </row>
    <row r="16" spans="1:12" s="337" customFormat="1" x14ac:dyDescent="0.25">
      <c r="A16" s="341">
        <v>10</v>
      </c>
      <c r="B16" s="341" t="s">
        <v>33</v>
      </c>
      <c r="C16" s="342" t="s">
        <v>34</v>
      </c>
      <c r="D16" s="341">
        <f t="shared" si="1"/>
        <v>1457</v>
      </c>
      <c r="E16" s="341">
        <f>1295+162</f>
        <v>1457</v>
      </c>
      <c r="F16" s="341"/>
      <c r="G16" s="341">
        <v>0</v>
      </c>
      <c r="H16" s="341">
        <v>0</v>
      </c>
      <c r="I16" s="341">
        <v>0</v>
      </c>
      <c r="J16" s="341">
        <v>0</v>
      </c>
      <c r="K16" s="341"/>
      <c r="L16" s="341"/>
    </row>
    <row r="17" spans="1:12" s="337" customFormat="1" x14ac:dyDescent="0.25">
      <c r="A17" s="341">
        <v>11</v>
      </c>
      <c r="B17" s="341" t="s">
        <v>35</v>
      </c>
      <c r="C17" s="342" t="s">
        <v>36</v>
      </c>
      <c r="D17" s="341">
        <f t="shared" si="1"/>
        <v>1349</v>
      </c>
      <c r="E17" s="341">
        <f>1065+200+84</f>
        <v>1349</v>
      </c>
      <c r="F17" s="341"/>
      <c r="G17" s="341">
        <v>0</v>
      </c>
      <c r="H17" s="341">
        <v>0</v>
      </c>
      <c r="I17" s="341">
        <v>0</v>
      </c>
      <c r="J17" s="341">
        <v>1</v>
      </c>
      <c r="K17" s="341"/>
      <c r="L17" s="341"/>
    </row>
    <row r="18" spans="1:12" s="337" customFormat="1" x14ac:dyDescent="0.25">
      <c r="A18" s="341">
        <v>12</v>
      </c>
      <c r="B18" s="341" t="s">
        <v>37</v>
      </c>
      <c r="C18" s="342" t="s">
        <v>38</v>
      </c>
      <c r="D18" s="341">
        <f t="shared" si="1"/>
        <v>2510</v>
      </c>
      <c r="E18" s="341">
        <f>2114+396</f>
        <v>2510</v>
      </c>
      <c r="F18" s="341"/>
      <c r="G18" s="341">
        <v>0</v>
      </c>
      <c r="H18" s="341">
        <v>0</v>
      </c>
      <c r="I18" s="341">
        <v>0</v>
      </c>
      <c r="J18" s="341">
        <v>0</v>
      </c>
      <c r="K18" s="341"/>
      <c r="L18" s="341"/>
    </row>
    <row r="19" spans="1:12" s="337" customFormat="1" ht="12.75" customHeight="1" x14ac:dyDescent="0.25">
      <c r="A19" s="341">
        <v>13</v>
      </c>
      <c r="B19" s="341" t="s">
        <v>166</v>
      </c>
      <c r="C19" s="342" t="s">
        <v>370</v>
      </c>
      <c r="D19" s="341">
        <f t="shared" si="1"/>
        <v>5</v>
      </c>
      <c r="E19" s="341">
        <v>5</v>
      </c>
      <c r="F19" s="341"/>
      <c r="G19" s="341">
        <v>0</v>
      </c>
      <c r="H19" s="341">
        <v>0</v>
      </c>
      <c r="I19" s="341">
        <v>0</v>
      </c>
      <c r="J19" s="341">
        <v>0</v>
      </c>
      <c r="K19" s="341"/>
      <c r="L19" s="341"/>
    </row>
    <row r="20" spans="1:12" s="337" customFormat="1" ht="12.75" customHeight="1" x14ac:dyDescent="0.25">
      <c r="A20" s="341">
        <v>14</v>
      </c>
      <c r="B20" s="343" t="s">
        <v>167</v>
      </c>
      <c r="C20" s="344" t="s">
        <v>371</v>
      </c>
      <c r="D20" s="341"/>
      <c r="E20" s="341"/>
      <c r="F20" s="341"/>
      <c r="G20" s="341"/>
      <c r="H20" s="341">
        <v>0</v>
      </c>
      <c r="I20" s="341"/>
      <c r="J20" s="341"/>
      <c r="K20" s="341"/>
      <c r="L20" s="341"/>
    </row>
    <row r="21" spans="1:12" s="337" customFormat="1" x14ac:dyDescent="0.25">
      <c r="A21" s="341">
        <v>15</v>
      </c>
      <c r="B21" s="341" t="s">
        <v>39</v>
      </c>
      <c r="C21" s="342" t="s">
        <v>40</v>
      </c>
      <c r="D21" s="341">
        <f t="shared" ref="D21:D29" si="2">E21+K21</f>
        <v>1644</v>
      </c>
      <c r="E21" s="341">
        <f>1407+237</f>
        <v>1644</v>
      </c>
      <c r="F21" s="341"/>
      <c r="G21" s="341">
        <v>0</v>
      </c>
      <c r="H21" s="341">
        <v>0</v>
      </c>
      <c r="I21" s="341">
        <v>0</v>
      </c>
      <c r="J21" s="341">
        <v>0</v>
      </c>
      <c r="K21" s="341"/>
      <c r="L21" s="341"/>
    </row>
    <row r="22" spans="1:12" s="337" customFormat="1" x14ac:dyDescent="0.25">
      <c r="A22" s="341">
        <v>16</v>
      </c>
      <c r="B22" s="341" t="s">
        <v>41</v>
      </c>
      <c r="C22" s="342" t="s">
        <v>42</v>
      </c>
      <c r="D22" s="341">
        <f t="shared" si="2"/>
        <v>2330</v>
      </c>
      <c r="E22" s="341">
        <f>2005+325</f>
        <v>2330</v>
      </c>
      <c r="F22" s="341"/>
      <c r="G22" s="341">
        <v>0</v>
      </c>
      <c r="H22" s="341">
        <v>0</v>
      </c>
      <c r="I22" s="341">
        <v>0</v>
      </c>
      <c r="J22" s="341">
        <v>0</v>
      </c>
      <c r="K22" s="341"/>
      <c r="L22" s="341"/>
    </row>
    <row r="23" spans="1:12" s="337" customFormat="1" x14ac:dyDescent="0.25">
      <c r="A23" s="341">
        <v>17</v>
      </c>
      <c r="B23" s="341" t="s">
        <v>43</v>
      </c>
      <c r="C23" s="342" t="s">
        <v>156</v>
      </c>
      <c r="D23" s="341">
        <f t="shared" si="2"/>
        <v>2591</v>
      </c>
      <c r="E23" s="341">
        <f>2661+50-120</f>
        <v>2591</v>
      </c>
      <c r="F23" s="341"/>
      <c r="G23" s="341">
        <v>0</v>
      </c>
      <c r="H23" s="341">
        <v>0</v>
      </c>
      <c r="I23" s="341">
        <v>0</v>
      </c>
      <c r="J23" s="341">
        <v>0</v>
      </c>
      <c r="K23" s="341"/>
      <c r="L23" s="341"/>
    </row>
    <row r="24" spans="1:12" s="337" customFormat="1" x14ac:dyDescent="0.25">
      <c r="A24" s="341">
        <v>18</v>
      </c>
      <c r="B24" s="341" t="s">
        <v>44</v>
      </c>
      <c r="C24" s="342" t="s">
        <v>45</v>
      </c>
      <c r="D24" s="341">
        <f t="shared" si="2"/>
        <v>4796</v>
      </c>
      <c r="E24" s="341">
        <f>4883-87</f>
        <v>4796</v>
      </c>
      <c r="F24" s="341"/>
      <c r="G24" s="341">
        <v>0</v>
      </c>
      <c r="H24" s="341">
        <v>0</v>
      </c>
      <c r="I24" s="341">
        <f>0+81-1</f>
        <v>80</v>
      </c>
      <c r="J24" s="341">
        <v>10</v>
      </c>
      <c r="K24" s="341"/>
      <c r="L24" s="341"/>
    </row>
    <row r="25" spans="1:12" s="337" customFormat="1" x14ac:dyDescent="0.25">
      <c r="A25" s="341">
        <v>19</v>
      </c>
      <c r="B25" s="341" t="s">
        <v>46</v>
      </c>
      <c r="C25" s="342" t="s">
        <v>47</v>
      </c>
      <c r="D25" s="341">
        <f t="shared" si="2"/>
        <v>1014</v>
      </c>
      <c r="E25" s="341">
        <f>837+50+127</f>
        <v>1014</v>
      </c>
      <c r="F25" s="341"/>
      <c r="G25" s="341">
        <v>0</v>
      </c>
      <c r="H25" s="341">
        <v>0</v>
      </c>
      <c r="I25" s="341">
        <v>0</v>
      </c>
      <c r="J25" s="341">
        <v>0</v>
      </c>
      <c r="K25" s="341"/>
      <c r="L25" s="341"/>
    </row>
    <row r="26" spans="1:12" s="337" customFormat="1" x14ac:dyDescent="0.25">
      <c r="A26" s="341">
        <v>20</v>
      </c>
      <c r="B26" s="341" t="s">
        <v>48</v>
      </c>
      <c r="C26" s="342" t="s">
        <v>157</v>
      </c>
      <c r="D26" s="341">
        <f t="shared" si="2"/>
        <v>658</v>
      </c>
      <c r="E26" s="341">
        <v>658</v>
      </c>
      <c r="F26" s="341"/>
      <c r="G26" s="341">
        <v>0</v>
      </c>
      <c r="H26" s="341">
        <v>0</v>
      </c>
      <c r="I26" s="341">
        <v>0</v>
      </c>
      <c r="J26" s="341">
        <v>0</v>
      </c>
      <c r="K26" s="341"/>
      <c r="L26" s="341"/>
    </row>
    <row r="27" spans="1:12" s="337" customFormat="1" x14ac:dyDescent="0.25">
      <c r="A27" s="341">
        <v>21</v>
      </c>
      <c r="B27" s="341" t="s">
        <v>49</v>
      </c>
      <c r="C27" s="342" t="s">
        <v>50</v>
      </c>
      <c r="D27" s="341">
        <f t="shared" si="2"/>
        <v>3414</v>
      </c>
      <c r="E27" s="341">
        <v>3414</v>
      </c>
      <c r="F27" s="341"/>
      <c r="G27" s="341">
        <v>0</v>
      </c>
      <c r="H27" s="341">
        <v>0</v>
      </c>
      <c r="I27" s="341">
        <v>0</v>
      </c>
      <c r="J27" s="341">
        <v>0</v>
      </c>
      <c r="K27" s="341"/>
      <c r="L27" s="341"/>
    </row>
    <row r="28" spans="1:12" s="337" customFormat="1" x14ac:dyDescent="0.25">
      <c r="A28" s="341">
        <v>22</v>
      </c>
      <c r="B28" s="341" t="s">
        <v>51</v>
      </c>
      <c r="C28" s="342" t="s">
        <v>52</v>
      </c>
      <c r="D28" s="341">
        <f t="shared" si="2"/>
        <v>2823</v>
      </c>
      <c r="E28" s="341">
        <f>3019-196</f>
        <v>2823</v>
      </c>
      <c r="F28" s="341"/>
      <c r="G28" s="341">
        <v>0</v>
      </c>
      <c r="H28" s="341">
        <v>0</v>
      </c>
      <c r="I28" s="341">
        <v>60</v>
      </c>
      <c r="J28" s="341">
        <v>9</v>
      </c>
      <c r="K28" s="341"/>
      <c r="L28" s="341"/>
    </row>
    <row r="29" spans="1:12" s="337" customFormat="1" ht="12.75" customHeight="1" x14ac:dyDescent="0.25">
      <c r="A29" s="341">
        <v>23</v>
      </c>
      <c r="B29" s="345" t="s">
        <v>53</v>
      </c>
      <c r="C29" s="364" t="s">
        <v>374</v>
      </c>
      <c r="D29" s="341">
        <f t="shared" si="2"/>
        <v>304</v>
      </c>
      <c r="E29" s="341">
        <f>274+30</f>
        <v>304</v>
      </c>
      <c r="F29" s="341"/>
      <c r="G29" s="341"/>
      <c r="H29" s="341">
        <v>0</v>
      </c>
      <c r="I29" s="341"/>
      <c r="J29" s="341">
        <v>0</v>
      </c>
      <c r="K29" s="341"/>
      <c r="L29" s="341"/>
    </row>
    <row r="30" spans="1:12" s="337" customFormat="1" ht="12.75" customHeight="1" x14ac:dyDescent="0.25">
      <c r="A30" s="341">
        <v>24</v>
      </c>
      <c r="B30" s="346" t="s">
        <v>316</v>
      </c>
      <c r="C30" s="347" t="s">
        <v>375</v>
      </c>
      <c r="D30" s="341"/>
      <c r="E30" s="341"/>
      <c r="F30" s="341"/>
      <c r="G30" s="341"/>
      <c r="H30" s="341">
        <v>0</v>
      </c>
      <c r="I30" s="341"/>
      <c r="J30" s="341"/>
      <c r="K30" s="341"/>
      <c r="L30" s="341"/>
    </row>
    <row r="31" spans="1:12" s="337" customFormat="1" ht="24" x14ac:dyDescent="0.25">
      <c r="A31" s="341">
        <v>25</v>
      </c>
      <c r="B31" s="341" t="s">
        <v>318</v>
      </c>
      <c r="C31" s="342" t="s">
        <v>376</v>
      </c>
      <c r="D31" s="341">
        <f>E31+K31</f>
        <v>432</v>
      </c>
      <c r="E31" s="341">
        <v>432</v>
      </c>
      <c r="F31" s="341"/>
      <c r="G31" s="341">
        <v>0</v>
      </c>
      <c r="H31" s="341">
        <v>0</v>
      </c>
      <c r="I31" s="341">
        <v>432</v>
      </c>
      <c r="J31" s="341"/>
      <c r="K31" s="341"/>
      <c r="L31" s="341"/>
    </row>
    <row r="32" spans="1:12" s="337" customFormat="1" x14ac:dyDescent="0.25">
      <c r="A32" s="341">
        <v>26</v>
      </c>
      <c r="B32" s="341" t="s">
        <v>6</v>
      </c>
      <c r="C32" s="342" t="s">
        <v>377</v>
      </c>
      <c r="D32" s="341">
        <f>E32+K32</f>
        <v>4611</v>
      </c>
      <c r="E32" s="341">
        <f>6025-64-52+14-72-1240</f>
        <v>4611</v>
      </c>
      <c r="F32" s="341"/>
      <c r="G32" s="341">
        <v>0</v>
      </c>
      <c r="H32" s="341">
        <f>522+14-72</f>
        <v>464</v>
      </c>
      <c r="I32" s="341">
        <v>0</v>
      </c>
      <c r="J32" s="341">
        <v>0</v>
      </c>
      <c r="K32" s="341"/>
      <c r="L32" s="341"/>
    </row>
    <row r="33" spans="1:12" s="337" customFormat="1" x14ac:dyDescent="0.25">
      <c r="A33" s="341">
        <v>27</v>
      </c>
      <c r="B33" s="341" t="s">
        <v>5</v>
      </c>
      <c r="C33" s="342" t="s">
        <v>378</v>
      </c>
      <c r="D33" s="341">
        <f>E33+K33</f>
        <v>5574</v>
      </c>
      <c r="E33" s="341">
        <f>6881-50-1257</f>
        <v>5574</v>
      </c>
      <c r="F33" s="341"/>
      <c r="G33" s="341">
        <v>0</v>
      </c>
      <c r="H33" s="341">
        <v>0</v>
      </c>
      <c r="I33" s="341">
        <v>0</v>
      </c>
      <c r="J33" s="341">
        <v>0</v>
      </c>
      <c r="K33" s="341"/>
      <c r="L33" s="341"/>
    </row>
    <row r="34" spans="1:12" s="337" customFormat="1" x14ac:dyDescent="0.25">
      <c r="A34" s="341">
        <v>28</v>
      </c>
      <c r="B34" s="341" t="s">
        <v>54</v>
      </c>
      <c r="C34" s="342" t="s">
        <v>379</v>
      </c>
      <c r="D34" s="341">
        <f>E34+K34</f>
        <v>1699</v>
      </c>
      <c r="E34" s="341">
        <f>2104-405</f>
        <v>1699</v>
      </c>
      <c r="F34" s="341"/>
      <c r="G34" s="341">
        <v>0</v>
      </c>
      <c r="H34" s="341">
        <v>0</v>
      </c>
      <c r="I34" s="341">
        <v>0</v>
      </c>
      <c r="J34" s="341">
        <v>46</v>
      </c>
      <c r="K34" s="341"/>
      <c r="L34" s="341"/>
    </row>
    <row r="35" spans="1:12" s="337" customFormat="1" x14ac:dyDescent="0.25">
      <c r="A35" s="341">
        <v>29</v>
      </c>
      <c r="B35" s="341" t="s">
        <v>168</v>
      </c>
      <c r="C35" s="342" t="s">
        <v>169</v>
      </c>
      <c r="D35" s="341">
        <f>E35+K35</f>
        <v>341</v>
      </c>
      <c r="E35" s="341">
        <f>285+56+56-56</f>
        <v>341</v>
      </c>
      <c r="F35" s="341"/>
      <c r="G35" s="341">
        <v>0</v>
      </c>
      <c r="H35" s="341">
        <v>0</v>
      </c>
      <c r="I35" s="341">
        <v>0</v>
      </c>
      <c r="J35" s="341"/>
      <c r="K35" s="341"/>
      <c r="L35" s="341"/>
    </row>
    <row r="36" spans="1:12" s="337" customFormat="1" x14ac:dyDescent="0.25">
      <c r="A36" s="341">
        <v>30</v>
      </c>
      <c r="B36" s="348" t="s">
        <v>170</v>
      </c>
      <c r="C36" s="349" t="s">
        <v>171</v>
      </c>
      <c r="D36" s="341"/>
      <c r="E36" s="341"/>
      <c r="F36" s="341"/>
      <c r="G36" s="341"/>
      <c r="H36" s="341"/>
      <c r="I36" s="341"/>
      <c r="J36" s="341"/>
      <c r="K36" s="341"/>
      <c r="L36" s="341"/>
    </row>
    <row r="37" spans="1:12" s="337" customFormat="1" ht="24" x14ac:dyDescent="0.25">
      <c r="A37" s="341">
        <v>31</v>
      </c>
      <c r="B37" s="343" t="s">
        <v>320</v>
      </c>
      <c r="C37" s="344" t="s">
        <v>380</v>
      </c>
      <c r="D37" s="341"/>
      <c r="E37" s="341"/>
      <c r="F37" s="341"/>
      <c r="G37" s="341"/>
      <c r="H37" s="341"/>
      <c r="I37" s="341"/>
      <c r="J37" s="341"/>
      <c r="K37" s="341"/>
      <c r="L37" s="341"/>
    </row>
    <row r="38" spans="1:12" s="337" customFormat="1" ht="14.25" customHeight="1" x14ac:dyDescent="0.25">
      <c r="A38" s="341">
        <v>32</v>
      </c>
      <c r="B38" s="341" t="s">
        <v>55</v>
      </c>
      <c r="C38" s="342" t="s">
        <v>381</v>
      </c>
      <c r="D38" s="341">
        <f t="shared" ref="D38:D62" si="3">E38+K38</f>
        <v>374</v>
      </c>
      <c r="E38" s="341">
        <v>374</v>
      </c>
      <c r="F38" s="341"/>
      <c r="G38" s="341">
        <v>0</v>
      </c>
      <c r="H38" s="341">
        <v>0</v>
      </c>
      <c r="I38" s="341">
        <v>0</v>
      </c>
      <c r="J38" s="341"/>
      <c r="K38" s="341"/>
      <c r="L38" s="341"/>
    </row>
    <row r="39" spans="1:12" s="337" customFormat="1" x14ac:dyDescent="0.25">
      <c r="A39" s="341">
        <v>33</v>
      </c>
      <c r="B39" s="341" t="s">
        <v>56</v>
      </c>
      <c r="C39" s="342" t="s">
        <v>57</v>
      </c>
      <c r="D39" s="341">
        <f t="shared" si="3"/>
        <v>3699</v>
      </c>
      <c r="E39" s="341">
        <f>4208-38-471</f>
        <v>3699</v>
      </c>
      <c r="F39" s="341"/>
      <c r="G39" s="341">
        <v>0</v>
      </c>
      <c r="H39" s="341">
        <v>0</v>
      </c>
      <c r="I39" s="341">
        <v>0</v>
      </c>
      <c r="J39" s="341">
        <v>6</v>
      </c>
      <c r="K39" s="341"/>
      <c r="L39" s="341"/>
    </row>
    <row r="40" spans="1:12" s="337" customFormat="1" x14ac:dyDescent="0.25">
      <c r="A40" s="341">
        <v>34</v>
      </c>
      <c r="B40" s="341" t="s">
        <v>58</v>
      </c>
      <c r="C40" s="342" t="s">
        <v>59</v>
      </c>
      <c r="D40" s="341">
        <f t="shared" si="3"/>
        <v>5917</v>
      </c>
      <c r="E40" s="341">
        <f>6173+20+10-30+10-266</f>
        <v>5917</v>
      </c>
      <c r="F40" s="341"/>
      <c r="G40" s="341">
        <v>0</v>
      </c>
      <c r="H40" s="341">
        <f>71-30+10</f>
        <v>51</v>
      </c>
      <c r="I40" s="341">
        <v>0</v>
      </c>
      <c r="J40" s="341">
        <v>22</v>
      </c>
      <c r="K40" s="341"/>
      <c r="L40" s="341"/>
    </row>
    <row r="41" spans="1:12" s="337" customFormat="1" x14ac:dyDescent="0.25">
      <c r="A41" s="341">
        <v>35</v>
      </c>
      <c r="B41" s="341" t="s">
        <v>172</v>
      </c>
      <c r="C41" s="342" t="s">
        <v>173</v>
      </c>
      <c r="D41" s="341">
        <f t="shared" si="3"/>
        <v>252</v>
      </c>
      <c r="E41" s="341">
        <f>201+51</f>
        <v>252</v>
      </c>
      <c r="F41" s="341"/>
      <c r="G41" s="341">
        <v>0</v>
      </c>
      <c r="H41" s="341">
        <v>0</v>
      </c>
      <c r="I41" s="341">
        <v>0</v>
      </c>
      <c r="J41" s="341">
        <v>0</v>
      </c>
      <c r="K41" s="341"/>
      <c r="L41" s="341"/>
    </row>
    <row r="42" spans="1:12" s="337" customFormat="1" x14ac:dyDescent="0.25">
      <c r="A42" s="341">
        <v>36</v>
      </c>
      <c r="B42" s="341" t="s">
        <v>60</v>
      </c>
      <c r="C42" s="342" t="s">
        <v>61</v>
      </c>
      <c r="D42" s="341">
        <f t="shared" si="3"/>
        <v>1421</v>
      </c>
      <c r="E42" s="341">
        <f>1208+213</f>
        <v>1421</v>
      </c>
      <c r="F42" s="341"/>
      <c r="G42" s="341">
        <v>0</v>
      </c>
      <c r="H42" s="341">
        <v>0</v>
      </c>
      <c r="I42" s="341">
        <v>0</v>
      </c>
      <c r="J42" s="341">
        <v>0</v>
      </c>
      <c r="K42" s="341"/>
      <c r="L42" s="341"/>
    </row>
    <row r="43" spans="1:12" s="337" customFormat="1" x14ac:dyDescent="0.25">
      <c r="A43" s="341">
        <v>37</v>
      </c>
      <c r="B43" s="341" t="s">
        <v>62</v>
      </c>
      <c r="C43" s="342" t="s">
        <v>63</v>
      </c>
      <c r="D43" s="341">
        <f t="shared" si="3"/>
        <v>4800</v>
      </c>
      <c r="E43" s="341">
        <f>4027+11+3+759</f>
        <v>4800</v>
      </c>
      <c r="F43" s="341"/>
      <c r="G43" s="341">
        <v>0</v>
      </c>
      <c r="H43" s="341">
        <v>0</v>
      </c>
      <c r="I43" s="341">
        <v>0</v>
      </c>
      <c r="J43" s="341">
        <v>14</v>
      </c>
      <c r="K43" s="341"/>
      <c r="L43" s="341"/>
    </row>
    <row r="44" spans="1:12" s="337" customFormat="1" x14ac:dyDescent="0.25">
      <c r="A44" s="341">
        <v>38</v>
      </c>
      <c r="B44" s="341" t="s">
        <v>64</v>
      </c>
      <c r="C44" s="342" t="s">
        <v>65</v>
      </c>
      <c r="D44" s="341">
        <f t="shared" si="3"/>
        <v>1788</v>
      </c>
      <c r="E44" s="341">
        <f>1538-1-2+253</f>
        <v>1788</v>
      </c>
      <c r="F44" s="341"/>
      <c r="G44" s="341">
        <v>0</v>
      </c>
      <c r="H44" s="341">
        <v>0</v>
      </c>
      <c r="I44" s="341">
        <v>0</v>
      </c>
      <c r="J44" s="341">
        <v>0</v>
      </c>
      <c r="K44" s="341"/>
      <c r="L44" s="341"/>
    </row>
    <row r="45" spans="1:12" s="337" customFormat="1" x14ac:dyDescent="0.25">
      <c r="A45" s="341">
        <v>39</v>
      </c>
      <c r="B45" s="341" t="s">
        <v>66</v>
      </c>
      <c r="C45" s="342" t="s">
        <v>158</v>
      </c>
      <c r="D45" s="341">
        <f t="shared" si="3"/>
        <v>4004</v>
      </c>
      <c r="E45" s="341">
        <f>3929-11+1+85</f>
        <v>4004</v>
      </c>
      <c r="F45" s="341"/>
      <c r="G45" s="341">
        <v>0</v>
      </c>
      <c r="H45" s="341">
        <f>0+1</f>
        <v>1</v>
      </c>
      <c r="I45" s="341">
        <v>0</v>
      </c>
      <c r="J45" s="341">
        <v>14</v>
      </c>
      <c r="K45" s="341"/>
      <c r="L45" s="341"/>
    </row>
    <row r="46" spans="1:12" s="337" customFormat="1" x14ac:dyDescent="0.25">
      <c r="A46" s="341">
        <v>40</v>
      </c>
      <c r="B46" s="341" t="s">
        <v>67</v>
      </c>
      <c r="C46" s="342" t="s">
        <v>159</v>
      </c>
      <c r="D46" s="341">
        <f t="shared" si="3"/>
        <v>1676</v>
      </c>
      <c r="E46" s="341">
        <f>1409+267</f>
        <v>1676</v>
      </c>
      <c r="F46" s="341"/>
      <c r="G46" s="341">
        <v>0</v>
      </c>
      <c r="H46" s="341">
        <v>0</v>
      </c>
      <c r="I46" s="341">
        <v>0</v>
      </c>
      <c r="J46" s="341">
        <v>0</v>
      </c>
      <c r="K46" s="341"/>
      <c r="L46" s="341"/>
    </row>
    <row r="47" spans="1:12" s="337" customFormat="1" x14ac:dyDescent="0.25">
      <c r="A47" s="341">
        <v>41</v>
      </c>
      <c r="B47" s="341" t="s">
        <v>68</v>
      </c>
      <c r="C47" s="342" t="s">
        <v>160</v>
      </c>
      <c r="D47" s="341">
        <f t="shared" si="3"/>
        <v>1041</v>
      </c>
      <c r="E47" s="341">
        <f>886+155</f>
        <v>1041</v>
      </c>
      <c r="F47" s="341"/>
      <c r="G47" s="341">
        <v>0</v>
      </c>
      <c r="H47" s="341">
        <v>0</v>
      </c>
      <c r="I47" s="341">
        <v>0</v>
      </c>
      <c r="J47" s="341">
        <v>0</v>
      </c>
      <c r="K47" s="341"/>
      <c r="L47" s="341"/>
    </row>
    <row r="48" spans="1:12" s="337" customFormat="1" x14ac:dyDescent="0.25">
      <c r="A48" s="341">
        <v>42</v>
      </c>
      <c r="B48" s="341" t="s">
        <v>69</v>
      </c>
      <c r="C48" s="342" t="s">
        <v>70</v>
      </c>
      <c r="D48" s="341">
        <f t="shared" si="3"/>
        <v>1746</v>
      </c>
      <c r="E48" s="341">
        <f>1537+209</f>
        <v>1746</v>
      </c>
      <c r="F48" s="341"/>
      <c r="G48" s="341">
        <v>0</v>
      </c>
      <c r="H48" s="341">
        <v>0</v>
      </c>
      <c r="I48" s="341">
        <v>0</v>
      </c>
      <c r="J48" s="341">
        <v>2</v>
      </c>
      <c r="K48" s="341"/>
      <c r="L48" s="341"/>
    </row>
    <row r="49" spans="1:12" s="337" customFormat="1" x14ac:dyDescent="0.25">
      <c r="A49" s="341">
        <v>43</v>
      </c>
      <c r="B49" s="341" t="s">
        <v>174</v>
      </c>
      <c r="C49" s="342" t="s">
        <v>175</v>
      </c>
      <c r="D49" s="341">
        <f t="shared" si="3"/>
        <v>917</v>
      </c>
      <c r="E49" s="341">
        <f>711+121+85</f>
        <v>917</v>
      </c>
      <c r="F49" s="341"/>
      <c r="G49" s="341">
        <v>0</v>
      </c>
      <c r="H49" s="341">
        <v>0</v>
      </c>
      <c r="I49" s="341">
        <v>0</v>
      </c>
      <c r="J49" s="341">
        <v>0</v>
      </c>
      <c r="K49" s="341"/>
      <c r="L49" s="341"/>
    </row>
    <row r="50" spans="1:12" s="337" customFormat="1" x14ac:dyDescent="0.25">
      <c r="A50" s="341">
        <v>44</v>
      </c>
      <c r="B50" s="341" t="s">
        <v>71</v>
      </c>
      <c r="C50" s="342" t="s">
        <v>385</v>
      </c>
      <c r="D50" s="341">
        <f t="shared" si="3"/>
        <v>289</v>
      </c>
      <c r="E50" s="341">
        <v>289</v>
      </c>
      <c r="F50" s="341"/>
      <c r="G50" s="341">
        <v>0</v>
      </c>
      <c r="H50" s="341">
        <v>0</v>
      </c>
      <c r="I50" s="341">
        <v>0</v>
      </c>
      <c r="J50" s="341">
        <v>0</v>
      </c>
      <c r="K50" s="341"/>
      <c r="L50" s="341"/>
    </row>
    <row r="51" spans="1:12" s="337" customFormat="1" x14ac:dyDescent="0.25">
      <c r="A51" s="341">
        <v>45</v>
      </c>
      <c r="B51" s="341" t="s">
        <v>72</v>
      </c>
      <c r="C51" s="342" t="s">
        <v>73</v>
      </c>
      <c r="D51" s="341">
        <f t="shared" si="3"/>
        <v>5001</v>
      </c>
      <c r="E51" s="341">
        <f>5222+5-8-50-168</f>
        <v>5001</v>
      </c>
      <c r="F51" s="341"/>
      <c r="G51" s="341">
        <v>0</v>
      </c>
      <c r="H51" s="341">
        <f>61-50</f>
        <v>11</v>
      </c>
      <c r="I51" s="341">
        <v>60</v>
      </c>
      <c r="J51" s="341">
        <v>8</v>
      </c>
      <c r="K51" s="341"/>
      <c r="L51" s="341"/>
    </row>
    <row r="52" spans="1:12" s="337" customFormat="1" x14ac:dyDescent="0.25">
      <c r="A52" s="341">
        <v>46</v>
      </c>
      <c r="B52" s="341" t="s">
        <v>74</v>
      </c>
      <c r="C52" s="342" t="s">
        <v>161</v>
      </c>
      <c r="D52" s="341">
        <f t="shared" si="3"/>
        <v>1506</v>
      </c>
      <c r="E52" s="341">
        <f>1288+218</f>
        <v>1506</v>
      </c>
      <c r="F52" s="341"/>
      <c r="G52" s="341">
        <v>0</v>
      </c>
      <c r="H52" s="341">
        <v>0</v>
      </c>
      <c r="I52" s="341">
        <v>0</v>
      </c>
      <c r="J52" s="341">
        <v>0</v>
      </c>
      <c r="K52" s="341"/>
      <c r="L52" s="341"/>
    </row>
    <row r="53" spans="1:12" s="337" customFormat="1" x14ac:dyDescent="0.25">
      <c r="A53" s="341">
        <v>47</v>
      </c>
      <c r="B53" s="341" t="s">
        <v>75</v>
      </c>
      <c r="C53" s="342" t="s">
        <v>76</v>
      </c>
      <c r="D53" s="341">
        <f t="shared" si="3"/>
        <v>4455</v>
      </c>
      <c r="E53" s="341">
        <f>4376-1-6+86</f>
        <v>4455</v>
      </c>
      <c r="F53" s="341"/>
      <c r="G53" s="341">
        <v>0</v>
      </c>
      <c r="H53" s="341">
        <v>0</v>
      </c>
      <c r="I53" s="341">
        <v>0</v>
      </c>
      <c r="J53" s="341">
        <v>0</v>
      </c>
      <c r="K53" s="341"/>
      <c r="L53" s="341"/>
    </row>
    <row r="54" spans="1:12" s="337" customFormat="1" x14ac:dyDescent="0.25">
      <c r="A54" s="341">
        <v>48</v>
      </c>
      <c r="B54" s="341" t="s">
        <v>77</v>
      </c>
      <c r="C54" s="342" t="s">
        <v>78</v>
      </c>
      <c r="D54" s="341">
        <f t="shared" si="3"/>
        <v>1155</v>
      </c>
      <c r="E54" s="341">
        <f>981+174</f>
        <v>1155</v>
      </c>
      <c r="F54" s="341"/>
      <c r="G54" s="341">
        <v>0</v>
      </c>
      <c r="H54" s="341">
        <v>0</v>
      </c>
      <c r="I54" s="341">
        <v>0</v>
      </c>
      <c r="J54" s="341">
        <v>0</v>
      </c>
      <c r="K54" s="341"/>
      <c r="L54" s="341"/>
    </row>
    <row r="55" spans="1:12" s="337" customFormat="1" x14ac:dyDescent="0.25">
      <c r="A55" s="341">
        <v>49</v>
      </c>
      <c r="B55" s="341" t="s">
        <v>79</v>
      </c>
      <c r="C55" s="342" t="s">
        <v>162</v>
      </c>
      <c r="D55" s="341">
        <f t="shared" si="3"/>
        <v>1506</v>
      </c>
      <c r="E55" s="341">
        <v>1506</v>
      </c>
      <c r="F55" s="341"/>
      <c r="G55" s="341">
        <v>0</v>
      </c>
      <c r="H55" s="341">
        <v>0</v>
      </c>
      <c r="I55" s="341">
        <v>0</v>
      </c>
      <c r="J55" s="341">
        <v>0</v>
      </c>
      <c r="K55" s="341"/>
      <c r="L55" s="341"/>
    </row>
    <row r="56" spans="1:12" s="337" customFormat="1" x14ac:dyDescent="0.25">
      <c r="A56" s="341">
        <v>50</v>
      </c>
      <c r="B56" s="341" t="s">
        <v>80</v>
      </c>
      <c r="C56" s="342" t="s">
        <v>81</v>
      </c>
      <c r="D56" s="341">
        <f t="shared" si="3"/>
        <v>2069</v>
      </c>
      <c r="E56" s="341">
        <f>1789+280</f>
        <v>2069</v>
      </c>
      <c r="F56" s="341"/>
      <c r="G56" s="341">
        <v>0</v>
      </c>
      <c r="H56" s="341">
        <v>0</v>
      </c>
      <c r="I56" s="341">
        <v>0</v>
      </c>
      <c r="J56" s="341">
        <v>0</v>
      </c>
      <c r="K56" s="341"/>
      <c r="L56" s="341"/>
    </row>
    <row r="57" spans="1:12" s="337" customFormat="1" x14ac:dyDescent="0.25">
      <c r="A57" s="341">
        <v>51</v>
      </c>
      <c r="B57" s="341" t="s">
        <v>82</v>
      </c>
      <c r="C57" s="342" t="s">
        <v>83</v>
      </c>
      <c r="D57" s="341">
        <f t="shared" si="3"/>
        <v>730</v>
      </c>
      <c r="E57" s="341">
        <f>609+121</f>
        <v>730</v>
      </c>
      <c r="F57" s="341"/>
      <c r="G57" s="341">
        <v>0</v>
      </c>
      <c r="H57" s="341">
        <v>0</v>
      </c>
      <c r="I57" s="341">
        <v>0</v>
      </c>
      <c r="J57" s="341">
        <v>0</v>
      </c>
      <c r="K57" s="341"/>
      <c r="L57" s="341"/>
    </row>
    <row r="58" spans="1:12" s="337" customFormat="1" x14ac:dyDescent="0.25">
      <c r="A58" s="341">
        <v>52</v>
      </c>
      <c r="B58" s="341" t="s">
        <v>84</v>
      </c>
      <c r="C58" s="342" t="s">
        <v>85</v>
      </c>
      <c r="D58" s="341">
        <f t="shared" si="3"/>
        <v>1466</v>
      </c>
      <c r="E58" s="341">
        <f>1217+15+234</f>
        <v>1466</v>
      </c>
      <c r="F58" s="341"/>
      <c r="G58" s="341">
        <v>0</v>
      </c>
      <c r="H58" s="341">
        <v>0</v>
      </c>
      <c r="I58" s="341">
        <v>0</v>
      </c>
      <c r="J58" s="341">
        <v>0</v>
      </c>
      <c r="K58" s="341"/>
      <c r="L58" s="341"/>
    </row>
    <row r="59" spans="1:12" s="337" customFormat="1" x14ac:dyDescent="0.25">
      <c r="A59" s="341">
        <v>53</v>
      </c>
      <c r="B59" s="341" t="s">
        <v>86</v>
      </c>
      <c r="C59" s="342" t="s">
        <v>163</v>
      </c>
      <c r="D59" s="341">
        <f t="shared" si="3"/>
        <v>1829</v>
      </c>
      <c r="E59" s="341">
        <v>1829</v>
      </c>
      <c r="F59" s="341"/>
      <c r="G59" s="341">
        <v>0</v>
      </c>
      <c r="H59" s="341">
        <v>0</v>
      </c>
      <c r="I59" s="341">
        <v>0</v>
      </c>
      <c r="J59" s="341">
        <v>0</v>
      </c>
      <c r="K59" s="341"/>
      <c r="L59" s="341"/>
    </row>
    <row r="60" spans="1:12" s="337" customFormat="1" x14ac:dyDescent="0.25">
      <c r="A60" s="341">
        <v>54</v>
      </c>
      <c r="B60" s="341" t="s">
        <v>87</v>
      </c>
      <c r="C60" s="342" t="s">
        <v>88</v>
      </c>
      <c r="D60" s="341">
        <f t="shared" si="3"/>
        <v>6072</v>
      </c>
      <c r="E60" s="341">
        <f>6272-200</f>
        <v>6072</v>
      </c>
      <c r="F60" s="341"/>
      <c r="G60" s="341">
        <v>0</v>
      </c>
      <c r="H60" s="341">
        <v>0</v>
      </c>
      <c r="I60" s="341">
        <v>14</v>
      </c>
      <c r="J60" s="341">
        <v>11</v>
      </c>
      <c r="K60" s="341"/>
      <c r="L60" s="341"/>
    </row>
    <row r="61" spans="1:12" s="337" customFormat="1" x14ac:dyDescent="0.25">
      <c r="A61" s="341">
        <v>55</v>
      </c>
      <c r="B61" s="341" t="s">
        <v>89</v>
      </c>
      <c r="C61" s="342" t="s">
        <v>164</v>
      </c>
      <c r="D61" s="341">
        <f t="shared" si="3"/>
        <v>1188</v>
      </c>
      <c r="E61" s="341">
        <f>995+193</f>
        <v>1188</v>
      </c>
      <c r="F61" s="341"/>
      <c r="G61" s="341">
        <v>0</v>
      </c>
      <c r="H61" s="341">
        <v>0</v>
      </c>
      <c r="I61" s="341">
        <v>0</v>
      </c>
      <c r="J61" s="341">
        <v>0</v>
      </c>
      <c r="K61" s="341"/>
      <c r="L61" s="341"/>
    </row>
    <row r="62" spans="1:12" s="337" customFormat="1" ht="12" customHeight="1" x14ac:dyDescent="0.25">
      <c r="A62" s="341">
        <v>56</v>
      </c>
      <c r="B62" s="341" t="s">
        <v>176</v>
      </c>
      <c r="C62" s="342" t="s">
        <v>390</v>
      </c>
      <c r="D62" s="341">
        <f t="shared" si="3"/>
        <v>5</v>
      </c>
      <c r="E62" s="341">
        <v>5</v>
      </c>
      <c r="F62" s="341"/>
      <c r="G62" s="341">
        <v>0</v>
      </c>
      <c r="H62" s="341">
        <v>0</v>
      </c>
      <c r="I62" s="341">
        <v>0</v>
      </c>
      <c r="J62" s="341">
        <v>0</v>
      </c>
      <c r="K62" s="341"/>
      <c r="L62" s="341"/>
    </row>
    <row r="63" spans="1:12" s="337" customFormat="1" ht="12" customHeight="1" x14ac:dyDescent="0.25">
      <c r="A63" s="341">
        <v>57</v>
      </c>
      <c r="B63" s="346" t="s">
        <v>322</v>
      </c>
      <c r="C63" s="347" t="s">
        <v>323</v>
      </c>
      <c r="D63" s="341"/>
      <c r="E63" s="341"/>
      <c r="F63" s="341"/>
      <c r="G63" s="341"/>
      <c r="H63" s="341">
        <v>0</v>
      </c>
      <c r="I63" s="341"/>
      <c r="J63" s="341"/>
      <c r="K63" s="341"/>
      <c r="L63" s="341"/>
    </row>
    <row r="64" spans="1:12" s="337" customFormat="1" ht="12" customHeight="1" x14ac:dyDescent="0.25">
      <c r="A64" s="341">
        <v>58</v>
      </c>
      <c r="B64" s="341" t="s">
        <v>90</v>
      </c>
      <c r="C64" s="342" t="s">
        <v>391</v>
      </c>
      <c r="D64" s="341">
        <f>E64+K64</f>
        <v>2218</v>
      </c>
      <c r="E64" s="341">
        <v>2218</v>
      </c>
      <c r="F64" s="341"/>
      <c r="G64" s="341">
        <v>0</v>
      </c>
      <c r="H64" s="341">
        <v>0</v>
      </c>
      <c r="I64" s="341">
        <v>60</v>
      </c>
      <c r="J64" s="341">
        <v>0</v>
      </c>
      <c r="K64" s="341"/>
      <c r="L64" s="341"/>
    </row>
    <row r="65" spans="1:12" s="337" customFormat="1" ht="12" customHeight="1" x14ac:dyDescent="0.25">
      <c r="A65" s="341">
        <v>59</v>
      </c>
      <c r="B65" s="341" t="s">
        <v>91</v>
      </c>
      <c r="C65" s="342" t="s">
        <v>524</v>
      </c>
      <c r="D65" s="341">
        <f>E65+K65</f>
        <v>1839</v>
      </c>
      <c r="E65" s="341">
        <v>1839</v>
      </c>
      <c r="F65" s="341"/>
      <c r="G65" s="341">
        <v>0</v>
      </c>
      <c r="H65" s="341">
        <v>0</v>
      </c>
      <c r="I65" s="341">
        <v>30</v>
      </c>
      <c r="J65" s="341">
        <v>0</v>
      </c>
      <c r="K65" s="341"/>
      <c r="L65" s="341"/>
    </row>
    <row r="66" spans="1:12" s="337" customFormat="1" ht="12" customHeight="1" x14ac:dyDescent="0.25">
      <c r="A66" s="341">
        <v>60</v>
      </c>
      <c r="B66" s="341" t="s">
        <v>92</v>
      </c>
      <c r="C66" s="342" t="s">
        <v>393</v>
      </c>
      <c r="D66" s="341">
        <f>E66+K66</f>
        <v>2624</v>
      </c>
      <c r="E66" s="341">
        <v>2624</v>
      </c>
      <c r="F66" s="341"/>
      <c r="G66" s="341">
        <v>0</v>
      </c>
      <c r="H66" s="341">
        <v>0</v>
      </c>
      <c r="I66" s="341">
        <v>30</v>
      </c>
      <c r="J66" s="341">
        <v>0</v>
      </c>
      <c r="K66" s="341"/>
      <c r="L66" s="341"/>
    </row>
    <row r="67" spans="1:12" s="337" customFormat="1" ht="12" customHeight="1" x14ac:dyDescent="0.25">
      <c r="A67" s="341">
        <v>61</v>
      </c>
      <c r="B67" s="341" t="s">
        <v>93</v>
      </c>
      <c r="C67" s="342" t="s">
        <v>525</v>
      </c>
      <c r="D67" s="341">
        <f>E67+K67</f>
        <v>3062</v>
      </c>
      <c r="E67" s="341">
        <v>3062</v>
      </c>
      <c r="F67" s="341"/>
      <c r="G67" s="341">
        <v>0</v>
      </c>
      <c r="H67" s="341">
        <v>0</v>
      </c>
      <c r="I67" s="341">
        <v>100</v>
      </c>
      <c r="J67" s="341">
        <v>0</v>
      </c>
      <c r="K67" s="341"/>
      <c r="L67" s="341"/>
    </row>
    <row r="68" spans="1:12" s="337" customFormat="1" ht="12" customHeight="1" x14ac:dyDescent="0.25">
      <c r="A68" s="341">
        <v>62</v>
      </c>
      <c r="B68" s="341" t="s">
        <v>94</v>
      </c>
      <c r="C68" s="342" t="s">
        <v>395</v>
      </c>
      <c r="D68" s="341">
        <f>E68+K68</f>
        <v>1228</v>
      </c>
      <c r="E68" s="341">
        <f>1224+3+1</f>
        <v>1228</v>
      </c>
      <c r="F68" s="341"/>
      <c r="G68" s="341">
        <v>0</v>
      </c>
      <c r="H68" s="341">
        <v>0</v>
      </c>
      <c r="I68" s="341">
        <v>80</v>
      </c>
      <c r="J68" s="341">
        <v>4</v>
      </c>
      <c r="K68" s="341"/>
      <c r="L68" s="341"/>
    </row>
    <row r="69" spans="1:12" s="337" customFormat="1" ht="12" customHeight="1" x14ac:dyDescent="0.25">
      <c r="A69" s="341">
        <v>63</v>
      </c>
      <c r="B69" s="343" t="s">
        <v>177</v>
      </c>
      <c r="C69" s="347" t="s">
        <v>562</v>
      </c>
      <c r="D69" s="341"/>
      <c r="E69" s="341"/>
      <c r="F69" s="341"/>
      <c r="G69" s="341"/>
      <c r="H69" s="341">
        <v>0</v>
      </c>
      <c r="I69" s="341"/>
      <c r="J69" s="341"/>
      <c r="K69" s="341"/>
      <c r="L69" s="341"/>
    </row>
    <row r="70" spans="1:12" s="337" customFormat="1" ht="12" customHeight="1" x14ac:dyDescent="0.25">
      <c r="A70" s="341">
        <v>64</v>
      </c>
      <c r="B70" s="343" t="s">
        <v>178</v>
      </c>
      <c r="C70" s="347" t="s">
        <v>563</v>
      </c>
      <c r="D70" s="341"/>
      <c r="E70" s="341"/>
      <c r="F70" s="341"/>
      <c r="G70" s="341"/>
      <c r="H70" s="341">
        <v>0</v>
      </c>
      <c r="I70" s="341"/>
      <c r="J70" s="341"/>
      <c r="K70" s="341"/>
      <c r="L70" s="341"/>
    </row>
    <row r="71" spans="1:12" s="337" customFormat="1" x14ac:dyDescent="0.25">
      <c r="A71" s="341">
        <v>65</v>
      </c>
      <c r="B71" s="341" t="s">
        <v>95</v>
      </c>
      <c r="C71" s="342" t="s">
        <v>526</v>
      </c>
      <c r="D71" s="341">
        <f t="shared" ref="D71:D81" si="4">E71+K71</f>
        <v>3039</v>
      </c>
      <c r="E71" s="341">
        <v>3039</v>
      </c>
      <c r="F71" s="341"/>
      <c r="G71" s="341">
        <v>0</v>
      </c>
      <c r="H71" s="341">
        <v>0</v>
      </c>
      <c r="I71" s="341">
        <v>0</v>
      </c>
      <c r="J71" s="341"/>
      <c r="K71" s="341"/>
      <c r="L71" s="341"/>
    </row>
    <row r="72" spans="1:12" ht="12" x14ac:dyDescent="0.2">
      <c r="A72" s="341">
        <v>66</v>
      </c>
      <c r="B72" s="341" t="s">
        <v>96</v>
      </c>
      <c r="C72" s="342" t="s">
        <v>527</v>
      </c>
      <c r="D72" s="341">
        <f t="shared" si="4"/>
        <v>1647</v>
      </c>
      <c r="E72" s="341">
        <v>1647</v>
      </c>
      <c r="F72" s="341"/>
      <c r="G72" s="341">
        <v>0</v>
      </c>
      <c r="H72" s="341">
        <v>0</v>
      </c>
      <c r="I72" s="341">
        <v>0</v>
      </c>
      <c r="J72" s="341"/>
      <c r="K72" s="341"/>
      <c r="L72" s="341"/>
    </row>
    <row r="73" spans="1:12" ht="12.75" customHeight="1" x14ac:dyDescent="0.2">
      <c r="A73" s="341">
        <v>67</v>
      </c>
      <c r="B73" s="341" t="s">
        <v>97</v>
      </c>
      <c r="C73" s="342" t="s">
        <v>495</v>
      </c>
      <c r="D73" s="341">
        <f t="shared" si="4"/>
        <v>2691</v>
      </c>
      <c r="E73" s="341">
        <f>2871-195-302+209+108</f>
        <v>2691</v>
      </c>
      <c r="F73" s="341"/>
      <c r="G73" s="341">
        <v>0</v>
      </c>
      <c r="H73" s="341">
        <f>1100-195-302+209+108</f>
        <v>920</v>
      </c>
      <c r="I73" s="341">
        <v>0</v>
      </c>
      <c r="J73" s="341"/>
      <c r="K73" s="341"/>
      <c r="L73" s="341"/>
    </row>
    <row r="74" spans="1:12" ht="12.75" customHeight="1" x14ac:dyDescent="0.2">
      <c r="A74" s="341">
        <v>68</v>
      </c>
      <c r="B74" s="341" t="s">
        <v>98</v>
      </c>
      <c r="C74" s="342" t="s">
        <v>528</v>
      </c>
      <c r="D74" s="341">
        <f t="shared" si="4"/>
        <v>1220</v>
      </c>
      <c r="E74" s="341">
        <v>1220</v>
      </c>
      <c r="F74" s="341"/>
      <c r="G74" s="341">
        <v>0</v>
      </c>
      <c r="H74" s="341">
        <v>0</v>
      </c>
      <c r="I74" s="341">
        <v>0</v>
      </c>
      <c r="J74" s="341"/>
      <c r="K74" s="341"/>
      <c r="L74" s="341"/>
    </row>
    <row r="75" spans="1:12" ht="12.75" customHeight="1" x14ac:dyDescent="0.2">
      <c r="A75" s="341">
        <v>69</v>
      </c>
      <c r="B75" s="341" t="s">
        <v>99</v>
      </c>
      <c r="C75" s="342" t="s">
        <v>529</v>
      </c>
      <c r="D75" s="341">
        <f t="shared" si="4"/>
        <v>3536</v>
      </c>
      <c r="E75" s="341">
        <f>3586+8-58</f>
        <v>3536</v>
      </c>
      <c r="F75" s="341"/>
      <c r="G75" s="341">
        <v>0</v>
      </c>
      <c r="H75" s="341">
        <f>88-58</f>
        <v>30</v>
      </c>
      <c r="I75" s="341">
        <v>0</v>
      </c>
      <c r="J75" s="341"/>
      <c r="K75" s="341"/>
      <c r="L75" s="341"/>
    </row>
    <row r="76" spans="1:12" ht="12.75" customHeight="1" x14ac:dyDescent="0.2">
      <c r="A76" s="341">
        <v>70</v>
      </c>
      <c r="B76" s="341" t="s">
        <v>100</v>
      </c>
      <c r="C76" s="342" t="s">
        <v>403</v>
      </c>
      <c r="D76" s="341">
        <f t="shared" si="4"/>
        <v>1962</v>
      </c>
      <c r="E76" s="341">
        <f>1822+55+85</f>
        <v>1962</v>
      </c>
      <c r="F76" s="341"/>
      <c r="G76" s="341">
        <v>0</v>
      </c>
      <c r="H76" s="341"/>
      <c r="I76" s="341">
        <v>0</v>
      </c>
      <c r="J76" s="341"/>
      <c r="K76" s="341"/>
      <c r="L76" s="341"/>
    </row>
    <row r="77" spans="1:12" ht="12.75" customHeight="1" x14ac:dyDescent="0.2">
      <c r="A77" s="341">
        <v>71</v>
      </c>
      <c r="B77" s="341" t="s">
        <v>101</v>
      </c>
      <c r="C77" s="342" t="s">
        <v>404</v>
      </c>
      <c r="D77" s="341">
        <f t="shared" si="4"/>
        <v>1979</v>
      </c>
      <c r="E77" s="341">
        <v>1979</v>
      </c>
      <c r="F77" s="341"/>
      <c r="G77" s="341">
        <v>0</v>
      </c>
      <c r="H77" s="341"/>
      <c r="I77" s="341">
        <v>0</v>
      </c>
      <c r="J77" s="341"/>
      <c r="K77" s="341"/>
      <c r="L77" s="341"/>
    </row>
    <row r="78" spans="1:12" ht="12.75" customHeight="1" x14ac:dyDescent="0.2">
      <c r="A78" s="341">
        <v>72</v>
      </c>
      <c r="B78" s="341" t="s">
        <v>102</v>
      </c>
      <c r="C78" s="342" t="s">
        <v>405</v>
      </c>
      <c r="D78" s="341">
        <f t="shared" si="4"/>
        <v>1088</v>
      </c>
      <c r="E78" s="341">
        <v>1088</v>
      </c>
      <c r="F78" s="341"/>
      <c r="G78" s="341">
        <v>0</v>
      </c>
      <c r="H78" s="341"/>
      <c r="I78" s="341">
        <v>0</v>
      </c>
      <c r="J78" s="341"/>
      <c r="K78" s="341"/>
      <c r="L78" s="341"/>
    </row>
    <row r="79" spans="1:12" ht="12.75" customHeight="1" x14ac:dyDescent="0.2">
      <c r="A79" s="341">
        <v>73</v>
      </c>
      <c r="B79" s="341" t="s">
        <v>103</v>
      </c>
      <c r="C79" s="342" t="s">
        <v>530</v>
      </c>
      <c r="D79" s="341">
        <f t="shared" si="4"/>
        <v>3593</v>
      </c>
      <c r="E79" s="341">
        <f>3539-30+84</f>
        <v>3593</v>
      </c>
      <c r="F79" s="341"/>
      <c r="G79" s="341">
        <v>0</v>
      </c>
      <c r="H79" s="341">
        <f>58-30</f>
        <v>28</v>
      </c>
      <c r="I79" s="341">
        <v>0</v>
      </c>
      <c r="J79" s="341"/>
      <c r="K79" s="341"/>
      <c r="L79" s="341"/>
    </row>
    <row r="80" spans="1:12" ht="12.75" customHeight="1" x14ac:dyDescent="0.2">
      <c r="A80" s="341">
        <v>74</v>
      </c>
      <c r="B80" s="341" t="s">
        <v>104</v>
      </c>
      <c r="C80" s="342" t="s">
        <v>407</v>
      </c>
      <c r="D80" s="341">
        <f t="shared" si="4"/>
        <v>1583</v>
      </c>
      <c r="E80" s="341">
        <v>1583</v>
      </c>
      <c r="F80" s="341"/>
      <c r="G80" s="341">
        <v>0</v>
      </c>
      <c r="H80" s="341"/>
      <c r="I80" s="341">
        <v>0</v>
      </c>
      <c r="J80" s="341"/>
      <c r="K80" s="341"/>
      <c r="L80" s="341"/>
    </row>
    <row r="81" spans="1:12" ht="12.75" customHeight="1" x14ac:dyDescent="0.2">
      <c r="A81" s="341">
        <v>75</v>
      </c>
      <c r="B81" s="341" t="s">
        <v>105</v>
      </c>
      <c r="C81" s="342" t="s">
        <v>408</v>
      </c>
      <c r="D81" s="341">
        <f t="shared" si="4"/>
        <v>1522</v>
      </c>
      <c r="E81" s="341">
        <f>1376+62+84</f>
        <v>1522</v>
      </c>
      <c r="F81" s="341"/>
      <c r="G81" s="341">
        <v>0</v>
      </c>
      <c r="H81" s="341">
        <v>0</v>
      </c>
      <c r="I81" s="341">
        <v>0</v>
      </c>
      <c r="J81" s="341"/>
      <c r="K81" s="341"/>
      <c r="L81" s="341"/>
    </row>
    <row r="82" spans="1:12" s="337" customFormat="1" ht="28.5" customHeight="1" x14ac:dyDescent="0.25">
      <c r="A82" s="341">
        <v>76</v>
      </c>
      <c r="B82" s="351" t="s">
        <v>179</v>
      </c>
      <c r="C82" s="352" t="s">
        <v>564</v>
      </c>
      <c r="D82" s="341"/>
      <c r="E82" s="341"/>
      <c r="F82" s="341"/>
      <c r="G82" s="341"/>
      <c r="H82" s="341"/>
      <c r="I82" s="341"/>
      <c r="J82" s="341"/>
      <c r="K82" s="341"/>
      <c r="L82" s="341"/>
    </row>
    <row r="83" spans="1:12" s="337" customFormat="1" ht="28.5" customHeight="1" x14ac:dyDescent="0.25">
      <c r="A83" s="341">
        <v>77</v>
      </c>
      <c r="B83" s="343" t="s">
        <v>180</v>
      </c>
      <c r="C83" s="347" t="s">
        <v>565</v>
      </c>
      <c r="D83" s="341"/>
      <c r="E83" s="341"/>
      <c r="F83" s="341"/>
      <c r="G83" s="341"/>
      <c r="H83" s="341"/>
      <c r="I83" s="341"/>
      <c r="J83" s="341"/>
      <c r="K83" s="341"/>
      <c r="L83" s="341"/>
    </row>
    <row r="84" spans="1:12" s="337" customFormat="1" ht="28.5" customHeight="1" x14ac:dyDescent="0.25">
      <c r="A84" s="341">
        <v>78</v>
      </c>
      <c r="B84" s="348" t="s">
        <v>181</v>
      </c>
      <c r="C84" s="347" t="s">
        <v>566</v>
      </c>
      <c r="D84" s="341"/>
      <c r="E84" s="341"/>
      <c r="F84" s="341"/>
      <c r="G84" s="341"/>
      <c r="H84" s="341"/>
      <c r="I84" s="341"/>
      <c r="J84" s="341"/>
      <c r="K84" s="341"/>
      <c r="L84" s="341"/>
    </row>
    <row r="85" spans="1:12" s="337" customFormat="1" ht="28.5" customHeight="1" x14ac:dyDescent="0.25">
      <c r="A85" s="341">
        <v>79</v>
      </c>
      <c r="B85" s="348" t="s">
        <v>182</v>
      </c>
      <c r="C85" s="347" t="s">
        <v>567</v>
      </c>
      <c r="D85" s="341"/>
      <c r="E85" s="341"/>
      <c r="F85" s="341"/>
      <c r="G85" s="341"/>
      <c r="H85" s="341"/>
      <c r="I85" s="341"/>
      <c r="J85" s="341"/>
      <c r="K85" s="341"/>
      <c r="L85" s="341"/>
    </row>
    <row r="86" spans="1:12" s="337" customFormat="1" ht="28.5" customHeight="1" x14ac:dyDescent="0.25">
      <c r="A86" s="341">
        <v>80</v>
      </c>
      <c r="B86" s="343" t="s">
        <v>183</v>
      </c>
      <c r="C86" s="347" t="s">
        <v>568</v>
      </c>
      <c r="D86" s="341"/>
      <c r="E86" s="341"/>
      <c r="F86" s="341"/>
      <c r="G86" s="341"/>
      <c r="H86" s="341"/>
      <c r="I86" s="341"/>
      <c r="J86" s="341"/>
      <c r="K86" s="341"/>
      <c r="L86" s="341"/>
    </row>
    <row r="87" spans="1:12" s="337" customFormat="1" ht="28.5" customHeight="1" x14ac:dyDescent="0.25">
      <c r="A87" s="341">
        <v>81</v>
      </c>
      <c r="B87" s="343" t="s">
        <v>184</v>
      </c>
      <c r="C87" s="347" t="s">
        <v>569</v>
      </c>
      <c r="D87" s="341"/>
      <c r="E87" s="341"/>
      <c r="F87" s="341"/>
      <c r="G87" s="341"/>
      <c r="H87" s="341"/>
      <c r="I87" s="341"/>
      <c r="J87" s="341"/>
      <c r="K87" s="341"/>
      <c r="L87" s="341"/>
    </row>
    <row r="88" spans="1:12" s="337" customFormat="1" ht="28.5" customHeight="1" x14ac:dyDescent="0.25">
      <c r="A88" s="341">
        <v>82</v>
      </c>
      <c r="B88" s="343" t="s">
        <v>185</v>
      </c>
      <c r="C88" s="347" t="s">
        <v>570</v>
      </c>
      <c r="D88" s="341"/>
      <c r="E88" s="341"/>
      <c r="F88" s="341"/>
      <c r="G88" s="341"/>
      <c r="H88" s="341"/>
      <c r="I88" s="341"/>
      <c r="J88" s="341"/>
      <c r="K88" s="341"/>
      <c r="L88" s="341"/>
    </row>
    <row r="89" spans="1:12" s="337" customFormat="1" ht="12.75" customHeight="1" x14ac:dyDescent="0.25">
      <c r="A89" s="341">
        <v>83</v>
      </c>
      <c r="B89" s="341" t="s">
        <v>106</v>
      </c>
      <c r="C89" s="342" t="s">
        <v>107</v>
      </c>
      <c r="D89" s="341">
        <f t="shared" ref="D89:D117" si="5">E89+K89</f>
        <v>3221</v>
      </c>
      <c r="E89" s="341">
        <f>3256+221-256</f>
        <v>3221</v>
      </c>
      <c r="F89" s="341"/>
      <c r="G89" s="341">
        <v>0</v>
      </c>
      <c r="H89" s="341">
        <v>0</v>
      </c>
      <c r="I89" s="341">
        <v>0</v>
      </c>
      <c r="J89" s="341">
        <v>0</v>
      </c>
      <c r="K89" s="341"/>
      <c r="L89" s="341"/>
    </row>
    <row r="90" spans="1:12" s="337" customFormat="1" x14ac:dyDescent="0.25">
      <c r="A90" s="341">
        <v>84</v>
      </c>
      <c r="B90" s="341" t="s">
        <v>108</v>
      </c>
      <c r="C90" s="342" t="s">
        <v>531</v>
      </c>
      <c r="D90" s="341">
        <f t="shared" si="5"/>
        <v>2374</v>
      </c>
      <c r="E90" s="341">
        <f>2582-208</f>
        <v>2374</v>
      </c>
      <c r="F90" s="341"/>
      <c r="G90" s="341">
        <v>0</v>
      </c>
      <c r="H90" s="341">
        <v>0</v>
      </c>
      <c r="I90" s="341">
        <v>299</v>
      </c>
      <c r="J90" s="341">
        <v>0</v>
      </c>
      <c r="K90" s="341"/>
      <c r="L90" s="341"/>
    </row>
    <row r="91" spans="1:12" s="337" customFormat="1" x14ac:dyDescent="0.25">
      <c r="A91" s="341">
        <v>85</v>
      </c>
      <c r="B91" s="341" t="s">
        <v>109</v>
      </c>
      <c r="C91" s="342" t="s">
        <v>417</v>
      </c>
      <c r="D91" s="341">
        <f t="shared" si="5"/>
        <v>496</v>
      </c>
      <c r="E91" s="341">
        <f>1819-23-1300</f>
        <v>496</v>
      </c>
      <c r="F91" s="341"/>
      <c r="G91" s="341">
        <v>0</v>
      </c>
      <c r="H91" s="341">
        <v>0</v>
      </c>
      <c r="I91" s="341">
        <v>0</v>
      </c>
      <c r="J91" s="341">
        <v>0</v>
      </c>
      <c r="K91" s="341"/>
      <c r="L91" s="341"/>
    </row>
    <row r="92" spans="1:12" s="337" customFormat="1" x14ac:dyDescent="0.25">
      <c r="A92" s="341">
        <v>86</v>
      </c>
      <c r="B92" s="341" t="s">
        <v>110</v>
      </c>
      <c r="C92" s="342" t="s">
        <v>418</v>
      </c>
      <c r="D92" s="341">
        <f t="shared" si="5"/>
        <v>1160</v>
      </c>
      <c r="E92" s="341">
        <v>1160</v>
      </c>
      <c r="F92" s="341"/>
      <c r="G92" s="341">
        <v>0</v>
      </c>
      <c r="H92" s="341">
        <v>0</v>
      </c>
      <c r="I92" s="341">
        <v>0</v>
      </c>
      <c r="J92" s="341"/>
      <c r="K92" s="341"/>
      <c r="L92" s="341"/>
    </row>
    <row r="93" spans="1:12" s="337" customFormat="1" x14ac:dyDescent="0.25">
      <c r="A93" s="341">
        <v>87</v>
      </c>
      <c r="B93" s="341" t="s">
        <v>111</v>
      </c>
      <c r="C93" s="342" t="s">
        <v>532</v>
      </c>
      <c r="D93" s="341">
        <f t="shared" si="5"/>
        <v>1736</v>
      </c>
      <c r="E93" s="341">
        <f>2066-25-305</f>
        <v>1736</v>
      </c>
      <c r="F93" s="341"/>
      <c r="G93" s="341">
        <v>0</v>
      </c>
      <c r="H93" s="341">
        <v>0</v>
      </c>
      <c r="I93" s="341">
        <v>429</v>
      </c>
      <c r="J93" s="341"/>
      <c r="K93" s="341"/>
      <c r="L93" s="341"/>
    </row>
    <row r="94" spans="1:12" s="337" customFormat="1" x14ac:dyDescent="0.25">
      <c r="A94" s="341">
        <v>88</v>
      </c>
      <c r="B94" s="341" t="s">
        <v>112</v>
      </c>
      <c r="C94" s="342" t="s">
        <v>420</v>
      </c>
      <c r="D94" s="341">
        <f t="shared" si="5"/>
        <v>7506</v>
      </c>
      <c r="E94" s="341">
        <v>7506</v>
      </c>
      <c r="F94" s="341"/>
      <c r="G94" s="341">
        <v>0</v>
      </c>
      <c r="H94" s="341">
        <f>812-260+58+25+10</f>
        <v>645</v>
      </c>
      <c r="I94" s="341">
        <v>358</v>
      </c>
      <c r="J94" s="341">
        <v>0</v>
      </c>
      <c r="K94" s="341"/>
      <c r="L94" s="341"/>
    </row>
    <row r="95" spans="1:12" s="337" customFormat="1" x14ac:dyDescent="0.25">
      <c r="A95" s="341">
        <v>89</v>
      </c>
      <c r="B95" s="341" t="s">
        <v>113</v>
      </c>
      <c r="C95" s="342" t="s">
        <v>421</v>
      </c>
      <c r="D95" s="341">
        <f t="shared" si="5"/>
        <v>1972</v>
      </c>
      <c r="E95" s="341">
        <v>1972</v>
      </c>
      <c r="F95" s="341"/>
      <c r="G95" s="341">
        <v>0</v>
      </c>
      <c r="H95" s="341">
        <v>0</v>
      </c>
      <c r="I95" s="341">
        <v>168</v>
      </c>
      <c r="J95" s="341">
        <v>0</v>
      </c>
      <c r="K95" s="341"/>
      <c r="L95" s="341"/>
    </row>
    <row r="96" spans="1:12" s="337" customFormat="1" x14ac:dyDescent="0.25">
      <c r="A96" s="341">
        <v>90</v>
      </c>
      <c r="B96" s="341" t="s">
        <v>9</v>
      </c>
      <c r="C96" s="342" t="s">
        <v>496</v>
      </c>
      <c r="D96" s="341">
        <f t="shared" si="5"/>
        <v>2169</v>
      </c>
      <c r="E96" s="341">
        <f>2429-140+64-175-9</f>
        <v>2169</v>
      </c>
      <c r="F96" s="341"/>
      <c r="G96" s="341">
        <v>0</v>
      </c>
      <c r="H96" s="341">
        <f>264-140+64-9</f>
        <v>179</v>
      </c>
      <c r="I96" s="341">
        <f>175-175</f>
        <v>0</v>
      </c>
      <c r="J96" s="341"/>
      <c r="K96" s="341"/>
      <c r="L96" s="341"/>
    </row>
    <row r="97" spans="1:12" s="337" customFormat="1" x14ac:dyDescent="0.25">
      <c r="A97" s="341">
        <v>91</v>
      </c>
      <c r="B97" s="341" t="s">
        <v>114</v>
      </c>
      <c r="C97" s="342" t="s">
        <v>423</v>
      </c>
      <c r="D97" s="341">
        <f t="shared" si="5"/>
        <v>677</v>
      </c>
      <c r="E97" s="341">
        <v>677</v>
      </c>
      <c r="F97" s="341"/>
      <c r="G97" s="341">
        <v>0</v>
      </c>
      <c r="H97" s="341">
        <v>0</v>
      </c>
      <c r="I97" s="341">
        <v>0</v>
      </c>
      <c r="J97" s="341">
        <v>0</v>
      </c>
      <c r="K97" s="341"/>
      <c r="L97" s="341"/>
    </row>
    <row r="98" spans="1:12" s="337" customFormat="1" x14ac:dyDescent="0.25">
      <c r="A98" s="341">
        <v>92</v>
      </c>
      <c r="B98" s="348" t="s">
        <v>324</v>
      </c>
      <c r="C98" s="347" t="s">
        <v>424</v>
      </c>
      <c r="D98" s="341">
        <f t="shared" si="5"/>
        <v>0</v>
      </c>
      <c r="E98" s="341"/>
      <c r="F98" s="341"/>
      <c r="G98" s="341"/>
      <c r="H98" s="341"/>
      <c r="I98" s="341"/>
      <c r="J98" s="341"/>
      <c r="K98" s="341"/>
      <c r="L98" s="341"/>
    </row>
    <row r="99" spans="1:12" s="337" customFormat="1" x14ac:dyDescent="0.25">
      <c r="A99" s="341">
        <v>93</v>
      </c>
      <c r="B99" s="346" t="s">
        <v>115</v>
      </c>
      <c r="C99" s="347" t="s">
        <v>116</v>
      </c>
      <c r="D99" s="341">
        <f t="shared" si="5"/>
        <v>11</v>
      </c>
      <c r="E99" s="341">
        <f>0+11</f>
        <v>11</v>
      </c>
      <c r="F99" s="341"/>
      <c r="G99" s="341"/>
      <c r="H99" s="341">
        <f>0+3</f>
        <v>3</v>
      </c>
      <c r="I99" s="341">
        <f>0+8</f>
        <v>8</v>
      </c>
      <c r="J99" s="341">
        <v>0</v>
      </c>
      <c r="K99" s="341"/>
      <c r="L99" s="341"/>
    </row>
    <row r="100" spans="1:12" s="337" customFormat="1" ht="24" x14ac:dyDescent="0.25">
      <c r="A100" s="341">
        <v>94</v>
      </c>
      <c r="B100" s="348" t="s">
        <v>186</v>
      </c>
      <c r="C100" s="344" t="s">
        <v>425</v>
      </c>
      <c r="D100" s="341">
        <f t="shared" si="5"/>
        <v>0</v>
      </c>
      <c r="E100" s="341"/>
      <c r="F100" s="341"/>
      <c r="G100" s="341"/>
      <c r="H100" s="341"/>
      <c r="I100" s="341"/>
      <c r="J100" s="341"/>
      <c r="K100" s="341"/>
      <c r="L100" s="341"/>
    </row>
    <row r="101" spans="1:12" s="337" customFormat="1" x14ac:dyDescent="0.25">
      <c r="A101" s="341">
        <v>95</v>
      </c>
      <c r="B101" s="353" t="s">
        <v>117</v>
      </c>
      <c r="C101" s="354" t="s">
        <v>426</v>
      </c>
      <c r="D101" s="341">
        <f t="shared" si="5"/>
        <v>123</v>
      </c>
      <c r="E101" s="341">
        <v>123</v>
      </c>
      <c r="F101" s="341"/>
      <c r="G101" s="341"/>
      <c r="H101" s="341"/>
      <c r="I101" s="341"/>
      <c r="J101" s="341"/>
      <c r="K101" s="341"/>
      <c r="L101" s="341"/>
    </row>
    <row r="102" spans="1:12" s="337" customFormat="1" x14ac:dyDescent="0.25">
      <c r="A102" s="341">
        <v>96</v>
      </c>
      <c r="B102" s="341" t="s">
        <v>118</v>
      </c>
      <c r="C102" s="342" t="s">
        <v>427</v>
      </c>
      <c r="D102" s="341">
        <f t="shared" si="5"/>
        <v>1175</v>
      </c>
      <c r="E102" s="341">
        <f>1155+20</f>
        <v>1175</v>
      </c>
      <c r="F102" s="341"/>
      <c r="G102" s="341">
        <v>0</v>
      </c>
      <c r="H102" s="341">
        <v>0</v>
      </c>
      <c r="I102" s="341">
        <v>184</v>
      </c>
      <c r="J102" s="341">
        <v>0</v>
      </c>
      <c r="K102" s="341"/>
      <c r="L102" s="341"/>
    </row>
    <row r="103" spans="1:12" s="337" customFormat="1" x14ac:dyDescent="0.25">
      <c r="A103" s="341">
        <v>97</v>
      </c>
      <c r="B103" s="341" t="s">
        <v>119</v>
      </c>
      <c r="C103" s="342" t="s">
        <v>120</v>
      </c>
      <c r="D103" s="341">
        <f t="shared" si="5"/>
        <v>981</v>
      </c>
      <c r="E103" s="341">
        <f>837+144</f>
        <v>981</v>
      </c>
      <c r="F103" s="341"/>
      <c r="G103" s="341">
        <v>0</v>
      </c>
      <c r="H103" s="341">
        <v>0</v>
      </c>
      <c r="I103" s="341">
        <v>0</v>
      </c>
      <c r="J103" s="341">
        <v>0</v>
      </c>
      <c r="K103" s="341"/>
      <c r="L103" s="341"/>
    </row>
    <row r="104" spans="1:12" s="337" customFormat="1" x14ac:dyDescent="0.25">
      <c r="A104" s="341">
        <v>98</v>
      </c>
      <c r="B104" s="341" t="s">
        <v>121</v>
      </c>
      <c r="C104" s="342" t="s">
        <v>122</v>
      </c>
      <c r="D104" s="341">
        <f t="shared" si="5"/>
        <v>1114</v>
      </c>
      <c r="E104" s="341">
        <f>876+50+188</f>
        <v>1114</v>
      </c>
      <c r="F104" s="341"/>
      <c r="G104" s="341">
        <v>0</v>
      </c>
      <c r="H104" s="341">
        <v>0</v>
      </c>
      <c r="I104" s="341">
        <v>0</v>
      </c>
      <c r="J104" s="341">
        <v>0</v>
      </c>
      <c r="K104" s="341"/>
      <c r="L104" s="341"/>
    </row>
    <row r="105" spans="1:12" s="337" customFormat="1" x14ac:dyDescent="0.25">
      <c r="A105" s="341">
        <v>99</v>
      </c>
      <c r="B105" s="341" t="s">
        <v>123</v>
      </c>
      <c r="C105" s="342" t="s">
        <v>124</v>
      </c>
      <c r="D105" s="341">
        <f t="shared" si="5"/>
        <v>2049</v>
      </c>
      <c r="E105" s="341">
        <f>2358-309</f>
        <v>2049</v>
      </c>
      <c r="F105" s="341"/>
      <c r="G105" s="341">
        <v>0</v>
      </c>
      <c r="H105" s="341">
        <v>0</v>
      </c>
      <c r="I105" s="341">
        <v>0</v>
      </c>
      <c r="J105" s="341">
        <v>0</v>
      </c>
      <c r="K105" s="341"/>
      <c r="L105" s="341"/>
    </row>
    <row r="106" spans="1:12" s="337" customFormat="1" ht="12" customHeight="1" x14ac:dyDescent="0.25">
      <c r="A106" s="341">
        <v>100</v>
      </c>
      <c r="B106" s="341" t="s">
        <v>125</v>
      </c>
      <c r="C106" s="342" t="s">
        <v>126</v>
      </c>
      <c r="D106" s="341">
        <f t="shared" si="5"/>
        <v>1284</v>
      </c>
      <c r="E106" s="341">
        <f>1039+50+195</f>
        <v>1284</v>
      </c>
      <c r="F106" s="341"/>
      <c r="G106" s="341">
        <v>0</v>
      </c>
      <c r="H106" s="341">
        <v>0</v>
      </c>
      <c r="I106" s="341">
        <v>0</v>
      </c>
      <c r="J106" s="341">
        <v>0</v>
      </c>
      <c r="K106" s="341"/>
      <c r="L106" s="341"/>
    </row>
    <row r="107" spans="1:12" s="337" customFormat="1" x14ac:dyDescent="0.25">
      <c r="A107" s="341">
        <v>101</v>
      </c>
      <c r="B107" s="341" t="s">
        <v>127</v>
      </c>
      <c r="C107" s="342" t="s">
        <v>128</v>
      </c>
      <c r="D107" s="341">
        <f t="shared" si="5"/>
        <v>1504</v>
      </c>
      <c r="E107" s="341">
        <f>1235+269</f>
        <v>1504</v>
      </c>
      <c r="F107" s="341"/>
      <c r="G107" s="341">
        <v>0</v>
      </c>
      <c r="H107" s="341">
        <v>0</v>
      </c>
      <c r="I107" s="341">
        <v>0</v>
      </c>
      <c r="J107" s="341">
        <v>0</v>
      </c>
      <c r="K107" s="341"/>
      <c r="L107" s="341"/>
    </row>
    <row r="108" spans="1:12" s="337" customFormat="1" x14ac:dyDescent="0.25">
      <c r="A108" s="341">
        <v>102</v>
      </c>
      <c r="B108" s="341" t="s">
        <v>129</v>
      </c>
      <c r="C108" s="342" t="s">
        <v>130</v>
      </c>
      <c r="D108" s="341">
        <f t="shared" si="5"/>
        <v>2538</v>
      </c>
      <c r="E108" s="341">
        <v>2538</v>
      </c>
      <c r="F108" s="341"/>
      <c r="G108" s="341">
        <v>0</v>
      </c>
      <c r="H108" s="341">
        <v>0</v>
      </c>
      <c r="I108" s="341">
        <v>0</v>
      </c>
      <c r="J108" s="341">
        <v>0</v>
      </c>
      <c r="K108" s="341"/>
      <c r="L108" s="341"/>
    </row>
    <row r="109" spans="1:12" s="337" customFormat="1" x14ac:dyDescent="0.25">
      <c r="A109" s="341">
        <v>103</v>
      </c>
      <c r="B109" s="341" t="s">
        <v>131</v>
      </c>
      <c r="C109" s="342" t="s">
        <v>132</v>
      </c>
      <c r="D109" s="341">
        <f t="shared" si="5"/>
        <v>2609</v>
      </c>
      <c r="E109" s="341">
        <f>2208+401</f>
        <v>2609</v>
      </c>
      <c r="F109" s="341"/>
      <c r="G109" s="341">
        <v>0</v>
      </c>
      <c r="H109" s="341">
        <v>0</v>
      </c>
      <c r="I109" s="341">
        <v>0</v>
      </c>
      <c r="J109" s="341">
        <v>0</v>
      </c>
      <c r="K109" s="341"/>
      <c r="L109" s="341"/>
    </row>
    <row r="110" spans="1:12" s="337" customFormat="1" x14ac:dyDescent="0.25">
      <c r="A110" s="341">
        <v>104</v>
      </c>
      <c r="B110" s="341" t="s">
        <v>133</v>
      </c>
      <c r="C110" s="342" t="s">
        <v>134</v>
      </c>
      <c r="D110" s="341">
        <f t="shared" si="5"/>
        <v>781</v>
      </c>
      <c r="E110" s="341">
        <v>781</v>
      </c>
      <c r="F110" s="341"/>
      <c r="G110" s="341">
        <v>0</v>
      </c>
      <c r="H110" s="341">
        <v>0</v>
      </c>
      <c r="I110" s="341">
        <v>0</v>
      </c>
      <c r="J110" s="341">
        <v>0</v>
      </c>
      <c r="K110" s="341"/>
      <c r="L110" s="341"/>
    </row>
    <row r="111" spans="1:12" s="337" customFormat="1" x14ac:dyDescent="0.25">
      <c r="A111" s="341">
        <v>105</v>
      </c>
      <c r="B111" s="341" t="s">
        <v>135</v>
      </c>
      <c r="C111" s="342" t="s">
        <v>136</v>
      </c>
      <c r="D111" s="341">
        <f t="shared" si="5"/>
        <v>1399</v>
      </c>
      <c r="E111" s="341">
        <f>1211+188</f>
        <v>1399</v>
      </c>
      <c r="F111" s="341"/>
      <c r="G111" s="341">
        <v>0</v>
      </c>
      <c r="H111" s="341">
        <v>0</v>
      </c>
      <c r="I111" s="341">
        <v>0</v>
      </c>
      <c r="J111" s="341">
        <v>0</v>
      </c>
      <c r="K111" s="341"/>
      <c r="L111" s="341"/>
    </row>
    <row r="112" spans="1:12" s="337" customFormat="1" x14ac:dyDescent="0.25">
      <c r="A112" s="341">
        <v>106</v>
      </c>
      <c r="B112" s="341" t="s">
        <v>137</v>
      </c>
      <c r="C112" s="342" t="s">
        <v>138</v>
      </c>
      <c r="D112" s="341">
        <f t="shared" si="5"/>
        <v>1407</v>
      </c>
      <c r="E112" s="341">
        <f>1193+214</f>
        <v>1407</v>
      </c>
      <c r="F112" s="341"/>
      <c r="G112" s="341">
        <v>0</v>
      </c>
      <c r="H112" s="341">
        <v>0</v>
      </c>
      <c r="I112" s="341">
        <v>0</v>
      </c>
      <c r="J112" s="341">
        <v>0</v>
      </c>
      <c r="K112" s="341"/>
      <c r="L112" s="341"/>
    </row>
    <row r="113" spans="1:12" s="337" customFormat="1" x14ac:dyDescent="0.25">
      <c r="A113" s="341">
        <v>107</v>
      </c>
      <c r="B113" s="341" t="s">
        <v>139</v>
      </c>
      <c r="C113" s="342" t="s">
        <v>140</v>
      </c>
      <c r="D113" s="341">
        <f t="shared" si="5"/>
        <v>1395</v>
      </c>
      <c r="E113" s="341">
        <f>1376+14+2-7+10</f>
        <v>1395</v>
      </c>
      <c r="F113" s="341"/>
      <c r="G113" s="341">
        <v>0</v>
      </c>
      <c r="H113" s="341">
        <f>0+14+2-7</f>
        <v>9</v>
      </c>
      <c r="I113" s="341">
        <v>18</v>
      </c>
      <c r="J113" s="341">
        <v>8</v>
      </c>
      <c r="K113" s="341"/>
      <c r="L113" s="341"/>
    </row>
    <row r="114" spans="1:12" s="337" customFormat="1" x14ac:dyDescent="0.25">
      <c r="A114" s="341">
        <v>108</v>
      </c>
      <c r="B114" s="341" t="s">
        <v>141</v>
      </c>
      <c r="C114" s="342" t="s">
        <v>142</v>
      </c>
      <c r="D114" s="341">
        <f t="shared" si="5"/>
        <v>1060</v>
      </c>
      <c r="E114" s="341">
        <f>905+155</f>
        <v>1060</v>
      </c>
      <c r="F114" s="341"/>
      <c r="G114" s="341">
        <v>0</v>
      </c>
      <c r="H114" s="341">
        <v>0</v>
      </c>
      <c r="I114" s="341">
        <v>0</v>
      </c>
      <c r="J114" s="341">
        <v>0</v>
      </c>
      <c r="K114" s="341"/>
      <c r="L114" s="341"/>
    </row>
    <row r="115" spans="1:12" s="337" customFormat="1" x14ac:dyDescent="0.25">
      <c r="A115" s="341">
        <v>109</v>
      </c>
      <c r="B115" s="341" t="s">
        <v>143</v>
      </c>
      <c r="C115" s="342" t="s">
        <v>144</v>
      </c>
      <c r="D115" s="341">
        <f t="shared" si="5"/>
        <v>1796</v>
      </c>
      <c r="E115" s="341">
        <f>1338-1+209+250</f>
        <v>1796</v>
      </c>
      <c r="F115" s="341"/>
      <c r="G115" s="341">
        <v>0</v>
      </c>
      <c r="H115" s="341">
        <v>0</v>
      </c>
      <c r="I115" s="341">
        <v>0</v>
      </c>
      <c r="J115" s="341">
        <v>0</v>
      </c>
      <c r="K115" s="341"/>
      <c r="L115" s="341"/>
    </row>
    <row r="116" spans="1:12" s="337" customFormat="1" x14ac:dyDescent="0.25">
      <c r="A116" s="341">
        <v>110</v>
      </c>
      <c r="B116" s="341" t="s">
        <v>145</v>
      </c>
      <c r="C116" s="342" t="s">
        <v>146</v>
      </c>
      <c r="D116" s="341">
        <f t="shared" si="5"/>
        <v>2271</v>
      </c>
      <c r="E116" s="341">
        <v>2271</v>
      </c>
      <c r="F116" s="341"/>
      <c r="G116" s="341">
        <v>0</v>
      </c>
      <c r="H116" s="341">
        <v>0</v>
      </c>
      <c r="I116" s="341">
        <v>0</v>
      </c>
      <c r="J116" s="341">
        <v>2</v>
      </c>
      <c r="K116" s="341"/>
      <c r="L116" s="341"/>
    </row>
    <row r="117" spans="1:12" s="337" customFormat="1" x14ac:dyDescent="0.25">
      <c r="A117" s="341">
        <v>111</v>
      </c>
      <c r="B117" s="341" t="s">
        <v>147</v>
      </c>
      <c r="C117" s="342" t="s">
        <v>165</v>
      </c>
      <c r="D117" s="341">
        <f t="shared" si="5"/>
        <v>1207</v>
      </c>
      <c r="E117" s="341">
        <f>1049+158</f>
        <v>1207</v>
      </c>
      <c r="F117" s="341"/>
      <c r="G117" s="341">
        <v>0</v>
      </c>
      <c r="H117" s="341">
        <v>0</v>
      </c>
      <c r="I117" s="341">
        <v>0</v>
      </c>
      <c r="J117" s="341">
        <v>0</v>
      </c>
      <c r="K117" s="341"/>
      <c r="L117" s="341"/>
    </row>
    <row r="118" spans="1:12" s="337" customFormat="1" x14ac:dyDescent="0.25">
      <c r="A118" s="341">
        <v>112</v>
      </c>
      <c r="B118" s="343" t="s">
        <v>187</v>
      </c>
      <c r="C118" s="355" t="s">
        <v>429</v>
      </c>
      <c r="D118" s="341"/>
      <c r="E118" s="341"/>
      <c r="F118" s="341"/>
      <c r="G118" s="341"/>
      <c r="H118" s="341"/>
      <c r="I118" s="341"/>
      <c r="J118" s="341"/>
      <c r="K118" s="341"/>
      <c r="L118" s="341"/>
    </row>
    <row r="119" spans="1:12" s="337" customFormat="1" x14ac:dyDescent="0.25">
      <c r="A119" s="341">
        <v>113</v>
      </c>
      <c r="B119" s="341" t="s">
        <v>326</v>
      </c>
      <c r="C119" s="342" t="s">
        <v>327</v>
      </c>
      <c r="D119" s="341">
        <f>E119+K119</f>
        <v>632</v>
      </c>
      <c r="E119" s="341">
        <f>360-3+274+1</f>
        <v>632</v>
      </c>
      <c r="F119" s="341"/>
      <c r="G119" s="341">
        <f>360-3+274+1</f>
        <v>632</v>
      </c>
      <c r="H119" s="341">
        <v>0</v>
      </c>
      <c r="I119" s="341">
        <v>0</v>
      </c>
      <c r="J119" s="341"/>
      <c r="K119" s="341"/>
      <c r="L119" s="341"/>
    </row>
    <row r="120" spans="1:12" s="337" customFormat="1" x14ac:dyDescent="0.25">
      <c r="A120" s="341">
        <v>114</v>
      </c>
      <c r="B120" s="346" t="s">
        <v>188</v>
      </c>
      <c r="C120" s="347" t="s">
        <v>430</v>
      </c>
      <c r="D120" s="341"/>
      <c r="E120" s="341"/>
      <c r="F120" s="341"/>
      <c r="G120" s="341"/>
      <c r="H120" s="341"/>
      <c r="I120" s="341"/>
      <c r="J120" s="341"/>
      <c r="K120" s="341"/>
      <c r="L120" s="341"/>
    </row>
    <row r="121" spans="1:12" s="337" customFormat="1" x14ac:dyDescent="0.25">
      <c r="A121" s="341">
        <v>115</v>
      </c>
      <c r="B121" s="341" t="s">
        <v>189</v>
      </c>
      <c r="C121" s="342" t="s">
        <v>431</v>
      </c>
      <c r="D121" s="341">
        <f>E121+K121</f>
        <v>21</v>
      </c>
      <c r="E121" s="341">
        <f>5+16</f>
        <v>21</v>
      </c>
      <c r="F121" s="341"/>
      <c r="G121" s="341">
        <v>0</v>
      </c>
      <c r="H121" s="341">
        <v>0</v>
      </c>
      <c r="I121" s="341">
        <v>0</v>
      </c>
      <c r="J121" s="341"/>
      <c r="K121" s="341"/>
      <c r="L121" s="341"/>
    </row>
    <row r="122" spans="1:12" s="337" customFormat="1" x14ac:dyDescent="0.25">
      <c r="A122" s="341">
        <v>116</v>
      </c>
      <c r="B122" s="341" t="s">
        <v>328</v>
      </c>
      <c r="C122" s="342" t="s">
        <v>329</v>
      </c>
      <c r="D122" s="341">
        <f>E122+K122</f>
        <v>10</v>
      </c>
      <c r="E122" s="341">
        <f>5+5</f>
        <v>10</v>
      </c>
      <c r="F122" s="341"/>
      <c r="G122" s="341">
        <v>0</v>
      </c>
      <c r="H122" s="341">
        <v>0</v>
      </c>
      <c r="I122" s="341">
        <v>0</v>
      </c>
      <c r="J122" s="341"/>
      <c r="K122" s="341"/>
      <c r="L122" s="341"/>
    </row>
    <row r="123" spans="1:12" s="337" customFormat="1" ht="12" customHeight="1" x14ac:dyDescent="0.25">
      <c r="A123" s="341">
        <v>117</v>
      </c>
      <c r="B123" s="341" t="s">
        <v>190</v>
      </c>
      <c r="C123" s="342" t="s">
        <v>432</v>
      </c>
      <c r="D123" s="341">
        <f>E123+K123</f>
        <v>5</v>
      </c>
      <c r="E123" s="341">
        <v>5</v>
      </c>
      <c r="F123" s="341"/>
      <c r="G123" s="341">
        <v>0</v>
      </c>
      <c r="H123" s="341">
        <v>0</v>
      </c>
      <c r="I123" s="341">
        <v>0</v>
      </c>
      <c r="J123" s="341"/>
      <c r="K123" s="341"/>
      <c r="L123" s="341"/>
    </row>
    <row r="124" spans="1:12" s="337" customFormat="1" ht="12" customHeight="1" x14ac:dyDescent="0.25">
      <c r="A124" s="341">
        <v>118</v>
      </c>
      <c r="B124" s="346" t="s">
        <v>330</v>
      </c>
      <c r="C124" s="347" t="s">
        <v>331</v>
      </c>
      <c r="D124" s="341"/>
      <c r="E124" s="341"/>
      <c r="F124" s="341"/>
      <c r="G124" s="341"/>
      <c r="H124" s="341"/>
      <c r="I124" s="341"/>
      <c r="J124" s="341"/>
      <c r="K124" s="341"/>
      <c r="L124" s="341"/>
    </row>
    <row r="125" spans="1:12" s="337" customFormat="1" x14ac:dyDescent="0.25">
      <c r="A125" s="341">
        <v>119</v>
      </c>
      <c r="B125" s="341" t="s">
        <v>191</v>
      </c>
      <c r="C125" s="342" t="s">
        <v>433</v>
      </c>
      <c r="D125" s="341">
        <f>E125+K125</f>
        <v>340</v>
      </c>
      <c r="E125" s="341">
        <f>264+52+24</f>
        <v>340</v>
      </c>
      <c r="F125" s="341"/>
      <c r="G125" s="341">
        <v>0</v>
      </c>
      <c r="H125" s="341">
        <v>0</v>
      </c>
      <c r="I125" s="341">
        <v>0</v>
      </c>
      <c r="J125" s="341"/>
      <c r="K125" s="341"/>
      <c r="L125" s="341"/>
    </row>
    <row r="126" spans="1:12" s="337" customFormat="1" x14ac:dyDescent="0.25">
      <c r="A126" s="341">
        <v>120</v>
      </c>
      <c r="B126" s="356" t="s">
        <v>434</v>
      </c>
      <c r="C126" s="357" t="s">
        <v>435</v>
      </c>
      <c r="D126" s="341"/>
      <c r="E126" s="341"/>
      <c r="F126" s="341"/>
      <c r="G126" s="341"/>
      <c r="H126" s="341"/>
      <c r="I126" s="341"/>
      <c r="J126" s="341"/>
      <c r="K126" s="341"/>
      <c r="L126" s="341"/>
    </row>
    <row r="127" spans="1:12" ht="12" x14ac:dyDescent="0.2">
      <c r="A127" s="341">
        <v>121</v>
      </c>
      <c r="B127" s="341" t="s">
        <v>436</v>
      </c>
      <c r="C127" s="342" t="s">
        <v>437</v>
      </c>
      <c r="D127" s="341">
        <f>E127+K127</f>
        <v>331</v>
      </c>
      <c r="E127" s="341">
        <f>360+40-3-66</f>
        <v>331</v>
      </c>
      <c r="F127" s="341"/>
      <c r="G127" s="341">
        <f>360-3-66</f>
        <v>291</v>
      </c>
      <c r="H127" s="341">
        <f>0+40</f>
        <v>40</v>
      </c>
      <c r="I127" s="341">
        <v>0</v>
      </c>
      <c r="J127" s="341"/>
      <c r="K127" s="341"/>
      <c r="L127" s="341"/>
    </row>
    <row r="128" spans="1:12" ht="12" x14ac:dyDescent="0.2">
      <c r="A128" s="341">
        <v>122</v>
      </c>
      <c r="B128" s="346" t="s">
        <v>192</v>
      </c>
      <c r="C128" s="347" t="s">
        <v>438</v>
      </c>
      <c r="D128" s="341"/>
      <c r="E128" s="341"/>
      <c r="F128" s="341"/>
      <c r="G128" s="341"/>
      <c r="H128" s="341"/>
      <c r="I128" s="341"/>
      <c r="J128" s="341"/>
      <c r="K128" s="341"/>
      <c r="L128" s="341"/>
    </row>
    <row r="129" spans="1:12" s="337" customFormat="1" ht="12.75" customHeight="1" x14ac:dyDescent="0.25">
      <c r="A129" s="341">
        <v>123</v>
      </c>
      <c r="B129" s="341" t="s">
        <v>332</v>
      </c>
      <c r="C129" s="342" t="s">
        <v>439</v>
      </c>
      <c r="D129" s="341">
        <f>E129+K129</f>
        <v>130</v>
      </c>
      <c r="E129" s="341">
        <f>360-3-226-1</f>
        <v>130</v>
      </c>
      <c r="F129" s="341"/>
      <c r="G129" s="341">
        <f>360-3-226-1</f>
        <v>130</v>
      </c>
      <c r="H129" s="341">
        <v>0</v>
      </c>
      <c r="I129" s="341">
        <v>0</v>
      </c>
      <c r="J129" s="341"/>
      <c r="K129" s="341"/>
      <c r="L129" s="341"/>
    </row>
    <row r="130" spans="1:12" s="337" customFormat="1" ht="24" x14ac:dyDescent="0.25">
      <c r="A130" s="341">
        <v>124</v>
      </c>
      <c r="B130" s="341" t="s">
        <v>334</v>
      </c>
      <c r="C130" s="342" t="s">
        <v>440</v>
      </c>
      <c r="D130" s="341">
        <f>E130+K130</f>
        <v>5</v>
      </c>
      <c r="E130" s="341">
        <v>5</v>
      </c>
      <c r="F130" s="341"/>
      <c r="G130" s="341">
        <v>0</v>
      </c>
      <c r="H130" s="341">
        <v>0</v>
      </c>
      <c r="I130" s="341">
        <v>0</v>
      </c>
      <c r="J130" s="341"/>
      <c r="K130" s="341"/>
      <c r="L130" s="341"/>
    </row>
    <row r="131" spans="1:12" s="337" customFormat="1" ht="13.5" customHeight="1" x14ac:dyDescent="0.25">
      <c r="A131" s="341">
        <v>125</v>
      </c>
      <c r="B131" s="346" t="s">
        <v>336</v>
      </c>
      <c r="C131" s="347" t="s">
        <v>441</v>
      </c>
      <c r="D131" s="341"/>
      <c r="E131" s="341"/>
      <c r="F131" s="341"/>
      <c r="G131" s="341"/>
      <c r="H131" s="341"/>
      <c r="I131" s="341"/>
      <c r="J131" s="341"/>
      <c r="K131" s="341"/>
      <c r="L131" s="341"/>
    </row>
    <row r="132" spans="1:12" s="337" customFormat="1" x14ac:dyDescent="0.25">
      <c r="A132" s="341">
        <v>126</v>
      </c>
      <c r="B132" s="341" t="s">
        <v>148</v>
      </c>
      <c r="C132" s="342" t="s">
        <v>497</v>
      </c>
      <c r="D132" s="341">
        <f>E132+K132</f>
        <v>5</v>
      </c>
      <c r="E132" s="341">
        <v>5</v>
      </c>
      <c r="F132" s="341"/>
      <c r="G132" s="341">
        <v>0</v>
      </c>
      <c r="H132" s="341">
        <v>0</v>
      </c>
      <c r="I132" s="341">
        <v>0</v>
      </c>
      <c r="J132" s="341"/>
      <c r="K132" s="341"/>
      <c r="L132" s="341"/>
    </row>
    <row r="133" spans="1:12" s="337" customFormat="1" x14ac:dyDescent="0.25">
      <c r="A133" s="341">
        <v>127</v>
      </c>
      <c r="B133" s="358" t="s">
        <v>338</v>
      </c>
      <c r="C133" s="349" t="s">
        <v>339</v>
      </c>
      <c r="D133" s="341"/>
      <c r="E133" s="341"/>
      <c r="F133" s="341"/>
      <c r="G133" s="341"/>
      <c r="H133" s="341"/>
      <c r="I133" s="341"/>
      <c r="J133" s="341"/>
      <c r="K133" s="341"/>
      <c r="L133" s="341"/>
    </row>
    <row r="134" spans="1:12" s="337" customFormat="1" x14ac:dyDescent="0.25">
      <c r="A134" s="341">
        <v>128</v>
      </c>
      <c r="B134" s="346" t="s">
        <v>340</v>
      </c>
      <c r="C134" s="347" t="s">
        <v>341</v>
      </c>
      <c r="D134" s="341"/>
      <c r="E134" s="341"/>
      <c r="F134" s="341"/>
      <c r="G134" s="341"/>
      <c r="H134" s="341"/>
      <c r="I134" s="341"/>
      <c r="J134" s="341"/>
      <c r="K134" s="341"/>
      <c r="L134" s="341"/>
    </row>
    <row r="135" spans="1:12" s="337" customFormat="1" x14ac:dyDescent="0.25">
      <c r="A135" s="341">
        <v>129</v>
      </c>
      <c r="B135" s="343" t="s">
        <v>193</v>
      </c>
      <c r="C135" s="344" t="s">
        <v>443</v>
      </c>
      <c r="D135" s="341"/>
      <c r="E135" s="341"/>
      <c r="F135" s="341"/>
      <c r="G135" s="341"/>
      <c r="H135" s="341"/>
      <c r="I135" s="341"/>
      <c r="J135" s="341"/>
      <c r="K135" s="341"/>
      <c r="L135" s="341"/>
    </row>
    <row r="136" spans="1:12" s="337" customFormat="1" x14ac:dyDescent="0.25">
      <c r="A136" s="341">
        <v>130</v>
      </c>
      <c r="B136" s="341" t="s">
        <v>194</v>
      </c>
      <c r="C136" s="342" t="s">
        <v>444</v>
      </c>
      <c r="D136" s="341">
        <f>E136+K136</f>
        <v>295</v>
      </c>
      <c r="E136" s="341">
        <f>360-3-95+33</f>
        <v>295</v>
      </c>
      <c r="F136" s="341"/>
      <c r="G136" s="341">
        <f>360-3-95+33</f>
        <v>295</v>
      </c>
      <c r="H136" s="341">
        <v>0</v>
      </c>
      <c r="I136" s="341">
        <v>0</v>
      </c>
      <c r="J136" s="341"/>
      <c r="K136" s="341"/>
      <c r="L136" s="341"/>
    </row>
    <row r="137" spans="1:12" s="337" customFormat="1" x14ac:dyDescent="0.25">
      <c r="A137" s="341">
        <v>131</v>
      </c>
      <c r="B137" s="346" t="s">
        <v>195</v>
      </c>
      <c r="C137" s="347" t="s">
        <v>445</v>
      </c>
      <c r="D137" s="341"/>
      <c r="E137" s="341"/>
      <c r="F137" s="341"/>
      <c r="G137" s="341"/>
      <c r="H137" s="341"/>
      <c r="I137" s="341"/>
      <c r="J137" s="341"/>
      <c r="K137" s="341"/>
      <c r="L137" s="341"/>
    </row>
    <row r="138" spans="1:12" s="337" customFormat="1" x14ac:dyDescent="0.25">
      <c r="A138" s="341">
        <v>132</v>
      </c>
      <c r="B138" s="341" t="s">
        <v>446</v>
      </c>
      <c r="C138" s="342" t="s">
        <v>447</v>
      </c>
      <c r="D138" s="341">
        <f t="shared" ref="D138:D148" si="6">E138+K138</f>
        <v>5</v>
      </c>
      <c r="E138" s="341">
        <v>5</v>
      </c>
      <c r="F138" s="341"/>
      <c r="G138" s="341">
        <v>0</v>
      </c>
      <c r="H138" s="341">
        <v>0</v>
      </c>
      <c r="I138" s="341">
        <v>0</v>
      </c>
      <c r="J138" s="341"/>
      <c r="K138" s="341"/>
      <c r="L138" s="341"/>
    </row>
    <row r="139" spans="1:12" s="337" customFormat="1" x14ac:dyDescent="0.25">
      <c r="A139" s="341">
        <v>133</v>
      </c>
      <c r="B139" s="341" t="s">
        <v>15</v>
      </c>
      <c r="C139" s="342" t="s">
        <v>448</v>
      </c>
      <c r="D139" s="341">
        <f t="shared" si="6"/>
        <v>896</v>
      </c>
      <c r="E139" s="341">
        <f>1198-302</f>
        <v>896</v>
      </c>
      <c r="F139" s="341"/>
      <c r="G139" s="341">
        <v>0</v>
      </c>
      <c r="H139" s="341">
        <v>0</v>
      </c>
      <c r="I139" s="341">
        <v>0</v>
      </c>
      <c r="J139" s="341"/>
      <c r="K139" s="341"/>
      <c r="L139" s="341"/>
    </row>
    <row r="140" spans="1:12" s="337" customFormat="1" x14ac:dyDescent="0.25">
      <c r="A140" s="341">
        <v>134</v>
      </c>
      <c r="B140" s="341" t="s">
        <v>342</v>
      </c>
      <c r="C140" s="342" t="s">
        <v>343</v>
      </c>
      <c r="D140" s="341">
        <f t="shared" si="6"/>
        <v>27037</v>
      </c>
      <c r="E140" s="341">
        <f>18057-68-23-4-1+914-14-68+469-10-58-234+72-129+309</f>
        <v>19212</v>
      </c>
      <c r="F140" s="341"/>
      <c r="G140" s="341">
        <v>0</v>
      </c>
      <c r="H140" s="341">
        <f>18057-68-23-4-1+914-14-68+469-10-58-234+72-129+309</f>
        <v>19212</v>
      </c>
      <c r="I140" s="341">
        <v>0</v>
      </c>
      <c r="J140" s="341"/>
      <c r="K140" s="341">
        <f>0+6210+1615</f>
        <v>7825</v>
      </c>
      <c r="L140" s="341"/>
    </row>
    <row r="141" spans="1:12" s="337" customFormat="1" x14ac:dyDescent="0.25">
      <c r="A141" s="341">
        <v>135</v>
      </c>
      <c r="B141" s="341" t="s">
        <v>14</v>
      </c>
      <c r="C141" s="342" t="s">
        <v>13</v>
      </c>
      <c r="D141" s="341">
        <f t="shared" si="6"/>
        <v>450</v>
      </c>
      <c r="E141" s="341">
        <f>350+100</f>
        <v>450</v>
      </c>
      <c r="F141" s="341"/>
      <c r="G141" s="341">
        <v>0</v>
      </c>
      <c r="H141" s="341">
        <v>0</v>
      </c>
      <c r="I141" s="341">
        <v>0</v>
      </c>
      <c r="J141" s="341">
        <v>0</v>
      </c>
      <c r="K141" s="341"/>
      <c r="L141" s="341"/>
    </row>
    <row r="142" spans="1:12" s="337" customFormat="1" x14ac:dyDescent="0.25">
      <c r="A142" s="341">
        <v>136</v>
      </c>
      <c r="B142" s="341" t="s">
        <v>10</v>
      </c>
      <c r="C142" s="342" t="s">
        <v>7</v>
      </c>
      <c r="D142" s="341">
        <f t="shared" si="6"/>
        <v>2373</v>
      </c>
      <c r="E142" s="341">
        <f>2796-423</f>
        <v>2373</v>
      </c>
      <c r="F142" s="341"/>
      <c r="G142" s="341">
        <v>0</v>
      </c>
      <c r="H142" s="341">
        <v>94</v>
      </c>
      <c r="I142" s="341">
        <v>854</v>
      </c>
      <c r="J142" s="341">
        <v>0</v>
      </c>
      <c r="K142" s="341"/>
      <c r="L142" s="341"/>
    </row>
    <row r="143" spans="1:12" s="337" customFormat="1" x14ac:dyDescent="0.25">
      <c r="A143" s="341">
        <v>137</v>
      </c>
      <c r="B143" s="341" t="s">
        <v>196</v>
      </c>
      <c r="C143" s="342" t="s">
        <v>449</v>
      </c>
      <c r="D143" s="341">
        <f t="shared" si="6"/>
        <v>6581</v>
      </c>
      <c r="E143" s="341">
        <f>6758-177</f>
        <v>6581</v>
      </c>
      <c r="F143" s="341"/>
      <c r="G143" s="341">
        <v>0</v>
      </c>
      <c r="H143" s="341">
        <v>0</v>
      </c>
      <c r="I143" s="341">
        <v>0</v>
      </c>
      <c r="J143" s="341"/>
      <c r="K143" s="341"/>
      <c r="L143" s="341"/>
    </row>
    <row r="144" spans="1:12" s="337" customFormat="1" x14ac:dyDescent="0.25">
      <c r="A144" s="341">
        <v>138</v>
      </c>
      <c r="B144" s="341" t="s">
        <v>149</v>
      </c>
      <c r="C144" s="342" t="s">
        <v>150</v>
      </c>
      <c r="D144" s="341">
        <f t="shared" si="6"/>
        <v>1674</v>
      </c>
      <c r="E144" s="341">
        <v>1674</v>
      </c>
      <c r="F144" s="341"/>
      <c r="G144" s="341">
        <v>0</v>
      </c>
      <c r="H144" s="341">
        <v>0</v>
      </c>
      <c r="I144" s="341">
        <v>0</v>
      </c>
      <c r="J144" s="341"/>
      <c r="K144" s="341"/>
      <c r="L144" s="341"/>
    </row>
    <row r="145" spans="1:12" s="337" customFormat="1" x14ac:dyDescent="0.25">
      <c r="A145" s="341">
        <v>139</v>
      </c>
      <c r="B145" s="341" t="s">
        <v>151</v>
      </c>
      <c r="C145" s="342" t="s">
        <v>152</v>
      </c>
      <c r="D145" s="341">
        <f t="shared" si="6"/>
        <v>2829</v>
      </c>
      <c r="E145" s="341">
        <v>2829</v>
      </c>
      <c r="F145" s="341"/>
      <c r="G145" s="341">
        <v>0</v>
      </c>
      <c r="H145" s="341">
        <v>0</v>
      </c>
      <c r="I145" s="341">
        <v>0</v>
      </c>
      <c r="J145" s="341">
        <v>0</v>
      </c>
      <c r="K145" s="341"/>
      <c r="L145" s="341"/>
    </row>
    <row r="146" spans="1:12" s="337" customFormat="1" x14ac:dyDescent="0.25">
      <c r="A146" s="341">
        <v>140</v>
      </c>
      <c r="B146" s="341" t="s">
        <v>344</v>
      </c>
      <c r="C146" s="342" t="s">
        <v>345</v>
      </c>
      <c r="D146" s="341">
        <f t="shared" si="6"/>
        <v>412</v>
      </c>
      <c r="E146" s="341">
        <f>361-4+88-33</f>
        <v>412</v>
      </c>
      <c r="F146" s="341"/>
      <c r="G146" s="341">
        <f>361-4+88-33</f>
        <v>412</v>
      </c>
      <c r="H146" s="341">
        <v>0</v>
      </c>
      <c r="I146" s="341">
        <v>0</v>
      </c>
      <c r="J146" s="341"/>
      <c r="K146" s="341"/>
      <c r="L146" s="341"/>
    </row>
    <row r="147" spans="1:12" s="337" customFormat="1" x14ac:dyDescent="0.25">
      <c r="A147" s="341">
        <v>141</v>
      </c>
      <c r="B147" s="341" t="s">
        <v>197</v>
      </c>
      <c r="C147" s="342" t="s">
        <v>198</v>
      </c>
      <c r="D147" s="341">
        <f t="shared" si="6"/>
        <v>1594</v>
      </c>
      <c r="E147" s="341">
        <f>1362+85+147</f>
        <v>1594</v>
      </c>
      <c r="F147" s="341"/>
      <c r="G147" s="341">
        <v>0</v>
      </c>
      <c r="H147" s="341">
        <v>0</v>
      </c>
      <c r="I147" s="341">
        <v>1594</v>
      </c>
      <c r="J147" s="341"/>
      <c r="K147" s="341"/>
      <c r="L147" s="341"/>
    </row>
    <row r="148" spans="1:12" s="337" customFormat="1" x14ac:dyDescent="0.25">
      <c r="A148" s="341">
        <v>142</v>
      </c>
      <c r="B148" s="341" t="s">
        <v>346</v>
      </c>
      <c r="C148" s="342" t="s">
        <v>347</v>
      </c>
      <c r="D148" s="341">
        <f t="shared" si="6"/>
        <v>737</v>
      </c>
      <c r="E148" s="341">
        <f>1386-649</f>
        <v>737</v>
      </c>
      <c r="F148" s="341"/>
      <c r="G148" s="341">
        <v>0</v>
      </c>
      <c r="H148" s="341">
        <v>0</v>
      </c>
      <c r="I148" s="341">
        <f>675-646</f>
        <v>29</v>
      </c>
      <c r="J148" s="341"/>
      <c r="K148" s="341"/>
      <c r="L148" s="341"/>
    </row>
    <row r="149" spans="1:12" s="337" customFormat="1" x14ac:dyDescent="0.25">
      <c r="A149" s="341">
        <v>143</v>
      </c>
      <c r="B149" s="358" t="s">
        <v>12</v>
      </c>
      <c r="C149" s="349" t="s">
        <v>2</v>
      </c>
      <c r="D149" s="341"/>
      <c r="E149" s="341"/>
      <c r="F149" s="341"/>
      <c r="G149" s="341"/>
      <c r="H149" s="341"/>
      <c r="I149" s="341"/>
      <c r="J149" s="341"/>
      <c r="K149" s="341"/>
      <c r="L149" s="341"/>
    </row>
    <row r="150" spans="1:12" s="337" customFormat="1" x14ac:dyDescent="0.25">
      <c r="A150" s="341">
        <v>144</v>
      </c>
      <c r="B150" s="341" t="s">
        <v>3</v>
      </c>
      <c r="C150" s="342" t="s">
        <v>450</v>
      </c>
      <c r="D150" s="341">
        <f>E150+K150</f>
        <v>6388</v>
      </c>
      <c r="E150" s="341">
        <f>6914+3-141-167-221</f>
        <v>6388</v>
      </c>
      <c r="F150" s="341"/>
      <c r="G150" s="341">
        <v>0</v>
      </c>
      <c r="H150" s="341">
        <f>640-141-167</f>
        <v>332</v>
      </c>
      <c r="I150" s="341">
        <v>62</v>
      </c>
      <c r="J150" s="341">
        <v>3</v>
      </c>
      <c r="K150" s="341"/>
      <c r="L150" s="341"/>
    </row>
    <row r="151" spans="1:12" s="337" customFormat="1" x14ac:dyDescent="0.25">
      <c r="A151" s="341">
        <v>145</v>
      </c>
      <c r="B151" s="341" t="s">
        <v>11</v>
      </c>
      <c r="C151" s="342" t="s">
        <v>8</v>
      </c>
      <c r="D151" s="341">
        <f>E151+K151</f>
        <v>243</v>
      </c>
      <c r="E151" s="341">
        <f>475-232</f>
        <v>243</v>
      </c>
      <c r="F151" s="341"/>
      <c r="G151" s="341">
        <v>0</v>
      </c>
      <c r="H151" s="341">
        <v>0</v>
      </c>
      <c r="I151" s="341">
        <v>0</v>
      </c>
      <c r="J151" s="341"/>
      <c r="K151" s="341"/>
      <c r="L151" s="341"/>
    </row>
    <row r="152" spans="1:12" s="337" customFormat="1" x14ac:dyDescent="0.25">
      <c r="A152" s="341">
        <v>146</v>
      </c>
      <c r="B152" s="343" t="s">
        <v>200</v>
      </c>
      <c r="C152" s="344" t="s">
        <v>201</v>
      </c>
      <c r="D152" s="341"/>
      <c r="E152" s="341"/>
      <c r="F152" s="341"/>
      <c r="G152" s="341"/>
      <c r="H152" s="341"/>
      <c r="I152" s="341"/>
      <c r="J152" s="341"/>
      <c r="K152" s="341"/>
      <c r="L152" s="341"/>
    </row>
    <row r="153" spans="1:12" s="337" customFormat="1" x14ac:dyDescent="0.25">
      <c r="A153" s="341">
        <v>147</v>
      </c>
      <c r="B153" s="343" t="s">
        <v>202</v>
      </c>
      <c r="C153" s="344" t="s">
        <v>451</v>
      </c>
      <c r="D153" s="341"/>
      <c r="E153" s="341"/>
      <c r="F153" s="341"/>
      <c r="G153" s="341"/>
      <c r="H153" s="341"/>
      <c r="I153" s="341"/>
      <c r="J153" s="341"/>
      <c r="K153" s="341"/>
      <c r="L153" s="341"/>
    </row>
    <row r="154" spans="1:12" s="337" customFormat="1" x14ac:dyDescent="0.25">
      <c r="A154" s="341">
        <v>148</v>
      </c>
      <c r="B154" s="341" t="s">
        <v>348</v>
      </c>
      <c r="C154" s="342" t="s">
        <v>349</v>
      </c>
      <c r="D154" s="341">
        <f>E154+K154+L154</f>
        <v>11261</v>
      </c>
      <c r="E154" s="341">
        <f>5890-396-297</f>
        <v>5197</v>
      </c>
      <c r="F154" s="341">
        <v>100</v>
      </c>
      <c r="G154" s="341">
        <v>0</v>
      </c>
      <c r="H154" s="341">
        <f>5790-396-297</f>
        <v>5097</v>
      </c>
      <c r="I154" s="341">
        <v>0</v>
      </c>
      <c r="J154" s="341"/>
      <c r="K154" s="341">
        <f>0+5800-59-70</f>
        <v>5671</v>
      </c>
      <c r="L154" s="341">
        <f>L155+L156</f>
        <v>393</v>
      </c>
    </row>
    <row r="155" spans="1:12" s="337" customFormat="1" ht="24" x14ac:dyDescent="0.25">
      <c r="A155" s="341"/>
      <c r="B155" s="341"/>
      <c r="C155" s="359" t="s">
        <v>571</v>
      </c>
      <c r="D155" s="341">
        <f t="shared" ref="D155:D156" si="7">E155+K155+L155</f>
        <v>327</v>
      </c>
      <c r="E155" s="341"/>
      <c r="F155" s="341"/>
      <c r="G155" s="341"/>
      <c r="H155" s="341"/>
      <c r="I155" s="341"/>
      <c r="J155" s="341"/>
      <c r="K155" s="341"/>
      <c r="L155" s="341">
        <f>326+21-20</f>
        <v>327</v>
      </c>
    </row>
    <row r="156" spans="1:12" s="337" customFormat="1" ht="24" x14ac:dyDescent="0.25">
      <c r="A156" s="341"/>
      <c r="B156" s="341"/>
      <c r="C156" s="359" t="s">
        <v>572</v>
      </c>
      <c r="D156" s="341">
        <f t="shared" si="7"/>
        <v>66</v>
      </c>
      <c r="E156" s="341"/>
      <c r="F156" s="341"/>
      <c r="G156" s="341"/>
      <c r="H156" s="341"/>
      <c r="I156" s="341"/>
      <c r="J156" s="341"/>
      <c r="K156" s="341"/>
      <c r="L156" s="341">
        <f>67-14+13</f>
        <v>66</v>
      </c>
    </row>
  </sheetData>
  <mergeCells count="8">
    <mergeCell ref="A1:K1"/>
    <mergeCell ref="A3:A4"/>
    <mergeCell ref="B3:B4"/>
    <mergeCell ref="C3:C4"/>
    <mergeCell ref="D3:D4"/>
    <mergeCell ref="E3:E4"/>
    <mergeCell ref="F3:J3"/>
    <mergeCell ref="K3:L3"/>
  </mergeCells>
  <pageMargins left="0" right="0" top="0" bottom="0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D36" sqref="D36"/>
    </sheetView>
  </sheetViews>
  <sheetFormatPr defaultRowHeight="11.25" x14ac:dyDescent="0.25"/>
  <cols>
    <col min="1" max="1" width="3.42578125" style="286" customWidth="1"/>
    <col min="2" max="2" width="7.28515625" style="286" customWidth="1"/>
    <col min="3" max="3" width="30.42578125" style="285" customWidth="1"/>
    <col min="4" max="4" width="8.7109375" style="287" customWidth="1"/>
    <col min="5" max="5" width="8.28515625" style="287" customWidth="1"/>
    <col min="6" max="6" width="9" style="287" customWidth="1"/>
    <col min="7" max="7" width="9.28515625" style="287" customWidth="1"/>
    <col min="8" max="8" width="12.140625" style="287" customWidth="1"/>
    <col min="9" max="9" width="7.42578125" style="287" customWidth="1"/>
    <col min="10" max="10" width="7.7109375" style="287" customWidth="1"/>
    <col min="11" max="11" width="6.42578125" style="287" customWidth="1"/>
    <col min="12" max="12" width="7" style="287" customWidth="1"/>
    <col min="13" max="13" width="8.42578125" style="287" customWidth="1"/>
    <col min="14" max="14" width="11" style="287" customWidth="1"/>
    <col min="15" max="15" width="18.85546875" style="287" customWidth="1"/>
    <col min="16" max="16" width="10.85546875" style="287" customWidth="1"/>
    <col min="17" max="17" width="9.85546875" style="287" customWidth="1"/>
    <col min="18" max="18" width="10.140625" style="287" customWidth="1"/>
    <col min="19" max="19" width="9.5703125" style="287" customWidth="1"/>
    <col min="20" max="20" width="9.140625" style="287" customWidth="1"/>
    <col min="21" max="21" width="11.85546875" style="285" customWidth="1"/>
    <col min="22" max="16384" width="9.140625" style="285"/>
  </cols>
  <sheetData>
    <row r="1" spans="1:20" ht="18.75" x14ac:dyDescent="0.25">
      <c r="A1" s="546" t="s">
        <v>533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</row>
    <row r="2" spans="1:20" ht="12" thickBot="1" x14ac:dyDescent="0.3"/>
    <row r="3" spans="1:20" ht="11.25" customHeight="1" x14ac:dyDescent="0.25">
      <c r="A3" s="547" t="s">
        <v>0</v>
      </c>
      <c r="B3" s="550" t="s">
        <v>203</v>
      </c>
      <c r="C3" s="552" t="s">
        <v>488</v>
      </c>
      <c r="D3" s="555" t="s">
        <v>534</v>
      </c>
      <c r="E3" s="556"/>
      <c r="F3" s="556"/>
      <c r="G3" s="556"/>
      <c r="H3" s="556"/>
      <c r="I3" s="556"/>
      <c r="J3" s="556"/>
      <c r="K3" s="557"/>
      <c r="L3" s="558"/>
      <c r="M3" s="559" t="s">
        <v>535</v>
      </c>
      <c r="N3" s="555" t="s">
        <v>536</v>
      </c>
      <c r="O3" s="562"/>
      <c r="P3" s="556" t="s">
        <v>537</v>
      </c>
      <c r="Q3" s="565"/>
      <c r="R3" s="565"/>
      <c r="S3" s="566"/>
      <c r="T3" s="567" t="s">
        <v>453</v>
      </c>
    </row>
    <row r="4" spans="1:20" ht="15" customHeight="1" x14ac:dyDescent="0.25">
      <c r="A4" s="548"/>
      <c r="B4" s="551"/>
      <c r="C4" s="553"/>
      <c r="D4" s="570" t="s">
        <v>538</v>
      </c>
      <c r="E4" s="571"/>
      <c r="F4" s="571"/>
      <c r="G4" s="571"/>
      <c r="H4" s="571"/>
      <c r="I4" s="571"/>
      <c r="J4" s="572"/>
      <c r="K4" s="573" t="s">
        <v>539</v>
      </c>
      <c r="L4" s="575" t="s">
        <v>1</v>
      </c>
      <c r="M4" s="560"/>
      <c r="N4" s="563"/>
      <c r="O4" s="564"/>
      <c r="P4" s="577" t="s">
        <v>540</v>
      </c>
      <c r="Q4" s="579" t="s">
        <v>541</v>
      </c>
      <c r="R4" s="579" t="s">
        <v>542</v>
      </c>
      <c r="S4" s="544" t="s">
        <v>1</v>
      </c>
      <c r="T4" s="568"/>
    </row>
    <row r="5" spans="1:20" ht="85.5" customHeight="1" x14ac:dyDescent="0.25">
      <c r="A5" s="549"/>
      <c r="B5" s="551"/>
      <c r="C5" s="554"/>
      <c r="D5" s="288" t="s">
        <v>543</v>
      </c>
      <c r="E5" s="289" t="s">
        <v>544</v>
      </c>
      <c r="F5" s="289" t="s">
        <v>545</v>
      </c>
      <c r="G5" s="289" t="s">
        <v>546</v>
      </c>
      <c r="H5" s="289" t="s">
        <v>547</v>
      </c>
      <c r="I5" s="289" t="s">
        <v>548</v>
      </c>
      <c r="J5" s="289" t="s">
        <v>1</v>
      </c>
      <c r="K5" s="574"/>
      <c r="L5" s="576"/>
      <c r="M5" s="561"/>
      <c r="N5" s="290" t="s">
        <v>549</v>
      </c>
      <c r="O5" s="291" t="s">
        <v>550</v>
      </c>
      <c r="P5" s="578"/>
      <c r="Q5" s="580"/>
      <c r="R5" s="580"/>
      <c r="S5" s="545"/>
      <c r="T5" s="569"/>
    </row>
    <row r="6" spans="1:20" x14ac:dyDescent="0.25">
      <c r="A6" s="292"/>
      <c r="B6" s="292"/>
      <c r="C6" s="293" t="s">
        <v>1</v>
      </c>
      <c r="D6" s="294">
        <f>D7+D8</f>
        <v>4152</v>
      </c>
      <c r="E6" s="295">
        <f t="shared" ref="E6:R6" si="0">E7+E8</f>
        <v>4640</v>
      </c>
      <c r="F6" s="295">
        <f t="shared" si="0"/>
        <v>1033</v>
      </c>
      <c r="G6" s="295">
        <f t="shared" si="0"/>
        <v>1622</v>
      </c>
      <c r="H6" s="295">
        <f t="shared" si="0"/>
        <v>784</v>
      </c>
      <c r="I6" s="295">
        <f t="shared" si="0"/>
        <v>880</v>
      </c>
      <c r="J6" s="295">
        <f t="shared" si="0"/>
        <v>13111</v>
      </c>
      <c r="K6" s="296">
        <f t="shared" si="0"/>
        <v>777</v>
      </c>
      <c r="L6" s="297">
        <f t="shared" si="0"/>
        <v>14100</v>
      </c>
      <c r="M6" s="298">
        <f t="shared" si="0"/>
        <v>13000</v>
      </c>
      <c r="N6" s="299">
        <f t="shared" si="0"/>
        <v>6245</v>
      </c>
      <c r="O6" s="300">
        <f t="shared" si="0"/>
        <v>100</v>
      </c>
      <c r="P6" s="301">
        <f t="shared" si="0"/>
        <v>33095</v>
      </c>
      <c r="Q6" s="302">
        <f t="shared" si="0"/>
        <v>33801</v>
      </c>
      <c r="R6" s="302">
        <f t="shared" si="0"/>
        <v>31859</v>
      </c>
      <c r="S6" s="303">
        <f>S7+S8</f>
        <v>103600</v>
      </c>
      <c r="T6" s="304">
        <f>T7+T8</f>
        <v>137045</v>
      </c>
    </row>
    <row r="7" spans="1:20" x14ac:dyDescent="0.25">
      <c r="A7" s="292"/>
      <c r="B7" s="292"/>
      <c r="C7" s="305" t="s">
        <v>17</v>
      </c>
      <c r="D7" s="294"/>
      <c r="E7" s="295"/>
      <c r="F7" s="295"/>
      <c r="G7" s="295"/>
      <c r="H7" s="295"/>
      <c r="I7" s="295"/>
      <c r="J7" s="295">
        <v>0</v>
      </c>
      <c r="K7" s="296">
        <v>0</v>
      </c>
      <c r="L7" s="297">
        <f>215-3</f>
        <v>212</v>
      </c>
      <c r="M7" s="298"/>
      <c r="N7" s="299">
        <v>653</v>
      </c>
      <c r="O7" s="300"/>
      <c r="P7" s="301"/>
      <c r="Q7" s="302"/>
      <c r="R7" s="302"/>
      <c r="S7" s="303">
        <f>1350+1000+2495</f>
        <v>4845</v>
      </c>
      <c r="T7" s="304">
        <f>L7+M7+N7+S7</f>
        <v>5710</v>
      </c>
    </row>
    <row r="8" spans="1:20" x14ac:dyDescent="0.25">
      <c r="A8" s="292"/>
      <c r="B8" s="292"/>
      <c r="C8" s="306" t="s">
        <v>18</v>
      </c>
      <c r="D8" s="294">
        <f>SUM(D9:D31)</f>
        <v>4152</v>
      </c>
      <c r="E8" s="295">
        <f t="shared" ref="E8:T8" si="1">SUM(E9:E31)</f>
        <v>4640</v>
      </c>
      <c r="F8" s="295">
        <f t="shared" si="1"/>
        <v>1033</v>
      </c>
      <c r="G8" s="295">
        <f t="shared" si="1"/>
        <v>1622</v>
      </c>
      <c r="H8" s="295">
        <f t="shared" si="1"/>
        <v>784</v>
      </c>
      <c r="I8" s="295">
        <f t="shared" si="1"/>
        <v>880</v>
      </c>
      <c r="J8" s="295">
        <f t="shared" si="1"/>
        <v>13111</v>
      </c>
      <c r="K8" s="296">
        <f t="shared" si="1"/>
        <v>777</v>
      </c>
      <c r="L8" s="297">
        <f t="shared" si="1"/>
        <v>13888</v>
      </c>
      <c r="M8" s="298">
        <f t="shared" si="1"/>
        <v>13000</v>
      </c>
      <c r="N8" s="299">
        <f t="shared" si="1"/>
        <v>5592</v>
      </c>
      <c r="O8" s="300">
        <f t="shared" si="1"/>
        <v>100</v>
      </c>
      <c r="P8" s="301">
        <f t="shared" si="1"/>
        <v>33095</v>
      </c>
      <c r="Q8" s="302">
        <f t="shared" si="1"/>
        <v>33801</v>
      </c>
      <c r="R8" s="302">
        <f t="shared" si="1"/>
        <v>31859</v>
      </c>
      <c r="S8" s="303">
        <f t="shared" si="1"/>
        <v>98755</v>
      </c>
      <c r="T8" s="304">
        <f t="shared" si="1"/>
        <v>131335</v>
      </c>
    </row>
    <row r="9" spans="1:20" x14ac:dyDescent="0.25">
      <c r="A9" s="307">
        <v>1</v>
      </c>
      <c r="B9" s="308" t="s">
        <v>22</v>
      </c>
      <c r="C9" s="309" t="s">
        <v>23</v>
      </c>
      <c r="D9" s="310"/>
      <c r="E9" s="311"/>
      <c r="F9" s="311"/>
      <c r="G9" s="311"/>
      <c r="H9" s="311"/>
      <c r="I9" s="311"/>
      <c r="J9" s="311"/>
      <c r="K9" s="307"/>
      <c r="L9" s="312"/>
      <c r="M9" s="313"/>
      <c r="N9" s="314"/>
      <c r="O9" s="315"/>
      <c r="P9" s="332">
        <f>800+78</f>
        <v>878</v>
      </c>
      <c r="Q9" s="333">
        <f>900+20</f>
        <v>920</v>
      </c>
      <c r="R9" s="333">
        <f>600+60</f>
        <v>660</v>
      </c>
      <c r="S9" s="312">
        <f t="shared" ref="S9:S25" si="2">P9+Q9+R9</f>
        <v>2458</v>
      </c>
      <c r="T9" s="316">
        <f t="shared" ref="T9:T30" si="3">L9+M9+N9+S9</f>
        <v>2458</v>
      </c>
    </row>
    <row r="10" spans="1:20" x14ac:dyDescent="0.25">
      <c r="A10" s="292">
        <v>2</v>
      </c>
      <c r="B10" s="317" t="s">
        <v>4</v>
      </c>
      <c r="C10" s="318" t="s">
        <v>27</v>
      </c>
      <c r="D10" s="319"/>
      <c r="E10" s="320"/>
      <c r="F10" s="320"/>
      <c r="G10" s="320"/>
      <c r="H10" s="320"/>
      <c r="I10" s="320"/>
      <c r="J10" s="320"/>
      <c r="K10" s="292"/>
      <c r="L10" s="321"/>
      <c r="M10" s="322"/>
      <c r="N10" s="314"/>
      <c r="O10" s="315"/>
      <c r="P10" s="324">
        <f>2100+100</f>
        <v>2200</v>
      </c>
      <c r="Q10" s="323">
        <f>2000+50</f>
        <v>2050</v>
      </c>
      <c r="R10" s="323">
        <v>2000</v>
      </c>
      <c r="S10" s="321">
        <f t="shared" si="2"/>
        <v>6250</v>
      </c>
      <c r="T10" s="316">
        <f t="shared" si="3"/>
        <v>6250</v>
      </c>
    </row>
    <row r="11" spans="1:20" x14ac:dyDescent="0.25">
      <c r="A11" s="292">
        <v>3</v>
      </c>
      <c r="B11" s="317" t="s">
        <v>44</v>
      </c>
      <c r="C11" s="318" t="s">
        <v>45</v>
      </c>
      <c r="D11" s="319"/>
      <c r="E11" s="320"/>
      <c r="F11" s="320"/>
      <c r="G11" s="320"/>
      <c r="H11" s="320"/>
      <c r="I11" s="320"/>
      <c r="J11" s="320"/>
      <c r="K11" s="292"/>
      <c r="L11" s="321"/>
      <c r="M11" s="322"/>
      <c r="N11" s="314"/>
      <c r="O11" s="315"/>
      <c r="P11" s="324">
        <v>2000</v>
      </c>
      <c r="Q11" s="323">
        <v>2000</v>
      </c>
      <c r="R11" s="323">
        <v>2000</v>
      </c>
      <c r="S11" s="321">
        <f t="shared" si="2"/>
        <v>6000</v>
      </c>
      <c r="T11" s="316">
        <f>L11+M11+N11+S11</f>
        <v>6000</v>
      </c>
    </row>
    <row r="12" spans="1:20" x14ac:dyDescent="0.25">
      <c r="A12" s="292">
        <v>4</v>
      </c>
      <c r="B12" s="317" t="s">
        <v>51</v>
      </c>
      <c r="C12" s="318" t="s">
        <v>52</v>
      </c>
      <c r="D12" s="319"/>
      <c r="E12" s="320"/>
      <c r="F12" s="320"/>
      <c r="G12" s="320"/>
      <c r="H12" s="320"/>
      <c r="I12" s="320"/>
      <c r="J12" s="320"/>
      <c r="K12" s="292"/>
      <c r="L12" s="321"/>
      <c r="M12" s="322"/>
      <c r="N12" s="314"/>
      <c r="O12" s="315"/>
      <c r="P12" s="324">
        <v>1600</v>
      </c>
      <c r="Q12" s="323">
        <v>1600</v>
      </c>
      <c r="R12" s="323">
        <v>1600</v>
      </c>
      <c r="S12" s="321">
        <f t="shared" si="2"/>
        <v>4800</v>
      </c>
      <c r="T12" s="316">
        <f t="shared" si="3"/>
        <v>4800</v>
      </c>
    </row>
    <row r="13" spans="1:20" x14ac:dyDescent="0.25">
      <c r="A13" s="292">
        <v>5</v>
      </c>
      <c r="B13" s="317" t="s">
        <v>6</v>
      </c>
      <c r="C13" s="318" t="s">
        <v>377</v>
      </c>
      <c r="D13" s="319"/>
      <c r="E13" s="320"/>
      <c r="F13" s="320"/>
      <c r="G13" s="320"/>
      <c r="H13" s="320"/>
      <c r="I13" s="320"/>
      <c r="J13" s="320"/>
      <c r="K13" s="292"/>
      <c r="L13" s="321"/>
      <c r="M13" s="322">
        <f>10000+203</f>
        <v>10203</v>
      </c>
      <c r="N13" s="314"/>
      <c r="O13" s="315"/>
      <c r="P13" s="324"/>
      <c r="Q13" s="323"/>
      <c r="R13" s="323"/>
      <c r="S13" s="321"/>
      <c r="T13" s="316">
        <f t="shared" si="3"/>
        <v>10203</v>
      </c>
    </row>
    <row r="14" spans="1:20" x14ac:dyDescent="0.25">
      <c r="A14" s="292">
        <v>6</v>
      </c>
      <c r="B14" s="317" t="s">
        <v>5</v>
      </c>
      <c r="C14" s="318" t="s">
        <v>378</v>
      </c>
      <c r="D14" s="319"/>
      <c r="E14" s="320"/>
      <c r="F14" s="320"/>
      <c r="G14" s="320"/>
      <c r="H14" s="320"/>
      <c r="I14" s="320"/>
      <c r="J14" s="320"/>
      <c r="K14" s="292"/>
      <c r="L14" s="321"/>
      <c r="M14" s="322"/>
      <c r="N14" s="314"/>
      <c r="O14" s="315"/>
      <c r="P14" s="324">
        <f>4000+200</f>
        <v>4200</v>
      </c>
      <c r="Q14" s="323">
        <f>4000-100</f>
        <v>3900</v>
      </c>
      <c r="R14" s="323">
        <f>4000-100</f>
        <v>3900</v>
      </c>
      <c r="S14" s="321">
        <f t="shared" si="2"/>
        <v>12000</v>
      </c>
      <c r="T14" s="316">
        <f t="shared" si="3"/>
        <v>12000</v>
      </c>
    </row>
    <row r="15" spans="1:20" x14ac:dyDescent="0.25">
      <c r="A15" s="292">
        <v>7</v>
      </c>
      <c r="B15" s="317" t="s">
        <v>56</v>
      </c>
      <c r="C15" s="318" t="s">
        <v>57</v>
      </c>
      <c r="D15" s="319"/>
      <c r="E15" s="320"/>
      <c r="F15" s="320"/>
      <c r="G15" s="320"/>
      <c r="H15" s="320"/>
      <c r="I15" s="320"/>
      <c r="J15" s="320"/>
      <c r="K15" s="292"/>
      <c r="L15" s="321"/>
      <c r="M15" s="322"/>
      <c r="N15" s="314"/>
      <c r="O15" s="315"/>
      <c r="P15" s="324">
        <v>1400</v>
      </c>
      <c r="Q15" s="323">
        <v>1400</v>
      </c>
      <c r="R15" s="323">
        <v>1400</v>
      </c>
      <c r="S15" s="321">
        <f t="shared" si="2"/>
        <v>4200</v>
      </c>
      <c r="T15" s="316">
        <f t="shared" si="3"/>
        <v>4200</v>
      </c>
    </row>
    <row r="16" spans="1:20" x14ac:dyDescent="0.25">
      <c r="A16" s="292">
        <v>8</v>
      </c>
      <c r="B16" s="317" t="s">
        <v>58</v>
      </c>
      <c r="C16" s="318" t="s">
        <v>59</v>
      </c>
      <c r="D16" s="319"/>
      <c r="E16" s="320"/>
      <c r="F16" s="320"/>
      <c r="G16" s="320"/>
      <c r="H16" s="320"/>
      <c r="I16" s="320"/>
      <c r="J16" s="320"/>
      <c r="K16" s="292"/>
      <c r="L16" s="321"/>
      <c r="M16" s="322"/>
      <c r="N16" s="314"/>
      <c r="O16" s="315"/>
      <c r="P16" s="324">
        <v>2200</v>
      </c>
      <c r="Q16" s="323">
        <v>2200</v>
      </c>
      <c r="R16" s="323">
        <v>2200</v>
      </c>
      <c r="S16" s="321">
        <f t="shared" si="2"/>
        <v>6600</v>
      </c>
      <c r="T16" s="316">
        <f t="shared" si="3"/>
        <v>6600</v>
      </c>
    </row>
    <row r="17" spans="1:20" x14ac:dyDescent="0.25">
      <c r="A17" s="292">
        <v>9</v>
      </c>
      <c r="B17" s="317" t="s">
        <v>72</v>
      </c>
      <c r="C17" s="318" t="s">
        <v>73</v>
      </c>
      <c r="D17" s="319"/>
      <c r="E17" s="320"/>
      <c r="F17" s="320"/>
      <c r="G17" s="320"/>
      <c r="H17" s="320"/>
      <c r="I17" s="320"/>
      <c r="J17" s="320"/>
      <c r="K17" s="292"/>
      <c r="L17" s="321"/>
      <c r="M17" s="322"/>
      <c r="N17" s="314"/>
      <c r="O17" s="315"/>
      <c r="P17" s="324">
        <v>2000</v>
      </c>
      <c r="Q17" s="323">
        <v>2000</v>
      </c>
      <c r="R17" s="323">
        <v>2000</v>
      </c>
      <c r="S17" s="321">
        <f t="shared" si="2"/>
        <v>6000</v>
      </c>
      <c r="T17" s="316">
        <f t="shared" si="3"/>
        <v>6000</v>
      </c>
    </row>
    <row r="18" spans="1:20" x14ac:dyDescent="0.25">
      <c r="A18" s="292">
        <v>10</v>
      </c>
      <c r="B18" s="317" t="s">
        <v>87</v>
      </c>
      <c r="C18" s="318" t="s">
        <v>88</v>
      </c>
      <c r="D18" s="319"/>
      <c r="E18" s="320"/>
      <c r="F18" s="320"/>
      <c r="G18" s="320"/>
      <c r="H18" s="320"/>
      <c r="I18" s="320"/>
      <c r="J18" s="320"/>
      <c r="K18" s="292"/>
      <c r="L18" s="321"/>
      <c r="M18" s="322"/>
      <c r="N18" s="314"/>
      <c r="O18" s="315"/>
      <c r="P18" s="324">
        <v>1200</v>
      </c>
      <c r="Q18" s="323">
        <v>1300</v>
      </c>
      <c r="R18" s="323">
        <f>1100+91</f>
        <v>1191</v>
      </c>
      <c r="S18" s="321">
        <f t="shared" si="2"/>
        <v>3691</v>
      </c>
      <c r="T18" s="316">
        <f t="shared" si="3"/>
        <v>3691</v>
      </c>
    </row>
    <row r="19" spans="1:20" x14ac:dyDescent="0.25">
      <c r="A19" s="292">
        <v>11</v>
      </c>
      <c r="B19" s="317" t="s">
        <v>99</v>
      </c>
      <c r="C19" s="318" t="s">
        <v>529</v>
      </c>
      <c r="D19" s="319"/>
      <c r="E19" s="320"/>
      <c r="F19" s="320"/>
      <c r="G19" s="320"/>
      <c r="H19" s="320"/>
      <c r="I19" s="320"/>
      <c r="J19" s="320"/>
      <c r="K19" s="292"/>
      <c r="L19" s="321"/>
      <c r="M19" s="322"/>
      <c r="N19" s="314"/>
      <c r="O19" s="315"/>
      <c r="P19" s="324">
        <f>1100-150</f>
        <v>950</v>
      </c>
      <c r="Q19" s="323">
        <f>1000-150</f>
        <v>850</v>
      </c>
      <c r="R19" s="323">
        <f>950-150</f>
        <v>800</v>
      </c>
      <c r="S19" s="321">
        <f t="shared" si="2"/>
        <v>2600</v>
      </c>
      <c r="T19" s="316">
        <f t="shared" si="3"/>
        <v>2600</v>
      </c>
    </row>
    <row r="20" spans="1:20" x14ac:dyDescent="0.25">
      <c r="A20" s="292">
        <v>12</v>
      </c>
      <c r="B20" s="317" t="s">
        <v>103</v>
      </c>
      <c r="C20" s="318" t="s">
        <v>530</v>
      </c>
      <c r="D20" s="319"/>
      <c r="E20" s="320"/>
      <c r="F20" s="320"/>
      <c r="G20" s="320"/>
      <c r="H20" s="320"/>
      <c r="I20" s="320"/>
      <c r="J20" s="320"/>
      <c r="K20" s="292"/>
      <c r="L20" s="321"/>
      <c r="M20" s="322"/>
      <c r="N20" s="314"/>
      <c r="O20" s="315"/>
      <c r="P20" s="324">
        <v>1600</v>
      </c>
      <c r="Q20" s="323">
        <v>1500</v>
      </c>
      <c r="R20" s="323">
        <v>1400</v>
      </c>
      <c r="S20" s="321">
        <f t="shared" si="2"/>
        <v>4500</v>
      </c>
      <c r="T20" s="316">
        <f t="shared" si="3"/>
        <v>4500</v>
      </c>
    </row>
    <row r="21" spans="1:20" x14ac:dyDescent="0.25">
      <c r="A21" s="292">
        <v>13</v>
      </c>
      <c r="B21" s="317" t="s">
        <v>112</v>
      </c>
      <c r="C21" s="318" t="s">
        <v>420</v>
      </c>
      <c r="D21" s="319"/>
      <c r="E21" s="320"/>
      <c r="F21" s="320"/>
      <c r="G21" s="320"/>
      <c r="H21" s="320"/>
      <c r="I21" s="320"/>
      <c r="J21" s="320"/>
      <c r="K21" s="292"/>
      <c r="L21" s="321"/>
      <c r="M21" s="322"/>
      <c r="N21" s="314"/>
      <c r="O21" s="315"/>
      <c r="P21" s="324">
        <v>2200</v>
      </c>
      <c r="Q21" s="323">
        <v>2300</v>
      </c>
      <c r="R21" s="323">
        <v>2000</v>
      </c>
      <c r="S21" s="321">
        <f t="shared" si="2"/>
        <v>6500</v>
      </c>
      <c r="T21" s="316">
        <f t="shared" si="3"/>
        <v>6500</v>
      </c>
    </row>
    <row r="22" spans="1:20" x14ac:dyDescent="0.25">
      <c r="A22" s="292">
        <v>14</v>
      </c>
      <c r="B22" s="317" t="s">
        <v>114</v>
      </c>
      <c r="C22" s="318" t="s">
        <v>423</v>
      </c>
      <c r="D22" s="319"/>
      <c r="E22" s="320"/>
      <c r="F22" s="320"/>
      <c r="G22" s="320"/>
      <c r="H22" s="320"/>
      <c r="I22" s="320"/>
      <c r="J22" s="320"/>
      <c r="K22" s="292"/>
      <c r="L22" s="321"/>
      <c r="M22" s="322"/>
      <c r="N22" s="314"/>
      <c r="O22" s="315"/>
      <c r="P22" s="324">
        <f>2000-300</f>
        <v>1700</v>
      </c>
      <c r="Q22" s="323">
        <f>2000-350</f>
        <v>1650</v>
      </c>
      <c r="R22" s="323">
        <f>2000-350</f>
        <v>1650</v>
      </c>
      <c r="S22" s="321">
        <f t="shared" si="2"/>
        <v>5000</v>
      </c>
      <c r="T22" s="316">
        <f t="shared" si="3"/>
        <v>5000</v>
      </c>
    </row>
    <row r="23" spans="1:20" x14ac:dyDescent="0.25">
      <c r="A23" s="292">
        <v>15</v>
      </c>
      <c r="B23" s="317" t="s">
        <v>115</v>
      </c>
      <c r="C23" s="318" t="s">
        <v>116</v>
      </c>
      <c r="D23" s="319">
        <f>1200-1159</f>
        <v>41</v>
      </c>
      <c r="E23" s="320">
        <f>170-154</f>
        <v>16</v>
      </c>
      <c r="F23" s="320">
        <f>10-10</f>
        <v>0</v>
      </c>
      <c r="G23" s="320"/>
      <c r="H23" s="320">
        <f>120-106</f>
        <v>14</v>
      </c>
      <c r="I23" s="320"/>
      <c r="J23" s="320">
        <f>D23+E23+F23+G23+H23+I23</f>
        <v>71</v>
      </c>
      <c r="K23" s="292"/>
      <c r="L23" s="321">
        <f t="shared" ref="L23" si="4">J23+K23</f>
        <v>71</v>
      </c>
      <c r="M23" s="322"/>
      <c r="N23" s="314"/>
      <c r="O23" s="315"/>
      <c r="P23" s="324"/>
      <c r="Q23" s="323"/>
      <c r="R23" s="323"/>
      <c r="S23" s="321"/>
      <c r="T23" s="316">
        <f t="shared" si="3"/>
        <v>71</v>
      </c>
    </row>
    <row r="24" spans="1:20" x14ac:dyDescent="0.25">
      <c r="A24" s="292">
        <v>16</v>
      </c>
      <c r="B24" s="317" t="s">
        <v>118</v>
      </c>
      <c r="C24" s="318" t="s">
        <v>427</v>
      </c>
      <c r="D24" s="319"/>
      <c r="E24" s="320"/>
      <c r="F24" s="320"/>
      <c r="G24" s="320"/>
      <c r="H24" s="320"/>
      <c r="I24" s="320"/>
      <c r="J24" s="320"/>
      <c r="K24" s="292"/>
      <c r="L24" s="321"/>
      <c r="M24" s="322"/>
      <c r="N24" s="314"/>
      <c r="O24" s="315"/>
      <c r="P24" s="324">
        <f>500-92</f>
        <v>408</v>
      </c>
      <c r="Q24" s="323">
        <f>600-203</f>
        <v>397</v>
      </c>
      <c r="R24" s="323">
        <f>650-288</f>
        <v>362</v>
      </c>
      <c r="S24" s="321">
        <f t="shared" si="2"/>
        <v>1167</v>
      </c>
      <c r="T24" s="316">
        <f t="shared" si="3"/>
        <v>1167</v>
      </c>
    </row>
    <row r="25" spans="1:20" x14ac:dyDescent="0.25">
      <c r="A25" s="292">
        <v>17</v>
      </c>
      <c r="B25" s="317" t="s">
        <v>139</v>
      </c>
      <c r="C25" s="318" t="s">
        <v>140</v>
      </c>
      <c r="D25" s="319"/>
      <c r="E25" s="320"/>
      <c r="F25" s="320"/>
      <c r="G25" s="320"/>
      <c r="H25" s="320"/>
      <c r="I25" s="320"/>
      <c r="J25" s="320"/>
      <c r="K25" s="292"/>
      <c r="L25" s="321"/>
      <c r="M25" s="322"/>
      <c r="N25" s="314"/>
      <c r="O25" s="315"/>
      <c r="P25" s="324">
        <f>1000-300</f>
        <v>700</v>
      </c>
      <c r="Q25" s="323">
        <f>1000-300+40</f>
        <v>740</v>
      </c>
      <c r="R25" s="323">
        <f>1000-300</f>
        <v>700</v>
      </c>
      <c r="S25" s="321">
        <f t="shared" si="2"/>
        <v>2140</v>
      </c>
      <c r="T25" s="316">
        <f t="shared" si="3"/>
        <v>2140</v>
      </c>
    </row>
    <row r="26" spans="1:20" x14ac:dyDescent="0.25">
      <c r="A26" s="292">
        <v>18</v>
      </c>
      <c r="B26" s="317" t="s">
        <v>15</v>
      </c>
      <c r="C26" s="318" t="s">
        <v>448</v>
      </c>
      <c r="D26" s="319">
        <f>380+31</f>
        <v>411</v>
      </c>
      <c r="E26" s="320">
        <f>1640+77</f>
        <v>1717</v>
      </c>
      <c r="F26" s="320">
        <f>520+7</f>
        <v>527</v>
      </c>
      <c r="G26" s="320">
        <v>688</v>
      </c>
      <c r="H26" s="320"/>
      <c r="I26" s="320">
        <v>880</v>
      </c>
      <c r="J26" s="320">
        <f t="shared" ref="J26:J28" si="5">D26+E26+F26+G26+H26+I26</f>
        <v>4223</v>
      </c>
      <c r="K26" s="292">
        <f>1030-253</f>
        <v>777</v>
      </c>
      <c r="L26" s="321">
        <f>J26+K26</f>
        <v>5000</v>
      </c>
      <c r="M26" s="322"/>
      <c r="N26" s="314"/>
      <c r="O26" s="315"/>
      <c r="P26" s="324"/>
      <c r="Q26" s="323"/>
      <c r="R26" s="323"/>
      <c r="S26" s="321"/>
      <c r="T26" s="316">
        <f t="shared" si="3"/>
        <v>5000</v>
      </c>
    </row>
    <row r="27" spans="1:20" x14ac:dyDescent="0.25">
      <c r="A27" s="292">
        <v>19</v>
      </c>
      <c r="B27" s="317" t="s">
        <v>342</v>
      </c>
      <c r="C27" s="318" t="s">
        <v>343</v>
      </c>
      <c r="D27" s="319">
        <f>2900+800</f>
        <v>3700</v>
      </c>
      <c r="E27" s="320">
        <f>2300+200</f>
        <v>2500</v>
      </c>
      <c r="F27" s="320">
        <v>350</v>
      </c>
      <c r="G27" s="320">
        <v>50</v>
      </c>
      <c r="H27" s="320">
        <f>700+70</f>
        <v>770</v>
      </c>
      <c r="I27" s="320"/>
      <c r="J27" s="320">
        <f t="shared" si="5"/>
        <v>7370</v>
      </c>
      <c r="K27" s="292"/>
      <c r="L27" s="321">
        <f t="shared" ref="L27:L28" si="6">J27+K27</f>
        <v>7370</v>
      </c>
      <c r="M27" s="322">
        <f>3000-203</f>
        <v>2797</v>
      </c>
      <c r="N27" s="314"/>
      <c r="O27" s="315"/>
      <c r="P27" s="324"/>
      <c r="Q27" s="323"/>
      <c r="R27" s="323"/>
      <c r="S27" s="321"/>
      <c r="T27" s="316">
        <f t="shared" si="3"/>
        <v>10167</v>
      </c>
    </row>
    <row r="28" spans="1:20" x14ac:dyDescent="0.25">
      <c r="A28" s="292">
        <v>20</v>
      </c>
      <c r="B28" s="317" t="s">
        <v>14</v>
      </c>
      <c r="C28" s="318" t="s">
        <v>13</v>
      </c>
      <c r="D28" s="319"/>
      <c r="E28" s="320">
        <f>330+77</f>
        <v>407</v>
      </c>
      <c r="F28" s="320">
        <f>140+16</f>
        <v>156</v>
      </c>
      <c r="G28" s="320">
        <f>730+154</f>
        <v>884</v>
      </c>
      <c r="H28" s="320"/>
      <c r="I28" s="320"/>
      <c r="J28" s="320">
        <f t="shared" si="5"/>
        <v>1447</v>
      </c>
      <c r="K28" s="292"/>
      <c r="L28" s="321">
        <f t="shared" si="6"/>
        <v>1447</v>
      </c>
      <c r="M28" s="322"/>
      <c r="N28" s="314"/>
      <c r="O28" s="315"/>
      <c r="P28" s="324"/>
      <c r="Q28" s="323"/>
      <c r="R28" s="323"/>
      <c r="S28" s="321"/>
      <c r="T28" s="316">
        <f t="shared" si="3"/>
        <v>1447</v>
      </c>
    </row>
    <row r="29" spans="1:20" x14ac:dyDescent="0.25">
      <c r="A29" s="292">
        <v>21</v>
      </c>
      <c r="B29" s="317" t="s">
        <v>151</v>
      </c>
      <c r="C29" s="318" t="s">
        <v>152</v>
      </c>
      <c r="D29" s="319"/>
      <c r="E29" s="320"/>
      <c r="F29" s="320"/>
      <c r="G29" s="320"/>
      <c r="H29" s="320"/>
      <c r="I29" s="320"/>
      <c r="J29" s="320"/>
      <c r="K29" s="292"/>
      <c r="L29" s="321"/>
      <c r="M29" s="322"/>
      <c r="N29" s="314"/>
      <c r="O29" s="315"/>
      <c r="P29" s="324">
        <f>6000-400</f>
        <v>5600</v>
      </c>
      <c r="Q29" s="323">
        <f>5500-170</f>
        <v>5330</v>
      </c>
      <c r="R29" s="323">
        <f>5500-450</f>
        <v>5050</v>
      </c>
      <c r="S29" s="321">
        <f t="shared" ref="S29:S30" si="7">P29+Q29+R29</f>
        <v>15980</v>
      </c>
      <c r="T29" s="316">
        <f t="shared" si="3"/>
        <v>15980</v>
      </c>
    </row>
    <row r="30" spans="1:20" x14ac:dyDescent="0.25">
      <c r="A30" s="292">
        <v>22</v>
      </c>
      <c r="B30" s="317" t="s">
        <v>344</v>
      </c>
      <c r="C30" s="318" t="s">
        <v>345</v>
      </c>
      <c r="D30" s="319"/>
      <c r="E30" s="320"/>
      <c r="F30" s="320"/>
      <c r="G30" s="320"/>
      <c r="H30" s="320"/>
      <c r="I30" s="320"/>
      <c r="J30" s="320"/>
      <c r="K30" s="292"/>
      <c r="L30" s="321"/>
      <c r="M30" s="322"/>
      <c r="N30" s="314"/>
      <c r="O30" s="315"/>
      <c r="P30" s="324">
        <f>3000-741</f>
        <v>2259</v>
      </c>
      <c r="Q30" s="323">
        <f>4500-836</f>
        <v>3664</v>
      </c>
      <c r="R30" s="323">
        <f>2700+246</f>
        <v>2946</v>
      </c>
      <c r="S30" s="321">
        <f t="shared" si="7"/>
        <v>8869</v>
      </c>
      <c r="T30" s="316">
        <f t="shared" si="3"/>
        <v>8869</v>
      </c>
    </row>
    <row r="31" spans="1:20" ht="12" thickBot="1" x14ac:dyDescent="0.3">
      <c r="A31" s="325">
        <v>23</v>
      </c>
      <c r="B31" s="326" t="s">
        <v>348</v>
      </c>
      <c r="C31" s="327" t="s">
        <v>349</v>
      </c>
      <c r="D31" s="319"/>
      <c r="E31" s="320"/>
      <c r="F31" s="320"/>
      <c r="G31" s="320"/>
      <c r="H31" s="320"/>
      <c r="I31" s="320"/>
      <c r="J31" s="320"/>
      <c r="K31" s="292"/>
      <c r="L31" s="321"/>
      <c r="M31" s="328"/>
      <c r="N31" s="329">
        <f>6245-653</f>
        <v>5592</v>
      </c>
      <c r="O31" s="330">
        <v>100</v>
      </c>
      <c r="P31" s="324"/>
      <c r="Q31" s="323"/>
      <c r="R31" s="323"/>
      <c r="S31" s="321"/>
      <c r="T31" s="331">
        <f>L31+M31+N31+S31+O31</f>
        <v>5692</v>
      </c>
    </row>
  </sheetData>
  <mergeCells count="16">
    <mergeCell ref="S4:S5"/>
    <mergeCell ref="A1:T1"/>
    <mergeCell ref="A3:A5"/>
    <mergeCell ref="B3:B5"/>
    <mergeCell ref="C3:C5"/>
    <mergeCell ref="D3:L3"/>
    <mergeCell ref="M3:M5"/>
    <mergeCell ref="N3:O4"/>
    <mergeCell ref="P3:S3"/>
    <mergeCell ref="T3:T5"/>
    <mergeCell ref="D4:J4"/>
    <mergeCell ref="K4:K5"/>
    <mergeCell ref="L4:L5"/>
    <mergeCell ref="P4:P5"/>
    <mergeCell ref="Q4:Q5"/>
    <mergeCell ref="R4:R5"/>
  </mergeCells>
  <pageMargins left="0" right="0" top="0.74803149606299213" bottom="0.74803149606299213" header="0.31496062992125984" footer="0.31496062992125984"/>
  <pageSetup paperSize="9" scale="7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5"/>
  <sheetViews>
    <sheetView zoomScale="80" zoomScaleNormal="80" zoomScaleSheetLayoutView="85" workbookViewId="0">
      <pane xSplit="3" ySplit="5" topLeftCell="D69" activePane="bottomRight" state="frozen"/>
      <selection activeCell="D11" sqref="D11"/>
      <selection pane="topRight" activeCell="D11" sqref="D11"/>
      <selection pane="bottomLeft" activeCell="D11" sqref="D11"/>
      <selection pane="bottomRight" activeCell="F97" sqref="F97"/>
    </sheetView>
  </sheetViews>
  <sheetFormatPr defaultRowHeight="15" x14ac:dyDescent="0.25"/>
  <cols>
    <col min="1" max="1" width="4" style="247" customWidth="1"/>
    <col min="2" max="2" width="8.28515625" style="247" customWidth="1"/>
    <col min="3" max="3" width="35.42578125" style="284" customWidth="1"/>
    <col min="4" max="4" width="8.7109375" style="283" customWidth="1"/>
    <col min="5" max="5" width="7.42578125" style="281" customWidth="1"/>
    <col min="6" max="6" width="7.7109375" style="250" customWidth="1"/>
    <col min="7" max="7" width="8.140625" style="247" customWidth="1"/>
    <col min="8" max="9" width="9" style="247" customWidth="1"/>
    <col min="10" max="10" width="8.7109375" style="247" customWidth="1"/>
    <col min="11" max="11" width="8.85546875" style="247" customWidth="1"/>
    <col min="12" max="12" width="8.7109375" style="247" customWidth="1"/>
    <col min="13" max="13" width="8.5703125" style="247" customWidth="1"/>
    <col min="14" max="14" width="8.140625" style="247" customWidth="1"/>
    <col min="15" max="15" width="8.7109375" style="247" customWidth="1"/>
    <col min="16" max="16" width="8.140625" style="247" customWidth="1"/>
    <col min="17" max="23" width="13.42578125" style="247" customWidth="1"/>
    <col min="24" max="24" width="7.5703125" style="247" customWidth="1"/>
    <col min="25" max="25" width="8.140625" style="247" customWidth="1"/>
    <col min="26" max="16384" width="9.140625" style="247"/>
  </cols>
  <sheetData>
    <row r="1" spans="1:26" ht="27" customHeight="1" x14ac:dyDescent="0.25">
      <c r="A1" s="594" t="s">
        <v>498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</row>
    <row r="2" spans="1:26" ht="2.25" customHeight="1" thickBot="1" x14ac:dyDescent="0.3">
      <c r="C2" s="248"/>
      <c r="D2" s="249"/>
      <c r="E2" s="249"/>
      <c r="P2" s="251"/>
      <c r="Q2" s="251"/>
      <c r="R2" s="251"/>
      <c r="S2" s="251"/>
      <c r="T2" s="251"/>
      <c r="U2" s="251"/>
      <c r="V2" s="251"/>
      <c r="W2" s="595" t="s">
        <v>499</v>
      </c>
      <c r="X2" s="595"/>
      <c r="Y2" s="595"/>
    </row>
    <row r="3" spans="1:26" s="252" customFormat="1" ht="72" customHeight="1" x14ac:dyDescent="0.25">
      <c r="A3" s="596" t="s">
        <v>0</v>
      </c>
      <c r="B3" s="599" t="s">
        <v>203</v>
      </c>
      <c r="C3" s="602" t="s">
        <v>488</v>
      </c>
      <c r="D3" s="604" t="s">
        <v>500</v>
      </c>
      <c r="E3" s="605"/>
      <c r="F3" s="605"/>
      <c r="G3" s="605"/>
      <c r="H3" s="605"/>
      <c r="I3" s="605"/>
      <c r="J3" s="605"/>
      <c r="K3" s="606"/>
      <c r="L3" s="607" t="s">
        <v>501</v>
      </c>
      <c r="M3" s="608"/>
      <c r="N3" s="608"/>
      <c r="O3" s="608"/>
      <c r="P3" s="609"/>
      <c r="Q3" s="607" t="s">
        <v>502</v>
      </c>
      <c r="R3" s="608"/>
      <c r="S3" s="608"/>
      <c r="T3" s="608"/>
      <c r="U3" s="608"/>
      <c r="V3" s="608"/>
      <c r="W3" s="608"/>
      <c r="X3" s="610"/>
      <c r="Y3" s="609"/>
    </row>
    <row r="4" spans="1:26" s="252" customFormat="1" ht="69.75" customHeight="1" x14ac:dyDescent="0.25">
      <c r="A4" s="597"/>
      <c r="B4" s="600"/>
      <c r="C4" s="603"/>
      <c r="D4" s="611" t="s">
        <v>503</v>
      </c>
      <c r="E4" s="613" t="s">
        <v>504</v>
      </c>
      <c r="F4" s="253" t="s">
        <v>505</v>
      </c>
      <c r="G4" s="603" t="s">
        <v>506</v>
      </c>
      <c r="H4" s="603"/>
      <c r="I4" s="603"/>
      <c r="J4" s="613" t="s">
        <v>507</v>
      </c>
      <c r="K4" s="614" t="s">
        <v>1</v>
      </c>
      <c r="L4" s="616" t="s">
        <v>508</v>
      </c>
      <c r="M4" s="589" t="s">
        <v>509</v>
      </c>
      <c r="N4" s="589" t="s">
        <v>510</v>
      </c>
      <c r="O4" s="589" t="s">
        <v>511</v>
      </c>
      <c r="P4" s="591" t="s">
        <v>1</v>
      </c>
      <c r="Q4" s="592" t="s">
        <v>512</v>
      </c>
      <c r="R4" s="583" t="s">
        <v>513</v>
      </c>
      <c r="S4" s="583" t="s">
        <v>514</v>
      </c>
      <c r="T4" s="583" t="s">
        <v>515</v>
      </c>
      <c r="U4" s="583" t="s">
        <v>516</v>
      </c>
      <c r="V4" s="583" t="s">
        <v>517</v>
      </c>
      <c r="W4" s="585" t="s">
        <v>518</v>
      </c>
      <c r="X4" s="587" t="s">
        <v>519</v>
      </c>
      <c r="Y4" s="581" t="s">
        <v>1</v>
      </c>
    </row>
    <row r="5" spans="1:26" s="252" customFormat="1" ht="59.25" customHeight="1" x14ac:dyDescent="0.25">
      <c r="A5" s="598"/>
      <c r="B5" s="601"/>
      <c r="C5" s="603"/>
      <c r="D5" s="612"/>
      <c r="E5" s="601"/>
      <c r="F5" s="254" t="s">
        <v>520</v>
      </c>
      <c r="G5" s="255" t="s">
        <v>521</v>
      </c>
      <c r="H5" s="255" t="s">
        <v>522</v>
      </c>
      <c r="I5" s="255" t="s">
        <v>523</v>
      </c>
      <c r="J5" s="601"/>
      <c r="K5" s="615"/>
      <c r="L5" s="617"/>
      <c r="M5" s="590"/>
      <c r="N5" s="590"/>
      <c r="O5" s="590"/>
      <c r="P5" s="582"/>
      <c r="Q5" s="593"/>
      <c r="R5" s="584"/>
      <c r="S5" s="584"/>
      <c r="T5" s="584"/>
      <c r="U5" s="584"/>
      <c r="V5" s="584"/>
      <c r="W5" s="586"/>
      <c r="X5" s="588"/>
      <c r="Y5" s="582"/>
    </row>
    <row r="6" spans="1:26" s="269" customFormat="1" ht="12.75" customHeight="1" x14ac:dyDescent="0.25">
      <c r="A6" s="256"/>
      <c r="B6" s="257"/>
      <c r="C6" s="258" t="s">
        <v>1</v>
      </c>
      <c r="D6" s="259">
        <f>D7+D8</f>
        <v>166788</v>
      </c>
      <c r="E6" s="260">
        <f t="shared" ref="E6:Y6" si="0">E7+E8</f>
        <v>6057</v>
      </c>
      <c r="F6" s="261">
        <f t="shared" si="0"/>
        <v>12642</v>
      </c>
      <c r="G6" s="262">
        <f t="shared" si="0"/>
        <v>9059</v>
      </c>
      <c r="H6" s="262">
        <f t="shared" si="0"/>
        <v>787</v>
      </c>
      <c r="I6" s="262">
        <f t="shared" si="0"/>
        <v>1253</v>
      </c>
      <c r="J6" s="260">
        <f t="shared" si="0"/>
        <v>23741</v>
      </c>
      <c r="K6" s="263">
        <f t="shared" si="0"/>
        <v>196586</v>
      </c>
      <c r="L6" s="264">
        <f t="shared" si="0"/>
        <v>2600</v>
      </c>
      <c r="M6" s="265">
        <f t="shared" si="0"/>
        <v>12740</v>
      </c>
      <c r="N6" s="265">
        <f t="shared" si="0"/>
        <v>28896</v>
      </c>
      <c r="O6" s="265">
        <f t="shared" si="0"/>
        <v>13023</v>
      </c>
      <c r="P6" s="266">
        <f t="shared" si="0"/>
        <v>57259</v>
      </c>
      <c r="Q6" s="267">
        <f t="shared" si="0"/>
        <v>220</v>
      </c>
      <c r="R6" s="268">
        <f t="shared" si="0"/>
        <v>631</v>
      </c>
      <c r="S6" s="268">
        <f t="shared" si="0"/>
        <v>421</v>
      </c>
      <c r="T6" s="268">
        <f t="shared" si="0"/>
        <v>475</v>
      </c>
      <c r="U6" s="268">
        <f t="shared" si="0"/>
        <v>555</v>
      </c>
      <c r="V6" s="268">
        <f t="shared" si="0"/>
        <v>1263</v>
      </c>
      <c r="W6" s="268">
        <f t="shared" si="0"/>
        <v>1164</v>
      </c>
      <c r="X6" s="268">
        <f t="shared" si="0"/>
        <v>9</v>
      </c>
      <c r="Y6" s="266">
        <f t="shared" si="0"/>
        <v>4738</v>
      </c>
    </row>
    <row r="7" spans="1:26" s="269" customFormat="1" ht="12.75" customHeight="1" x14ac:dyDescent="0.25">
      <c r="A7" s="256"/>
      <c r="B7" s="257"/>
      <c r="C7" s="270" t="s">
        <v>17</v>
      </c>
      <c r="D7" s="259">
        <v>0</v>
      </c>
      <c r="E7" s="260">
        <v>0</v>
      </c>
      <c r="F7" s="261">
        <v>0</v>
      </c>
      <c r="G7" s="262">
        <v>0</v>
      </c>
      <c r="H7" s="262">
        <v>0</v>
      </c>
      <c r="I7" s="262">
        <v>0</v>
      </c>
      <c r="J7" s="260">
        <v>0</v>
      </c>
      <c r="K7" s="263">
        <v>0</v>
      </c>
      <c r="L7" s="264">
        <v>0</v>
      </c>
      <c r="M7" s="265">
        <v>0</v>
      </c>
      <c r="N7" s="265">
        <v>0</v>
      </c>
      <c r="O7" s="265">
        <v>0</v>
      </c>
      <c r="P7" s="266">
        <v>0</v>
      </c>
      <c r="Q7" s="267">
        <v>0</v>
      </c>
      <c r="R7" s="268">
        <v>0</v>
      </c>
      <c r="S7" s="268">
        <v>0</v>
      </c>
      <c r="T7" s="268">
        <v>0</v>
      </c>
      <c r="U7" s="268">
        <v>0</v>
      </c>
      <c r="V7" s="268">
        <v>0</v>
      </c>
      <c r="W7" s="268">
        <v>0</v>
      </c>
      <c r="X7" s="268">
        <v>0</v>
      </c>
      <c r="Y7" s="266">
        <v>0</v>
      </c>
    </row>
    <row r="8" spans="1:26" s="269" customFormat="1" ht="12.75" customHeight="1" x14ac:dyDescent="0.25">
      <c r="A8" s="256"/>
      <c r="B8" s="257"/>
      <c r="C8" s="270" t="s">
        <v>18</v>
      </c>
      <c r="D8" s="259">
        <f>SUM(D9:D102)</f>
        <v>166788</v>
      </c>
      <c r="E8" s="260">
        <f t="shared" ref="E8:Y8" si="1">SUM(E9:E102)</f>
        <v>6057</v>
      </c>
      <c r="F8" s="261">
        <f t="shared" si="1"/>
        <v>12642</v>
      </c>
      <c r="G8" s="262">
        <f t="shared" si="1"/>
        <v>9059</v>
      </c>
      <c r="H8" s="262">
        <f t="shared" si="1"/>
        <v>787</v>
      </c>
      <c r="I8" s="262">
        <f t="shared" si="1"/>
        <v>1253</v>
      </c>
      <c r="J8" s="260">
        <f t="shared" si="1"/>
        <v>23741</v>
      </c>
      <c r="K8" s="263">
        <f t="shared" si="1"/>
        <v>196586</v>
      </c>
      <c r="L8" s="264">
        <f t="shared" si="1"/>
        <v>2600</v>
      </c>
      <c r="M8" s="265">
        <f t="shared" si="1"/>
        <v>12740</v>
      </c>
      <c r="N8" s="265">
        <f t="shared" si="1"/>
        <v>28896</v>
      </c>
      <c r="O8" s="265">
        <f t="shared" si="1"/>
        <v>13023</v>
      </c>
      <c r="P8" s="266">
        <f t="shared" si="1"/>
        <v>57259</v>
      </c>
      <c r="Q8" s="267">
        <f t="shared" si="1"/>
        <v>220</v>
      </c>
      <c r="R8" s="268">
        <f t="shared" si="1"/>
        <v>631</v>
      </c>
      <c r="S8" s="268">
        <f t="shared" si="1"/>
        <v>421</v>
      </c>
      <c r="T8" s="268">
        <f t="shared" si="1"/>
        <v>475</v>
      </c>
      <c r="U8" s="268">
        <f t="shared" si="1"/>
        <v>555</v>
      </c>
      <c r="V8" s="268">
        <f t="shared" si="1"/>
        <v>1263</v>
      </c>
      <c r="W8" s="268">
        <f t="shared" si="1"/>
        <v>1164</v>
      </c>
      <c r="X8" s="268">
        <f t="shared" si="1"/>
        <v>9</v>
      </c>
      <c r="Y8" s="271">
        <f t="shared" si="1"/>
        <v>4738</v>
      </c>
    </row>
    <row r="9" spans="1:26" s="252" customFormat="1" ht="13.5" customHeight="1" x14ac:dyDescent="0.25">
      <c r="A9" s="272">
        <v>1</v>
      </c>
      <c r="B9" s="273" t="s">
        <v>19</v>
      </c>
      <c r="C9" s="274" t="s">
        <v>20</v>
      </c>
      <c r="D9" s="259">
        <v>689</v>
      </c>
      <c r="E9" s="260"/>
      <c r="F9" s="275"/>
      <c r="G9" s="262"/>
      <c r="H9" s="262"/>
      <c r="I9" s="262"/>
      <c r="J9" s="260"/>
      <c r="K9" s="276">
        <f>D9+E9+J9</f>
        <v>689</v>
      </c>
      <c r="L9" s="259"/>
      <c r="M9" s="277"/>
      <c r="N9" s="277"/>
      <c r="O9" s="277"/>
      <c r="P9" s="278"/>
      <c r="Q9" s="256"/>
      <c r="R9" s="260"/>
      <c r="S9" s="260"/>
      <c r="T9" s="260"/>
      <c r="U9" s="260"/>
      <c r="V9" s="260"/>
      <c r="W9" s="260"/>
      <c r="X9" s="279"/>
      <c r="Y9" s="266"/>
      <c r="Z9" s="269"/>
    </row>
    <row r="10" spans="1:26" s="252" customFormat="1" ht="13.5" customHeight="1" x14ac:dyDescent="0.25">
      <c r="A10" s="272">
        <v>2</v>
      </c>
      <c r="B10" s="273" t="s">
        <v>21</v>
      </c>
      <c r="C10" s="274" t="s">
        <v>153</v>
      </c>
      <c r="D10" s="259">
        <v>908</v>
      </c>
      <c r="E10" s="260"/>
      <c r="F10" s="275"/>
      <c r="G10" s="262"/>
      <c r="H10" s="262"/>
      <c r="I10" s="262"/>
      <c r="J10" s="260"/>
      <c r="K10" s="276">
        <f t="shared" ref="K10:K74" si="2">D10+E10+J10</f>
        <v>908</v>
      </c>
      <c r="L10" s="259"/>
      <c r="M10" s="277"/>
      <c r="N10" s="277"/>
      <c r="O10" s="277"/>
      <c r="P10" s="278"/>
      <c r="Q10" s="256"/>
      <c r="R10" s="260"/>
      <c r="S10" s="260"/>
      <c r="T10" s="260"/>
      <c r="U10" s="260"/>
      <c r="V10" s="260"/>
      <c r="W10" s="260"/>
      <c r="X10" s="279"/>
      <c r="Y10" s="266"/>
    </row>
    <row r="11" spans="1:26" s="252" customFormat="1" ht="13.5" customHeight="1" x14ac:dyDescent="0.25">
      <c r="A11" s="272">
        <v>3</v>
      </c>
      <c r="B11" s="273" t="s">
        <v>22</v>
      </c>
      <c r="C11" s="274" t="s">
        <v>23</v>
      </c>
      <c r="D11" s="259">
        <v>2000</v>
      </c>
      <c r="E11" s="260">
        <v>85</v>
      </c>
      <c r="F11" s="275">
        <v>334</v>
      </c>
      <c r="G11" s="262"/>
      <c r="H11" s="262"/>
      <c r="I11" s="262"/>
      <c r="J11" s="260">
        <f t="shared" ref="J11:J49" si="3">F11+G11+H11+I11</f>
        <v>334</v>
      </c>
      <c r="K11" s="276">
        <f t="shared" si="2"/>
        <v>2419</v>
      </c>
      <c r="L11" s="259">
        <f>211-62</f>
        <v>149</v>
      </c>
      <c r="M11" s="277">
        <f>183-91</f>
        <v>92</v>
      </c>
      <c r="N11" s="277">
        <f>536-136</f>
        <v>400</v>
      </c>
      <c r="O11" s="277">
        <v>99</v>
      </c>
      <c r="P11" s="278">
        <f t="shared" ref="P11:P48" si="4">L11+M11+N11+O11</f>
        <v>740</v>
      </c>
      <c r="Q11" s="256"/>
      <c r="R11" s="260"/>
      <c r="S11" s="260"/>
      <c r="T11" s="260"/>
      <c r="U11" s="260"/>
      <c r="V11" s="260"/>
      <c r="W11" s="260"/>
      <c r="X11" s="279"/>
      <c r="Y11" s="266"/>
    </row>
    <row r="12" spans="1:26" s="252" customFormat="1" ht="13.5" customHeight="1" x14ac:dyDescent="0.25">
      <c r="A12" s="272">
        <v>4</v>
      </c>
      <c r="B12" s="273" t="s">
        <v>24</v>
      </c>
      <c r="C12" s="274" t="s">
        <v>154</v>
      </c>
      <c r="D12" s="259">
        <v>1105</v>
      </c>
      <c r="E12" s="260"/>
      <c r="F12" s="275"/>
      <c r="G12" s="262"/>
      <c r="H12" s="262"/>
      <c r="I12" s="262"/>
      <c r="J12" s="260"/>
      <c r="K12" s="276">
        <f t="shared" si="2"/>
        <v>1105</v>
      </c>
      <c r="L12" s="259"/>
      <c r="M12" s="277"/>
      <c r="N12" s="277"/>
      <c r="O12" s="277"/>
      <c r="P12" s="278"/>
      <c r="Q12" s="256"/>
      <c r="R12" s="260"/>
      <c r="S12" s="260"/>
      <c r="T12" s="260"/>
      <c r="U12" s="260"/>
      <c r="V12" s="260"/>
      <c r="W12" s="260"/>
      <c r="X12" s="279"/>
      <c r="Y12" s="266"/>
    </row>
    <row r="13" spans="1:26" s="252" customFormat="1" ht="13.5" customHeight="1" x14ac:dyDescent="0.25">
      <c r="A13" s="272">
        <v>5</v>
      </c>
      <c r="B13" s="273" t="s">
        <v>25</v>
      </c>
      <c r="C13" s="274" t="s">
        <v>26</v>
      </c>
      <c r="D13" s="259">
        <v>822</v>
      </c>
      <c r="E13" s="260">
        <v>25</v>
      </c>
      <c r="F13" s="275">
        <v>81</v>
      </c>
      <c r="G13" s="262"/>
      <c r="H13" s="262"/>
      <c r="I13" s="262"/>
      <c r="J13" s="260">
        <f t="shared" si="3"/>
        <v>81</v>
      </c>
      <c r="K13" s="276">
        <f t="shared" si="2"/>
        <v>928</v>
      </c>
      <c r="L13" s="259"/>
      <c r="M13" s="277"/>
      <c r="N13" s="277"/>
      <c r="O13" s="277"/>
      <c r="P13" s="278"/>
      <c r="Q13" s="256"/>
      <c r="R13" s="260"/>
      <c r="S13" s="260"/>
      <c r="T13" s="260"/>
      <c r="U13" s="260"/>
      <c r="V13" s="260"/>
      <c r="W13" s="260"/>
      <c r="X13" s="279"/>
      <c r="Y13" s="266"/>
    </row>
    <row r="14" spans="1:26" s="252" customFormat="1" ht="13.5" customHeight="1" x14ac:dyDescent="0.25">
      <c r="A14" s="272">
        <v>6</v>
      </c>
      <c r="B14" s="273" t="s">
        <v>4</v>
      </c>
      <c r="C14" s="274" t="s">
        <v>27</v>
      </c>
      <c r="D14" s="259">
        <v>2351</v>
      </c>
      <c r="E14" s="260">
        <v>99</v>
      </c>
      <c r="F14" s="275">
        <v>247</v>
      </c>
      <c r="G14" s="262">
        <v>497</v>
      </c>
      <c r="H14" s="262">
        <v>60</v>
      </c>
      <c r="I14" s="262">
        <v>66</v>
      </c>
      <c r="J14" s="260">
        <f t="shared" si="3"/>
        <v>870</v>
      </c>
      <c r="K14" s="276">
        <f t="shared" si="2"/>
        <v>3320</v>
      </c>
      <c r="L14" s="259">
        <f>35-2</f>
        <v>33</v>
      </c>
      <c r="M14" s="277">
        <v>260</v>
      </c>
      <c r="N14" s="277">
        <f>1285-137</f>
        <v>1148</v>
      </c>
      <c r="O14" s="277">
        <f>800-290</f>
        <v>510</v>
      </c>
      <c r="P14" s="278">
        <f t="shared" si="4"/>
        <v>1951</v>
      </c>
      <c r="Q14" s="256"/>
      <c r="R14" s="260"/>
      <c r="S14" s="260"/>
      <c r="T14" s="260"/>
      <c r="U14" s="260"/>
      <c r="V14" s="260"/>
      <c r="W14" s="260"/>
      <c r="X14" s="279"/>
      <c r="Y14" s="266"/>
    </row>
    <row r="15" spans="1:26" s="252" customFormat="1" ht="13.5" customHeight="1" x14ac:dyDescent="0.25">
      <c r="A15" s="272">
        <v>7</v>
      </c>
      <c r="B15" s="273" t="s">
        <v>28</v>
      </c>
      <c r="C15" s="274" t="s">
        <v>155</v>
      </c>
      <c r="D15" s="259">
        <v>2077</v>
      </c>
      <c r="E15" s="260">
        <v>43</v>
      </c>
      <c r="F15" s="275">
        <v>75</v>
      </c>
      <c r="G15" s="262">
        <v>252</v>
      </c>
      <c r="H15" s="262">
        <v>26</v>
      </c>
      <c r="I15" s="262">
        <v>30</v>
      </c>
      <c r="J15" s="260">
        <f t="shared" si="3"/>
        <v>383</v>
      </c>
      <c r="K15" s="276">
        <f t="shared" si="2"/>
        <v>2503</v>
      </c>
      <c r="L15" s="259"/>
      <c r="M15" s="277"/>
      <c r="N15" s="277"/>
      <c r="O15" s="277"/>
      <c r="P15" s="278"/>
      <c r="Q15" s="256"/>
      <c r="R15" s="260"/>
      <c r="S15" s="260"/>
      <c r="T15" s="260"/>
      <c r="U15" s="260"/>
      <c r="V15" s="260"/>
      <c r="W15" s="260"/>
      <c r="X15" s="279"/>
      <c r="Y15" s="266"/>
    </row>
    <row r="16" spans="1:26" s="252" customFormat="1" ht="13.5" customHeight="1" x14ac:dyDescent="0.25">
      <c r="A16" s="272">
        <v>8</v>
      </c>
      <c r="B16" s="273" t="s">
        <v>29</v>
      </c>
      <c r="C16" s="274" t="s">
        <v>30</v>
      </c>
      <c r="D16" s="259">
        <v>0</v>
      </c>
      <c r="E16" s="260"/>
      <c r="F16" s="275">
        <f>85-10</f>
        <v>75</v>
      </c>
      <c r="G16" s="262"/>
      <c r="H16" s="262"/>
      <c r="I16" s="262"/>
      <c r="J16" s="260">
        <f t="shared" si="3"/>
        <v>75</v>
      </c>
      <c r="K16" s="276">
        <f t="shared" si="2"/>
        <v>75</v>
      </c>
      <c r="L16" s="259"/>
      <c r="M16" s="277"/>
      <c r="N16" s="277"/>
      <c r="O16" s="277"/>
      <c r="P16" s="278"/>
      <c r="Q16" s="256"/>
      <c r="R16" s="260"/>
      <c r="S16" s="260"/>
      <c r="T16" s="260"/>
      <c r="U16" s="260"/>
      <c r="V16" s="260"/>
      <c r="W16" s="260"/>
      <c r="X16" s="279"/>
      <c r="Y16" s="266"/>
    </row>
    <row r="17" spans="1:25" s="252" customFormat="1" ht="13.5" customHeight="1" x14ac:dyDescent="0.25">
      <c r="A17" s="272">
        <v>9</v>
      </c>
      <c r="B17" s="273" t="s">
        <v>31</v>
      </c>
      <c r="C17" s="274" t="s">
        <v>32</v>
      </c>
      <c r="D17" s="259">
        <v>770</v>
      </c>
      <c r="E17" s="260"/>
      <c r="F17" s="275">
        <f>30-9</f>
        <v>21</v>
      </c>
      <c r="G17" s="262"/>
      <c r="H17" s="262"/>
      <c r="I17" s="262"/>
      <c r="J17" s="260">
        <f t="shared" si="3"/>
        <v>21</v>
      </c>
      <c r="K17" s="276">
        <f t="shared" si="2"/>
        <v>791</v>
      </c>
      <c r="L17" s="259"/>
      <c r="M17" s="277"/>
      <c r="N17" s="277"/>
      <c r="O17" s="277"/>
      <c r="P17" s="278"/>
      <c r="Q17" s="256"/>
      <c r="R17" s="260"/>
      <c r="S17" s="260"/>
      <c r="T17" s="260"/>
      <c r="U17" s="260"/>
      <c r="V17" s="260"/>
      <c r="W17" s="260"/>
      <c r="X17" s="279"/>
      <c r="Y17" s="266"/>
    </row>
    <row r="18" spans="1:25" s="252" customFormat="1" ht="13.5" customHeight="1" x14ac:dyDescent="0.25">
      <c r="A18" s="272">
        <v>10</v>
      </c>
      <c r="B18" s="273" t="s">
        <v>33</v>
      </c>
      <c r="C18" s="274" t="s">
        <v>34</v>
      </c>
      <c r="D18" s="259">
        <v>998</v>
      </c>
      <c r="E18" s="260"/>
      <c r="F18" s="275"/>
      <c r="G18" s="262"/>
      <c r="H18" s="262"/>
      <c r="I18" s="262"/>
      <c r="J18" s="260"/>
      <c r="K18" s="276">
        <f t="shared" si="2"/>
        <v>998</v>
      </c>
      <c r="L18" s="259"/>
      <c r="M18" s="277"/>
      <c r="N18" s="277"/>
      <c r="O18" s="277"/>
      <c r="P18" s="278"/>
      <c r="Q18" s="256"/>
      <c r="R18" s="260"/>
      <c r="S18" s="260"/>
      <c r="T18" s="260"/>
      <c r="U18" s="260"/>
      <c r="V18" s="260"/>
      <c r="W18" s="260"/>
      <c r="X18" s="279"/>
      <c r="Y18" s="266"/>
    </row>
    <row r="19" spans="1:25" s="252" customFormat="1" ht="13.5" customHeight="1" x14ac:dyDescent="0.25">
      <c r="A19" s="272">
        <v>11</v>
      </c>
      <c r="B19" s="273" t="s">
        <v>35</v>
      </c>
      <c r="C19" s="274" t="s">
        <v>36</v>
      </c>
      <c r="D19" s="259">
        <v>769</v>
      </c>
      <c r="E19" s="260"/>
      <c r="F19" s="275">
        <v>45</v>
      </c>
      <c r="G19" s="262"/>
      <c r="H19" s="262"/>
      <c r="I19" s="262"/>
      <c r="J19" s="260">
        <f t="shared" si="3"/>
        <v>45</v>
      </c>
      <c r="K19" s="276">
        <f t="shared" si="2"/>
        <v>814</v>
      </c>
      <c r="L19" s="259"/>
      <c r="M19" s="277"/>
      <c r="N19" s="277"/>
      <c r="O19" s="277"/>
      <c r="P19" s="278"/>
      <c r="Q19" s="256"/>
      <c r="R19" s="260"/>
      <c r="S19" s="260"/>
      <c r="T19" s="260"/>
      <c r="U19" s="260"/>
      <c r="V19" s="260"/>
      <c r="W19" s="260"/>
      <c r="X19" s="279"/>
      <c r="Y19" s="266"/>
    </row>
    <row r="20" spans="1:25" s="252" customFormat="1" ht="13.5" customHeight="1" x14ac:dyDescent="0.25">
      <c r="A20" s="272">
        <v>12</v>
      </c>
      <c r="B20" s="273" t="s">
        <v>37</v>
      </c>
      <c r="C20" s="274" t="s">
        <v>38</v>
      </c>
      <c r="D20" s="259">
        <v>1570</v>
      </c>
      <c r="E20" s="260"/>
      <c r="F20" s="275">
        <v>154</v>
      </c>
      <c r="G20" s="262"/>
      <c r="H20" s="262"/>
      <c r="I20" s="262"/>
      <c r="J20" s="260">
        <f t="shared" si="3"/>
        <v>154</v>
      </c>
      <c r="K20" s="276">
        <f t="shared" si="2"/>
        <v>1724</v>
      </c>
      <c r="L20" s="259"/>
      <c r="M20" s="277"/>
      <c r="N20" s="277"/>
      <c r="O20" s="277"/>
      <c r="P20" s="278"/>
      <c r="Q20" s="256"/>
      <c r="R20" s="260"/>
      <c r="S20" s="260"/>
      <c r="T20" s="260"/>
      <c r="U20" s="260"/>
      <c r="V20" s="260"/>
      <c r="W20" s="260"/>
      <c r="X20" s="279"/>
      <c r="Y20" s="266"/>
    </row>
    <row r="21" spans="1:25" s="252" customFormat="1" ht="13.5" customHeight="1" x14ac:dyDescent="0.25">
      <c r="A21" s="272">
        <v>13</v>
      </c>
      <c r="B21" s="273" t="s">
        <v>39</v>
      </c>
      <c r="C21" s="274" t="s">
        <v>40</v>
      </c>
      <c r="D21" s="259">
        <v>995</v>
      </c>
      <c r="E21" s="260"/>
      <c r="F21" s="275">
        <v>83</v>
      </c>
      <c r="G21" s="262">
        <v>104</v>
      </c>
      <c r="H21" s="262"/>
      <c r="I21" s="262"/>
      <c r="J21" s="260">
        <f t="shared" si="3"/>
        <v>187</v>
      </c>
      <c r="K21" s="276">
        <f t="shared" si="2"/>
        <v>1182</v>
      </c>
      <c r="L21" s="259"/>
      <c r="M21" s="277"/>
      <c r="N21" s="277"/>
      <c r="O21" s="277"/>
      <c r="P21" s="278"/>
      <c r="Q21" s="256"/>
      <c r="R21" s="260"/>
      <c r="S21" s="260"/>
      <c r="T21" s="260"/>
      <c r="U21" s="260"/>
      <c r="V21" s="260"/>
      <c r="W21" s="260"/>
      <c r="X21" s="279"/>
      <c r="Y21" s="266"/>
    </row>
    <row r="22" spans="1:25" s="252" customFormat="1" ht="13.5" customHeight="1" x14ac:dyDescent="0.25">
      <c r="A22" s="272">
        <v>14</v>
      </c>
      <c r="B22" s="273" t="s">
        <v>41</v>
      </c>
      <c r="C22" s="274" t="s">
        <v>42</v>
      </c>
      <c r="D22" s="259">
        <v>1351</v>
      </c>
      <c r="E22" s="260"/>
      <c r="F22" s="275">
        <v>0</v>
      </c>
      <c r="G22" s="262"/>
      <c r="H22" s="262"/>
      <c r="I22" s="262"/>
      <c r="J22" s="260">
        <f t="shared" si="3"/>
        <v>0</v>
      </c>
      <c r="K22" s="276">
        <f t="shared" si="2"/>
        <v>1351</v>
      </c>
      <c r="L22" s="259"/>
      <c r="M22" s="277"/>
      <c r="N22" s="277"/>
      <c r="O22" s="277"/>
      <c r="P22" s="278"/>
      <c r="Q22" s="256"/>
      <c r="R22" s="260"/>
      <c r="S22" s="260"/>
      <c r="T22" s="260"/>
      <c r="U22" s="260"/>
      <c r="V22" s="260"/>
      <c r="W22" s="260"/>
      <c r="X22" s="279"/>
      <c r="Y22" s="266"/>
    </row>
    <row r="23" spans="1:25" s="252" customFormat="1" ht="13.5" customHeight="1" x14ac:dyDescent="0.25">
      <c r="A23" s="272">
        <v>15</v>
      </c>
      <c r="B23" s="273" t="s">
        <v>43</v>
      </c>
      <c r="C23" s="274" t="s">
        <v>156</v>
      </c>
      <c r="D23" s="259">
        <v>1846</v>
      </c>
      <c r="E23" s="260">
        <v>58</v>
      </c>
      <c r="F23" s="275">
        <v>208</v>
      </c>
      <c r="G23" s="262"/>
      <c r="H23" s="262"/>
      <c r="I23" s="262"/>
      <c r="J23" s="260">
        <f t="shared" si="3"/>
        <v>208</v>
      </c>
      <c r="K23" s="276">
        <f t="shared" si="2"/>
        <v>2112</v>
      </c>
      <c r="L23" s="259"/>
      <c r="M23" s="277"/>
      <c r="N23" s="277"/>
      <c r="O23" s="277"/>
      <c r="P23" s="278"/>
      <c r="Q23" s="256"/>
      <c r="R23" s="260"/>
      <c r="S23" s="260"/>
      <c r="T23" s="260"/>
      <c r="U23" s="260"/>
      <c r="V23" s="260"/>
      <c r="W23" s="260"/>
      <c r="X23" s="279"/>
      <c r="Y23" s="266"/>
    </row>
    <row r="24" spans="1:25" s="252" customFormat="1" ht="13.5" customHeight="1" x14ac:dyDescent="0.25">
      <c r="A24" s="272">
        <v>16</v>
      </c>
      <c r="B24" s="273" t="s">
        <v>44</v>
      </c>
      <c r="C24" s="274" t="s">
        <v>45</v>
      </c>
      <c r="D24" s="259">
        <v>3246</v>
      </c>
      <c r="E24" s="260">
        <v>66</v>
      </c>
      <c r="F24" s="275">
        <f>180-32</f>
        <v>148</v>
      </c>
      <c r="G24" s="262">
        <v>565</v>
      </c>
      <c r="H24" s="262">
        <v>48</v>
      </c>
      <c r="I24" s="262">
        <v>31</v>
      </c>
      <c r="J24" s="260">
        <f t="shared" si="3"/>
        <v>792</v>
      </c>
      <c r="K24" s="276">
        <f t="shared" si="2"/>
        <v>4104</v>
      </c>
      <c r="L24" s="259">
        <f>13+7</f>
        <v>20</v>
      </c>
      <c r="M24" s="277">
        <f>311-33</f>
        <v>278</v>
      </c>
      <c r="N24" s="277">
        <f>915-370</f>
        <v>545</v>
      </c>
      <c r="O24" s="277">
        <f>171-146</f>
        <v>25</v>
      </c>
      <c r="P24" s="278">
        <f t="shared" si="4"/>
        <v>868</v>
      </c>
      <c r="Q24" s="256"/>
      <c r="R24" s="260"/>
      <c r="S24" s="260"/>
      <c r="T24" s="260"/>
      <c r="U24" s="260"/>
      <c r="V24" s="260"/>
      <c r="W24" s="260"/>
      <c r="X24" s="279"/>
      <c r="Y24" s="266"/>
    </row>
    <row r="25" spans="1:25" s="252" customFormat="1" ht="13.5" customHeight="1" x14ac:dyDescent="0.25">
      <c r="A25" s="272">
        <v>17</v>
      </c>
      <c r="B25" s="273" t="s">
        <v>46</v>
      </c>
      <c r="C25" s="274" t="s">
        <v>47</v>
      </c>
      <c r="D25" s="259">
        <v>544</v>
      </c>
      <c r="E25" s="260"/>
      <c r="F25" s="275"/>
      <c r="G25" s="262"/>
      <c r="H25" s="262"/>
      <c r="I25" s="262"/>
      <c r="J25" s="260"/>
      <c r="K25" s="276">
        <f t="shared" si="2"/>
        <v>544</v>
      </c>
      <c r="L25" s="259"/>
      <c r="M25" s="277"/>
      <c r="N25" s="277"/>
      <c r="O25" s="277"/>
      <c r="P25" s="278"/>
      <c r="Q25" s="256"/>
      <c r="R25" s="260"/>
      <c r="S25" s="260"/>
      <c r="T25" s="260"/>
      <c r="U25" s="260"/>
      <c r="V25" s="260"/>
      <c r="W25" s="260"/>
      <c r="X25" s="279"/>
      <c r="Y25" s="266"/>
    </row>
    <row r="26" spans="1:25" s="252" customFormat="1" ht="13.5" customHeight="1" x14ac:dyDescent="0.25">
      <c r="A26" s="272">
        <v>18</v>
      </c>
      <c r="B26" s="273" t="s">
        <v>48</v>
      </c>
      <c r="C26" s="274" t="s">
        <v>157</v>
      </c>
      <c r="D26" s="259">
        <v>300</v>
      </c>
      <c r="E26" s="260"/>
      <c r="F26" s="275">
        <v>30</v>
      </c>
      <c r="G26" s="262"/>
      <c r="H26" s="262"/>
      <c r="I26" s="262"/>
      <c r="J26" s="260">
        <f t="shared" si="3"/>
        <v>30</v>
      </c>
      <c r="K26" s="276">
        <f t="shared" si="2"/>
        <v>330</v>
      </c>
      <c r="L26" s="259"/>
      <c r="M26" s="277"/>
      <c r="N26" s="277"/>
      <c r="O26" s="277"/>
      <c r="P26" s="278"/>
      <c r="Q26" s="256"/>
      <c r="R26" s="260"/>
      <c r="S26" s="260"/>
      <c r="T26" s="260"/>
      <c r="U26" s="260"/>
      <c r="V26" s="260"/>
      <c r="W26" s="260"/>
      <c r="X26" s="279"/>
      <c r="Y26" s="266"/>
    </row>
    <row r="27" spans="1:25" s="252" customFormat="1" ht="13.5" customHeight="1" x14ac:dyDescent="0.25">
      <c r="A27" s="272">
        <v>19</v>
      </c>
      <c r="B27" s="273" t="s">
        <v>49</v>
      </c>
      <c r="C27" s="274" t="s">
        <v>50</v>
      </c>
      <c r="D27" s="259">
        <v>2443</v>
      </c>
      <c r="E27" s="260">
        <v>53</v>
      </c>
      <c r="F27" s="275">
        <v>169</v>
      </c>
      <c r="G27" s="262">
        <v>181</v>
      </c>
      <c r="H27" s="262">
        <v>16</v>
      </c>
      <c r="I27" s="262">
        <v>11</v>
      </c>
      <c r="J27" s="260">
        <f t="shared" si="3"/>
        <v>377</v>
      </c>
      <c r="K27" s="276">
        <f t="shared" si="2"/>
        <v>2873</v>
      </c>
      <c r="L27" s="259">
        <f>5-4-1</f>
        <v>0</v>
      </c>
      <c r="M27" s="277">
        <f>127-92</f>
        <v>35</v>
      </c>
      <c r="N27" s="277">
        <f>373-317</f>
        <v>56</v>
      </c>
      <c r="O27" s="277">
        <f>69-55</f>
        <v>14</v>
      </c>
      <c r="P27" s="278">
        <f t="shared" si="4"/>
        <v>105</v>
      </c>
      <c r="Q27" s="256"/>
      <c r="R27" s="260"/>
      <c r="S27" s="260"/>
      <c r="T27" s="260"/>
      <c r="U27" s="260"/>
      <c r="V27" s="260"/>
      <c r="W27" s="260"/>
      <c r="X27" s="279"/>
      <c r="Y27" s="266"/>
    </row>
    <row r="28" spans="1:25" s="252" customFormat="1" ht="13.5" customHeight="1" x14ac:dyDescent="0.25">
      <c r="A28" s="272">
        <v>20</v>
      </c>
      <c r="B28" s="273" t="s">
        <v>51</v>
      </c>
      <c r="C28" s="274" t="s">
        <v>52</v>
      </c>
      <c r="D28" s="259">
        <v>2149</v>
      </c>
      <c r="E28" s="260">
        <v>97</v>
      </c>
      <c r="F28" s="275">
        <v>175</v>
      </c>
      <c r="G28" s="262">
        <v>156</v>
      </c>
      <c r="H28" s="262"/>
      <c r="I28" s="262"/>
      <c r="J28" s="260">
        <f t="shared" si="3"/>
        <v>331</v>
      </c>
      <c r="K28" s="276">
        <f t="shared" si="2"/>
        <v>2577</v>
      </c>
      <c r="L28" s="259">
        <f>5-4+3</f>
        <v>4</v>
      </c>
      <c r="M28" s="277">
        <v>112</v>
      </c>
      <c r="N28" s="277">
        <v>330</v>
      </c>
      <c r="O28" s="277">
        <f>61-49</f>
        <v>12</v>
      </c>
      <c r="P28" s="278">
        <f t="shared" si="4"/>
        <v>458</v>
      </c>
      <c r="Q28" s="256"/>
      <c r="R28" s="260"/>
      <c r="S28" s="260"/>
      <c r="T28" s="260"/>
      <c r="U28" s="260"/>
      <c r="V28" s="260"/>
      <c r="W28" s="260"/>
      <c r="X28" s="279"/>
      <c r="Y28" s="266"/>
    </row>
    <row r="29" spans="1:25" s="252" customFormat="1" ht="13.5" customHeight="1" x14ac:dyDescent="0.25">
      <c r="A29" s="272">
        <v>21</v>
      </c>
      <c r="B29" s="273" t="s">
        <v>53</v>
      </c>
      <c r="C29" s="274" t="s">
        <v>374</v>
      </c>
      <c r="D29" s="259">
        <v>529</v>
      </c>
      <c r="E29" s="260"/>
      <c r="F29" s="275">
        <v>52</v>
      </c>
      <c r="G29" s="262"/>
      <c r="H29" s="262"/>
      <c r="I29" s="262"/>
      <c r="J29" s="260">
        <f t="shared" si="3"/>
        <v>52</v>
      </c>
      <c r="K29" s="276">
        <f t="shared" si="2"/>
        <v>581</v>
      </c>
      <c r="L29" s="259"/>
      <c r="M29" s="277"/>
      <c r="N29" s="277"/>
      <c r="O29" s="277"/>
      <c r="P29" s="278"/>
      <c r="Q29" s="256"/>
      <c r="R29" s="260"/>
      <c r="S29" s="260"/>
      <c r="T29" s="260"/>
      <c r="U29" s="260"/>
      <c r="V29" s="260"/>
      <c r="W29" s="260"/>
      <c r="X29" s="279"/>
      <c r="Y29" s="266"/>
    </row>
    <row r="30" spans="1:25" s="252" customFormat="1" ht="13.5" customHeight="1" x14ac:dyDescent="0.25">
      <c r="A30" s="272">
        <v>22</v>
      </c>
      <c r="B30" s="273" t="s">
        <v>6</v>
      </c>
      <c r="C30" s="274" t="s">
        <v>377</v>
      </c>
      <c r="D30" s="259">
        <v>5637</v>
      </c>
      <c r="E30" s="260">
        <v>162</v>
      </c>
      <c r="F30" s="275">
        <f>449-15</f>
        <v>434</v>
      </c>
      <c r="G30" s="262">
        <v>740</v>
      </c>
      <c r="H30" s="262">
        <v>65</v>
      </c>
      <c r="I30" s="262">
        <v>62</v>
      </c>
      <c r="J30" s="260">
        <f t="shared" si="3"/>
        <v>1301</v>
      </c>
      <c r="K30" s="276">
        <f t="shared" si="2"/>
        <v>7100</v>
      </c>
      <c r="L30" s="259">
        <f>465-150</f>
        <v>315</v>
      </c>
      <c r="M30" s="277">
        <f>950-187</f>
        <v>763</v>
      </c>
      <c r="N30" s="277">
        <f>300+25</f>
        <v>325</v>
      </c>
      <c r="O30" s="277">
        <f>371-91</f>
        <v>280</v>
      </c>
      <c r="P30" s="278">
        <f t="shared" si="4"/>
        <v>1683</v>
      </c>
      <c r="Q30" s="256"/>
      <c r="R30" s="260"/>
      <c r="S30" s="260"/>
      <c r="T30" s="260"/>
      <c r="U30" s="260"/>
      <c r="V30" s="260"/>
      <c r="W30" s="260"/>
      <c r="X30" s="279"/>
      <c r="Y30" s="266"/>
    </row>
    <row r="31" spans="1:25" s="252" customFormat="1" ht="13.5" customHeight="1" x14ac:dyDescent="0.25">
      <c r="A31" s="272">
        <v>23</v>
      </c>
      <c r="B31" s="273" t="s">
        <v>5</v>
      </c>
      <c r="C31" s="274" t="s">
        <v>378</v>
      </c>
      <c r="D31" s="259">
        <v>8624</v>
      </c>
      <c r="E31" s="260">
        <v>127</v>
      </c>
      <c r="F31" s="275">
        <v>255</v>
      </c>
      <c r="G31" s="262">
        <v>412</v>
      </c>
      <c r="H31" s="262">
        <v>34</v>
      </c>
      <c r="I31" s="262">
        <v>49</v>
      </c>
      <c r="J31" s="260">
        <f t="shared" si="3"/>
        <v>750</v>
      </c>
      <c r="K31" s="276">
        <f t="shared" si="2"/>
        <v>9501</v>
      </c>
      <c r="L31" s="259"/>
      <c r="M31" s="277"/>
      <c r="N31" s="277"/>
      <c r="O31" s="277"/>
      <c r="P31" s="278"/>
      <c r="Q31" s="256"/>
      <c r="R31" s="260"/>
      <c r="S31" s="260"/>
      <c r="T31" s="260"/>
      <c r="U31" s="260"/>
      <c r="V31" s="260"/>
      <c r="W31" s="260"/>
      <c r="X31" s="279"/>
      <c r="Y31" s="266"/>
    </row>
    <row r="32" spans="1:25" s="252" customFormat="1" ht="13.5" customHeight="1" x14ac:dyDescent="0.25">
      <c r="A32" s="272">
        <v>24</v>
      </c>
      <c r="B32" s="273" t="s">
        <v>54</v>
      </c>
      <c r="C32" s="274" t="s">
        <v>379</v>
      </c>
      <c r="D32" s="259">
        <v>2091</v>
      </c>
      <c r="E32" s="260"/>
      <c r="F32" s="275"/>
      <c r="G32" s="262"/>
      <c r="H32" s="262"/>
      <c r="I32" s="262"/>
      <c r="J32" s="260"/>
      <c r="K32" s="276">
        <f t="shared" si="2"/>
        <v>2091</v>
      </c>
      <c r="L32" s="259"/>
      <c r="M32" s="277"/>
      <c r="N32" s="277"/>
      <c r="O32" s="277"/>
      <c r="P32" s="278"/>
      <c r="Q32" s="256"/>
      <c r="R32" s="260"/>
      <c r="S32" s="260"/>
      <c r="T32" s="260"/>
      <c r="U32" s="260"/>
      <c r="V32" s="260"/>
      <c r="W32" s="260"/>
      <c r="X32" s="279"/>
      <c r="Y32" s="266"/>
    </row>
    <row r="33" spans="1:25" s="252" customFormat="1" ht="13.5" customHeight="1" x14ac:dyDescent="0.25">
      <c r="A33" s="272">
        <v>25</v>
      </c>
      <c r="B33" s="273" t="s">
        <v>55</v>
      </c>
      <c r="C33" s="274" t="s">
        <v>381</v>
      </c>
      <c r="D33" s="259">
        <v>384</v>
      </c>
      <c r="E33" s="260"/>
      <c r="F33" s="275"/>
      <c r="G33" s="262"/>
      <c r="H33" s="262"/>
      <c r="I33" s="262"/>
      <c r="J33" s="260"/>
      <c r="K33" s="276">
        <f t="shared" si="2"/>
        <v>384</v>
      </c>
      <c r="L33" s="259"/>
      <c r="M33" s="277"/>
      <c r="N33" s="277"/>
      <c r="O33" s="277"/>
      <c r="P33" s="278"/>
      <c r="Q33" s="256"/>
      <c r="R33" s="260"/>
      <c r="S33" s="260"/>
      <c r="T33" s="260"/>
      <c r="U33" s="260"/>
      <c r="V33" s="260"/>
      <c r="W33" s="260"/>
      <c r="X33" s="279"/>
      <c r="Y33" s="266"/>
    </row>
    <row r="34" spans="1:25" s="252" customFormat="1" ht="13.5" customHeight="1" x14ac:dyDescent="0.25">
      <c r="A34" s="272">
        <v>26</v>
      </c>
      <c r="B34" s="273" t="s">
        <v>56</v>
      </c>
      <c r="C34" s="274" t="s">
        <v>57</v>
      </c>
      <c r="D34" s="259">
        <v>3725</v>
      </c>
      <c r="E34" s="260">
        <v>63</v>
      </c>
      <c r="F34" s="275">
        <v>272</v>
      </c>
      <c r="G34" s="262">
        <v>529</v>
      </c>
      <c r="H34" s="262">
        <v>47</v>
      </c>
      <c r="I34" s="262">
        <v>54</v>
      </c>
      <c r="J34" s="260">
        <f t="shared" si="3"/>
        <v>902</v>
      </c>
      <c r="K34" s="276">
        <f t="shared" si="2"/>
        <v>4690</v>
      </c>
      <c r="L34" s="259">
        <f>6+1</f>
        <v>7</v>
      </c>
      <c r="M34" s="277">
        <f>158-18</f>
        <v>140</v>
      </c>
      <c r="N34" s="277">
        <f>463-425</f>
        <v>38</v>
      </c>
      <c r="O34" s="277">
        <f>85-70</f>
        <v>15</v>
      </c>
      <c r="P34" s="278">
        <f t="shared" si="4"/>
        <v>200</v>
      </c>
      <c r="Q34" s="256"/>
      <c r="R34" s="260"/>
      <c r="S34" s="260"/>
      <c r="T34" s="260"/>
      <c r="U34" s="260"/>
      <c r="V34" s="260"/>
      <c r="W34" s="260"/>
      <c r="X34" s="279"/>
      <c r="Y34" s="266"/>
    </row>
    <row r="35" spans="1:25" s="252" customFormat="1" ht="13.5" customHeight="1" x14ac:dyDescent="0.25">
      <c r="A35" s="272">
        <v>27</v>
      </c>
      <c r="B35" s="273" t="s">
        <v>58</v>
      </c>
      <c r="C35" s="274" t="s">
        <v>59</v>
      </c>
      <c r="D35" s="259">
        <v>5005</v>
      </c>
      <c r="E35" s="260">
        <v>150</v>
      </c>
      <c r="F35" s="275">
        <v>397</v>
      </c>
      <c r="G35" s="262">
        <v>440</v>
      </c>
      <c r="H35" s="262">
        <v>50</v>
      </c>
      <c r="I35" s="262">
        <v>47</v>
      </c>
      <c r="J35" s="260">
        <f t="shared" si="3"/>
        <v>934</v>
      </c>
      <c r="K35" s="276">
        <f t="shared" si="2"/>
        <v>6089</v>
      </c>
      <c r="L35" s="259">
        <f>21+2</f>
        <v>23</v>
      </c>
      <c r="M35" s="277">
        <v>249</v>
      </c>
      <c r="N35" s="277">
        <v>735</v>
      </c>
      <c r="O35" s="277">
        <v>136</v>
      </c>
      <c r="P35" s="278">
        <f t="shared" si="4"/>
        <v>1143</v>
      </c>
      <c r="Q35" s="256"/>
      <c r="R35" s="260"/>
      <c r="S35" s="260"/>
      <c r="T35" s="260"/>
      <c r="U35" s="260"/>
      <c r="V35" s="260"/>
      <c r="W35" s="260"/>
      <c r="X35" s="279"/>
      <c r="Y35" s="266"/>
    </row>
    <row r="36" spans="1:25" s="252" customFormat="1" ht="13.5" customHeight="1" x14ac:dyDescent="0.25">
      <c r="A36" s="272">
        <v>28</v>
      </c>
      <c r="B36" s="273" t="s">
        <v>60</v>
      </c>
      <c r="C36" s="274" t="s">
        <v>61</v>
      </c>
      <c r="D36" s="259">
        <v>860</v>
      </c>
      <c r="E36" s="260">
        <v>0</v>
      </c>
      <c r="F36" s="275">
        <v>64</v>
      </c>
      <c r="G36" s="262"/>
      <c r="H36" s="262"/>
      <c r="I36" s="262"/>
      <c r="J36" s="260">
        <f t="shared" si="3"/>
        <v>64</v>
      </c>
      <c r="K36" s="276">
        <f t="shared" si="2"/>
        <v>924</v>
      </c>
      <c r="L36" s="259"/>
      <c r="M36" s="277"/>
      <c r="N36" s="277"/>
      <c r="O36" s="277"/>
      <c r="P36" s="278"/>
      <c r="Q36" s="256"/>
      <c r="R36" s="260"/>
      <c r="S36" s="260"/>
      <c r="T36" s="260"/>
      <c r="U36" s="260"/>
      <c r="V36" s="260"/>
      <c r="W36" s="260"/>
      <c r="X36" s="279"/>
      <c r="Y36" s="266"/>
    </row>
    <row r="37" spans="1:25" s="252" customFormat="1" ht="13.5" customHeight="1" x14ac:dyDescent="0.25">
      <c r="A37" s="272">
        <v>29</v>
      </c>
      <c r="B37" s="273" t="s">
        <v>62</v>
      </c>
      <c r="C37" s="274" t="s">
        <v>63</v>
      </c>
      <c r="D37" s="259">
        <v>2956</v>
      </c>
      <c r="E37" s="260">
        <v>37</v>
      </c>
      <c r="F37" s="275">
        <f>290-40</f>
        <v>250</v>
      </c>
      <c r="G37" s="262"/>
      <c r="H37" s="262"/>
      <c r="I37" s="262"/>
      <c r="J37" s="260">
        <f t="shared" si="3"/>
        <v>250</v>
      </c>
      <c r="K37" s="276">
        <f t="shared" si="2"/>
        <v>3243</v>
      </c>
      <c r="L37" s="259">
        <f>6-4+5</f>
        <v>7</v>
      </c>
      <c r="M37" s="277">
        <f>150-50</f>
        <v>100</v>
      </c>
      <c r="N37" s="277">
        <f>442-324</f>
        <v>118</v>
      </c>
      <c r="O37" s="277">
        <v>82</v>
      </c>
      <c r="P37" s="278">
        <f t="shared" si="4"/>
        <v>307</v>
      </c>
      <c r="Q37" s="256"/>
      <c r="R37" s="260"/>
      <c r="S37" s="260"/>
      <c r="T37" s="260"/>
      <c r="U37" s="260"/>
      <c r="V37" s="260"/>
      <c r="W37" s="260"/>
      <c r="X37" s="279"/>
      <c r="Y37" s="266"/>
    </row>
    <row r="38" spans="1:25" s="252" customFormat="1" ht="13.5" customHeight="1" x14ac:dyDescent="0.25">
      <c r="A38" s="272">
        <v>30</v>
      </c>
      <c r="B38" s="273" t="s">
        <v>64</v>
      </c>
      <c r="C38" s="274" t="s">
        <v>65</v>
      </c>
      <c r="D38" s="259">
        <v>1105</v>
      </c>
      <c r="E38" s="260"/>
      <c r="F38" s="275">
        <f>155-93</f>
        <v>62</v>
      </c>
      <c r="G38" s="262"/>
      <c r="H38" s="262"/>
      <c r="I38" s="262"/>
      <c r="J38" s="260">
        <f t="shared" si="3"/>
        <v>62</v>
      </c>
      <c r="K38" s="276">
        <f t="shared" si="2"/>
        <v>1167</v>
      </c>
      <c r="L38" s="259"/>
      <c r="M38" s="277"/>
      <c r="N38" s="277"/>
      <c r="O38" s="277"/>
      <c r="P38" s="278"/>
      <c r="Q38" s="256"/>
      <c r="R38" s="260"/>
      <c r="S38" s="260"/>
      <c r="T38" s="260"/>
      <c r="U38" s="260"/>
      <c r="V38" s="260"/>
      <c r="W38" s="260"/>
      <c r="X38" s="279"/>
      <c r="Y38" s="266"/>
    </row>
    <row r="39" spans="1:25" s="252" customFormat="1" ht="13.5" customHeight="1" x14ac:dyDescent="0.25">
      <c r="A39" s="272">
        <v>31</v>
      </c>
      <c r="B39" s="273" t="s">
        <v>66</v>
      </c>
      <c r="C39" s="274" t="s">
        <v>158</v>
      </c>
      <c r="D39" s="259">
        <v>3874</v>
      </c>
      <c r="E39" s="260">
        <v>122</v>
      </c>
      <c r="F39" s="275">
        <f>381-15</f>
        <v>366</v>
      </c>
      <c r="G39" s="262"/>
      <c r="H39" s="262"/>
      <c r="I39" s="262"/>
      <c r="J39" s="260">
        <f t="shared" si="3"/>
        <v>366</v>
      </c>
      <c r="K39" s="276">
        <f t="shared" si="2"/>
        <v>4362</v>
      </c>
      <c r="L39" s="259">
        <f>7-5-2</f>
        <v>0</v>
      </c>
      <c r="M39" s="277">
        <f>246-87</f>
        <v>159</v>
      </c>
      <c r="N39" s="277">
        <v>432</v>
      </c>
      <c r="O39" s="277">
        <f>80+180</f>
        <v>260</v>
      </c>
      <c r="P39" s="278">
        <f t="shared" si="4"/>
        <v>851</v>
      </c>
      <c r="Q39" s="256"/>
      <c r="R39" s="260"/>
      <c r="S39" s="260"/>
      <c r="T39" s="260"/>
      <c r="U39" s="260"/>
      <c r="V39" s="260"/>
      <c r="W39" s="260"/>
      <c r="X39" s="279"/>
      <c r="Y39" s="266"/>
    </row>
    <row r="40" spans="1:25" s="252" customFormat="1" ht="13.5" customHeight="1" x14ac:dyDescent="0.25">
      <c r="A40" s="272">
        <v>32</v>
      </c>
      <c r="B40" s="273" t="s">
        <v>68</v>
      </c>
      <c r="C40" s="274" t="s">
        <v>160</v>
      </c>
      <c r="D40" s="259">
        <v>683</v>
      </c>
      <c r="E40" s="260">
        <v>0</v>
      </c>
      <c r="F40" s="275"/>
      <c r="G40" s="262"/>
      <c r="H40" s="262"/>
      <c r="I40" s="262"/>
      <c r="J40" s="260"/>
      <c r="K40" s="276">
        <f t="shared" si="2"/>
        <v>683</v>
      </c>
      <c r="L40" s="259"/>
      <c r="M40" s="277"/>
      <c r="N40" s="277"/>
      <c r="O40" s="277"/>
      <c r="P40" s="278"/>
      <c r="Q40" s="256"/>
      <c r="R40" s="260"/>
      <c r="S40" s="260"/>
      <c r="T40" s="260"/>
      <c r="U40" s="260"/>
      <c r="V40" s="260"/>
      <c r="W40" s="260"/>
      <c r="X40" s="279"/>
      <c r="Y40" s="266"/>
    </row>
    <row r="41" spans="1:25" s="252" customFormat="1" ht="13.5" customHeight="1" x14ac:dyDescent="0.25">
      <c r="A41" s="272">
        <v>33</v>
      </c>
      <c r="B41" s="273" t="s">
        <v>69</v>
      </c>
      <c r="C41" s="274" t="s">
        <v>70</v>
      </c>
      <c r="D41" s="259">
        <v>1179</v>
      </c>
      <c r="E41" s="260">
        <v>13</v>
      </c>
      <c r="F41" s="275"/>
      <c r="G41" s="262"/>
      <c r="H41" s="262"/>
      <c r="I41" s="262"/>
      <c r="J41" s="260"/>
      <c r="K41" s="276">
        <f t="shared" si="2"/>
        <v>1192</v>
      </c>
      <c r="L41" s="259"/>
      <c r="M41" s="277"/>
      <c r="N41" s="277"/>
      <c r="O41" s="277"/>
      <c r="P41" s="278"/>
      <c r="Q41" s="256"/>
      <c r="R41" s="260"/>
      <c r="S41" s="260"/>
      <c r="T41" s="260"/>
      <c r="U41" s="260"/>
      <c r="V41" s="260"/>
      <c r="W41" s="260"/>
      <c r="X41" s="279"/>
      <c r="Y41" s="266"/>
    </row>
    <row r="42" spans="1:25" s="252" customFormat="1" ht="13.5" customHeight="1" x14ac:dyDescent="0.25">
      <c r="A42" s="272">
        <v>34</v>
      </c>
      <c r="B42" s="273" t="s">
        <v>71</v>
      </c>
      <c r="C42" s="274" t="s">
        <v>385</v>
      </c>
      <c r="D42" s="259">
        <v>780</v>
      </c>
      <c r="E42" s="260">
        <v>0</v>
      </c>
      <c r="F42" s="275">
        <v>79</v>
      </c>
      <c r="G42" s="262"/>
      <c r="H42" s="262"/>
      <c r="I42" s="262"/>
      <c r="J42" s="260">
        <f t="shared" si="3"/>
        <v>79</v>
      </c>
      <c r="K42" s="276">
        <f t="shared" si="2"/>
        <v>859</v>
      </c>
      <c r="L42" s="259">
        <f>1-1</f>
        <v>0</v>
      </c>
      <c r="M42" s="277">
        <f>141-111</f>
        <v>30</v>
      </c>
      <c r="N42" s="277">
        <v>90</v>
      </c>
      <c r="O42" s="277">
        <v>17</v>
      </c>
      <c r="P42" s="278">
        <f t="shared" si="4"/>
        <v>137</v>
      </c>
      <c r="Q42" s="256"/>
      <c r="R42" s="260"/>
      <c r="S42" s="260"/>
      <c r="T42" s="260"/>
      <c r="U42" s="260"/>
      <c r="V42" s="260"/>
      <c r="W42" s="260"/>
      <c r="X42" s="279"/>
      <c r="Y42" s="266"/>
    </row>
    <row r="43" spans="1:25" s="252" customFormat="1" ht="13.5" customHeight="1" x14ac:dyDescent="0.25">
      <c r="A43" s="272">
        <v>35</v>
      </c>
      <c r="B43" s="273" t="s">
        <v>72</v>
      </c>
      <c r="C43" s="274" t="s">
        <v>73</v>
      </c>
      <c r="D43" s="259">
        <v>3739</v>
      </c>
      <c r="E43" s="260">
        <v>102</v>
      </c>
      <c r="F43" s="275">
        <v>267</v>
      </c>
      <c r="G43" s="262">
        <v>768</v>
      </c>
      <c r="H43" s="262">
        <v>90</v>
      </c>
      <c r="I43" s="262">
        <v>50</v>
      </c>
      <c r="J43" s="260">
        <f t="shared" si="3"/>
        <v>1175</v>
      </c>
      <c r="K43" s="276">
        <f t="shared" si="2"/>
        <v>5016</v>
      </c>
      <c r="L43" s="259">
        <f>9-7-2</f>
        <v>0</v>
      </c>
      <c r="M43" s="277">
        <f>193-188</f>
        <v>5</v>
      </c>
      <c r="N43" s="277">
        <f>1071-156</f>
        <v>915</v>
      </c>
      <c r="O43" s="277">
        <v>15</v>
      </c>
      <c r="P43" s="278">
        <f t="shared" si="4"/>
        <v>935</v>
      </c>
      <c r="Q43" s="256"/>
      <c r="R43" s="260"/>
      <c r="S43" s="260"/>
      <c r="T43" s="260"/>
      <c r="U43" s="260"/>
      <c r="V43" s="260"/>
      <c r="W43" s="260"/>
      <c r="X43" s="279"/>
      <c r="Y43" s="266"/>
    </row>
    <row r="44" spans="1:25" s="252" customFormat="1" ht="13.5" customHeight="1" x14ac:dyDescent="0.25">
      <c r="A44" s="272">
        <v>36</v>
      </c>
      <c r="B44" s="273" t="s">
        <v>74</v>
      </c>
      <c r="C44" s="274" t="s">
        <v>161</v>
      </c>
      <c r="D44" s="259">
        <v>967</v>
      </c>
      <c r="E44" s="260"/>
      <c r="F44" s="275">
        <v>95</v>
      </c>
      <c r="G44" s="262"/>
      <c r="H44" s="262"/>
      <c r="I44" s="262"/>
      <c r="J44" s="260">
        <f t="shared" si="3"/>
        <v>95</v>
      </c>
      <c r="K44" s="276">
        <f t="shared" si="2"/>
        <v>1062</v>
      </c>
      <c r="L44" s="259"/>
      <c r="M44" s="277"/>
      <c r="N44" s="277"/>
      <c r="O44" s="277"/>
      <c r="P44" s="278"/>
      <c r="Q44" s="256"/>
      <c r="R44" s="260"/>
      <c r="S44" s="260"/>
      <c r="T44" s="260"/>
      <c r="U44" s="260"/>
      <c r="V44" s="260"/>
      <c r="W44" s="260"/>
      <c r="X44" s="279"/>
      <c r="Y44" s="266"/>
    </row>
    <row r="45" spans="1:25" s="252" customFormat="1" ht="13.5" customHeight="1" x14ac:dyDescent="0.25">
      <c r="A45" s="272">
        <v>37</v>
      </c>
      <c r="B45" s="273" t="s">
        <v>75</v>
      </c>
      <c r="C45" s="274" t="s">
        <v>76</v>
      </c>
      <c r="D45" s="259">
        <v>3270</v>
      </c>
      <c r="E45" s="260">
        <v>42</v>
      </c>
      <c r="F45" s="275">
        <f>321-40</f>
        <v>281</v>
      </c>
      <c r="G45" s="262"/>
      <c r="H45" s="262"/>
      <c r="I45" s="262"/>
      <c r="J45" s="260">
        <f t="shared" si="3"/>
        <v>281</v>
      </c>
      <c r="K45" s="276">
        <f t="shared" si="2"/>
        <v>3593</v>
      </c>
      <c r="L45" s="259">
        <f>8+3</f>
        <v>11</v>
      </c>
      <c r="M45" s="277">
        <f>186+173</f>
        <v>359</v>
      </c>
      <c r="N45" s="277">
        <f>1177-229</f>
        <v>948</v>
      </c>
      <c r="O45" s="277">
        <v>101</v>
      </c>
      <c r="P45" s="278">
        <f t="shared" si="4"/>
        <v>1419</v>
      </c>
      <c r="Q45" s="256"/>
      <c r="R45" s="260"/>
      <c r="S45" s="260"/>
      <c r="T45" s="260"/>
      <c r="U45" s="260"/>
      <c r="V45" s="260"/>
      <c r="W45" s="260"/>
      <c r="X45" s="279"/>
      <c r="Y45" s="266"/>
    </row>
    <row r="46" spans="1:25" s="252" customFormat="1" ht="13.5" customHeight="1" x14ac:dyDescent="0.25">
      <c r="A46" s="272">
        <v>38</v>
      </c>
      <c r="B46" s="273" t="s">
        <v>77</v>
      </c>
      <c r="C46" s="274" t="s">
        <v>78</v>
      </c>
      <c r="D46" s="259">
        <v>737</v>
      </c>
      <c r="E46" s="260">
        <v>0</v>
      </c>
      <c r="F46" s="275">
        <f>37-10</f>
        <v>27</v>
      </c>
      <c r="G46" s="262"/>
      <c r="H46" s="262"/>
      <c r="I46" s="262"/>
      <c r="J46" s="260">
        <f t="shared" si="3"/>
        <v>27</v>
      </c>
      <c r="K46" s="276">
        <f t="shared" si="2"/>
        <v>764</v>
      </c>
      <c r="L46" s="259"/>
      <c r="M46" s="277"/>
      <c r="N46" s="277"/>
      <c r="O46" s="277"/>
      <c r="P46" s="278"/>
      <c r="Q46" s="256"/>
      <c r="R46" s="260"/>
      <c r="S46" s="260"/>
      <c r="T46" s="260"/>
      <c r="U46" s="260"/>
      <c r="V46" s="260"/>
      <c r="W46" s="260"/>
      <c r="X46" s="279"/>
      <c r="Y46" s="266"/>
    </row>
    <row r="47" spans="1:25" s="252" customFormat="1" ht="13.5" customHeight="1" x14ac:dyDescent="0.25">
      <c r="A47" s="272">
        <v>39</v>
      </c>
      <c r="B47" s="273" t="s">
        <v>79</v>
      </c>
      <c r="C47" s="274" t="s">
        <v>162</v>
      </c>
      <c r="D47" s="259">
        <v>1135</v>
      </c>
      <c r="E47" s="260">
        <v>0</v>
      </c>
      <c r="F47" s="275">
        <v>111</v>
      </c>
      <c r="G47" s="262"/>
      <c r="H47" s="262"/>
      <c r="I47" s="262"/>
      <c r="J47" s="260">
        <f t="shared" si="3"/>
        <v>111</v>
      </c>
      <c r="K47" s="276">
        <f t="shared" si="2"/>
        <v>1246</v>
      </c>
      <c r="L47" s="259"/>
      <c r="M47" s="277"/>
      <c r="N47" s="277"/>
      <c r="O47" s="277"/>
      <c r="P47" s="278"/>
      <c r="Q47" s="256"/>
      <c r="R47" s="260"/>
      <c r="S47" s="260"/>
      <c r="T47" s="260"/>
      <c r="U47" s="260"/>
      <c r="V47" s="260"/>
      <c r="W47" s="260"/>
      <c r="X47" s="279"/>
      <c r="Y47" s="266"/>
    </row>
    <row r="48" spans="1:25" s="252" customFormat="1" ht="13.5" customHeight="1" x14ac:dyDescent="0.25">
      <c r="A48" s="272">
        <v>40</v>
      </c>
      <c r="B48" s="273" t="s">
        <v>80</v>
      </c>
      <c r="C48" s="274" t="s">
        <v>81</v>
      </c>
      <c r="D48" s="259">
        <v>1523</v>
      </c>
      <c r="E48" s="260">
        <v>42</v>
      </c>
      <c r="F48" s="275">
        <v>130</v>
      </c>
      <c r="G48" s="262"/>
      <c r="H48" s="262"/>
      <c r="I48" s="262"/>
      <c r="J48" s="260">
        <f t="shared" si="3"/>
        <v>130</v>
      </c>
      <c r="K48" s="276">
        <f t="shared" si="2"/>
        <v>1695</v>
      </c>
      <c r="L48" s="259">
        <f>88-60</f>
        <v>28</v>
      </c>
      <c r="M48" s="277">
        <f>134+58</f>
        <v>192</v>
      </c>
      <c r="N48" s="277">
        <f>397-382</f>
        <v>15</v>
      </c>
      <c r="O48" s="277">
        <f>73-58</f>
        <v>15</v>
      </c>
      <c r="P48" s="278">
        <f t="shared" si="4"/>
        <v>250</v>
      </c>
      <c r="Q48" s="256"/>
      <c r="R48" s="260"/>
      <c r="S48" s="260"/>
      <c r="T48" s="260"/>
      <c r="U48" s="260"/>
      <c r="V48" s="260"/>
      <c r="W48" s="260"/>
      <c r="X48" s="279"/>
      <c r="Y48" s="266"/>
    </row>
    <row r="49" spans="1:25" s="252" customFormat="1" ht="13.5" customHeight="1" x14ac:dyDescent="0.25">
      <c r="A49" s="272">
        <v>41</v>
      </c>
      <c r="B49" s="273" t="s">
        <v>82</v>
      </c>
      <c r="C49" s="274" t="s">
        <v>83</v>
      </c>
      <c r="D49" s="259">
        <v>479</v>
      </c>
      <c r="E49" s="260"/>
      <c r="F49" s="275">
        <v>47</v>
      </c>
      <c r="G49" s="262"/>
      <c r="H49" s="262"/>
      <c r="I49" s="262"/>
      <c r="J49" s="260">
        <f t="shared" si="3"/>
        <v>47</v>
      </c>
      <c r="K49" s="276">
        <f t="shared" si="2"/>
        <v>526</v>
      </c>
      <c r="L49" s="259"/>
      <c r="M49" s="277"/>
      <c r="N49" s="277"/>
      <c r="O49" s="277"/>
      <c r="P49" s="278"/>
      <c r="Q49" s="256"/>
      <c r="R49" s="260"/>
      <c r="S49" s="260"/>
      <c r="T49" s="260"/>
      <c r="U49" s="260"/>
      <c r="V49" s="260"/>
      <c r="W49" s="260"/>
      <c r="X49" s="279"/>
      <c r="Y49" s="266"/>
    </row>
    <row r="50" spans="1:25" s="252" customFormat="1" ht="13.5" customHeight="1" x14ac:dyDescent="0.25">
      <c r="A50" s="272">
        <v>42</v>
      </c>
      <c r="B50" s="273" t="s">
        <v>84</v>
      </c>
      <c r="C50" s="274" t="s">
        <v>85</v>
      </c>
      <c r="D50" s="259">
        <v>917</v>
      </c>
      <c r="E50" s="260">
        <v>0</v>
      </c>
      <c r="F50" s="275"/>
      <c r="G50" s="262"/>
      <c r="H50" s="262"/>
      <c r="I50" s="262"/>
      <c r="J50" s="260"/>
      <c r="K50" s="276">
        <f t="shared" si="2"/>
        <v>917</v>
      </c>
      <c r="L50" s="259"/>
      <c r="M50" s="277"/>
      <c r="N50" s="277"/>
      <c r="O50" s="277"/>
      <c r="P50" s="278"/>
      <c r="Q50" s="256"/>
      <c r="R50" s="260"/>
      <c r="S50" s="260"/>
      <c r="T50" s="260"/>
      <c r="U50" s="260"/>
      <c r="V50" s="260"/>
      <c r="W50" s="260"/>
      <c r="X50" s="279"/>
      <c r="Y50" s="266"/>
    </row>
    <row r="51" spans="1:25" s="252" customFormat="1" ht="13.5" customHeight="1" x14ac:dyDescent="0.25">
      <c r="A51" s="272">
        <v>43</v>
      </c>
      <c r="B51" s="273" t="s">
        <v>86</v>
      </c>
      <c r="C51" s="274" t="s">
        <v>163</v>
      </c>
      <c r="D51" s="259">
        <v>1364</v>
      </c>
      <c r="E51" s="260">
        <v>0</v>
      </c>
      <c r="F51" s="275">
        <f>68-15</f>
        <v>53</v>
      </c>
      <c r="G51" s="262"/>
      <c r="H51" s="262"/>
      <c r="I51" s="262"/>
      <c r="J51" s="260">
        <f t="shared" ref="J51:J94" si="5">F51+G51+H51+I51</f>
        <v>53</v>
      </c>
      <c r="K51" s="276">
        <f t="shared" si="2"/>
        <v>1417</v>
      </c>
      <c r="L51" s="259"/>
      <c r="M51" s="277"/>
      <c r="N51" s="277"/>
      <c r="O51" s="277"/>
      <c r="P51" s="278"/>
      <c r="Q51" s="256"/>
      <c r="R51" s="260"/>
      <c r="S51" s="260"/>
      <c r="T51" s="260"/>
      <c r="U51" s="260"/>
      <c r="V51" s="260"/>
      <c r="W51" s="260"/>
      <c r="X51" s="279"/>
      <c r="Y51" s="266"/>
    </row>
    <row r="52" spans="1:25" s="252" customFormat="1" ht="13.5" customHeight="1" x14ac:dyDescent="0.25">
      <c r="A52" s="272">
        <v>44</v>
      </c>
      <c r="B52" s="273" t="s">
        <v>87</v>
      </c>
      <c r="C52" s="274" t="s">
        <v>88</v>
      </c>
      <c r="D52" s="259">
        <v>4438</v>
      </c>
      <c r="E52" s="260"/>
      <c r="F52" s="275">
        <v>0</v>
      </c>
      <c r="G52" s="262"/>
      <c r="H52" s="262"/>
      <c r="I52" s="262"/>
      <c r="J52" s="260">
        <f t="shared" si="5"/>
        <v>0</v>
      </c>
      <c r="K52" s="276">
        <f t="shared" si="2"/>
        <v>4438</v>
      </c>
      <c r="L52" s="259">
        <f>380-99</f>
        <v>281</v>
      </c>
      <c r="M52" s="277">
        <f>233+70</f>
        <v>303</v>
      </c>
      <c r="N52" s="277">
        <v>688</v>
      </c>
      <c r="O52" s="277">
        <f>127-37</f>
        <v>90</v>
      </c>
      <c r="P52" s="278">
        <f t="shared" ref="P52:P75" si="6">L52+M52+N52+O52</f>
        <v>1362</v>
      </c>
      <c r="Q52" s="256"/>
      <c r="R52" s="260"/>
      <c r="S52" s="260"/>
      <c r="T52" s="260"/>
      <c r="U52" s="260"/>
      <c r="V52" s="260"/>
      <c r="W52" s="260"/>
      <c r="X52" s="279"/>
      <c r="Y52" s="266"/>
    </row>
    <row r="53" spans="1:25" s="252" customFormat="1" ht="13.5" customHeight="1" x14ac:dyDescent="0.25">
      <c r="A53" s="272">
        <v>45</v>
      </c>
      <c r="B53" s="273" t="s">
        <v>89</v>
      </c>
      <c r="C53" s="274" t="s">
        <v>164</v>
      </c>
      <c r="D53" s="259">
        <v>747</v>
      </c>
      <c r="E53" s="260"/>
      <c r="F53" s="275">
        <v>73</v>
      </c>
      <c r="G53" s="262"/>
      <c r="H53" s="262"/>
      <c r="I53" s="262"/>
      <c r="J53" s="260">
        <f t="shared" si="5"/>
        <v>73</v>
      </c>
      <c r="K53" s="276">
        <f t="shared" si="2"/>
        <v>820</v>
      </c>
      <c r="L53" s="259"/>
      <c r="M53" s="277"/>
      <c r="N53" s="277"/>
      <c r="O53" s="277"/>
      <c r="P53" s="278"/>
      <c r="Q53" s="256"/>
      <c r="R53" s="260"/>
      <c r="S53" s="260"/>
      <c r="T53" s="260"/>
      <c r="U53" s="260"/>
      <c r="V53" s="260"/>
      <c r="W53" s="260"/>
      <c r="X53" s="279"/>
      <c r="Y53" s="266"/>
    </row>
    <row r="54" spans="1:25" s="252" customFormat="1" ht="13.5" customHeight="1" x14ac:dyDescent="0.25">
      <c r="A54" s="272">
        <v>46</v>
      </c>
      <c r="B54" s="273" t="s">
        <v>90</v>
      </c>
      <c r="C54" s="274" t="s">
        <v>391</v>
      </c>
      <c r="D54" s="259">
        <v>400</v>
      </c>
      <c r="E54" s="260"/>
      <c r="F54" s="275"/>
      <c r="G54" s="262"/>
      <c r="H54" s="262"/>
      <c r="I54" s="262"/>
      <c r="J54" s="260"/>
      <c r="K54" s="276">
        <f t="shared" si="2"/>
        <v>400</v>
      </c>
      <c r="L54" s="259"/>
      <c r="M54" s="277"/>
      <c r="N54" s="277"/>
      <c r="O54" s="277"/>
      <c r="P54" s="278"/>
      <c r="Q54" s="256"/>
      <c r="R54" s="260"/>
      <c r="S54" s="260"/>
      <c r="T54" s="260"/>
      <c r="U54" s="260"/>
      <c r="V54" s="260"/>
      <c r="W54" s="260"/>
      <c r="X54" s="279"/>
      <c r="Y54" s="266"/>
    </row>
    <row r="55" spans="1:25" s="252" customFormat="1" ht="13.5" customHeight="1" x14ac:dyDescent="0.25">
      <c r="A55" s="272">
        <v>47</v>
      </c>
      <c r="B55" s="273" t="s">
        <v>91</v>
      </c>
      <c r="C55" s="274" t="s">
        <v>524</v>
      </c>
      <c r="D55" s="259">
        <v>940</v>
      </c>
      <c r="E55" s="260"/>
      <c r="F55" s="275"/>
      <c r="G55" s="262"/>
      <c r="H55" s="262"/>
      <c r="I55" s="262"/>
      <c r="J55" s="260"/>
      <c r="K55" s="276">
        <f t="shared" si="2"/>
        <v>940</v>
      </c>
      <c r="L55" s="259"/>
      <c r="M55" s="277"/>
      <c r="N55" s="277"/>
      <c r="O55" s="277"/>
      <c r="P55" s="278"/>
      <c r="Q55" s="256"/>
      <c r="R55" s="260"/>
      <c r="S55" s="260"/>
      <c r="T55" s="260"/>
      <c r="U55" s="260"/>
      <c r="V55" s="260"/>
      <c r="W55" s="260"/>
      <c r="X55" s="279"/>
      <c r="Y55" s="266"/>
    </row>
    <row r="56" spans="1:25" s="252" customFormat="1" ht="13.5" customHeight="1" x14ac:dyDescent="0.25">
      <c r="A56" s="272">
        <v>48</v>
      </c>
      <c r="B56" s="273" t="s">
        <v>92</v>
      </c>
      <c r="C56" s="274" t="s">
        <v>393</v>
      </c>
      <c r="D56" s="259">
        <v>1048</v>
      </c>
      <c r="E56" s="260"/>
      <c r="F56" s="275"/>
      <c r="G56" s="262"/>
      <c r="H56" s="262"/>
      <c r="I56" s="262"/>
      <c r="J56" s="260"/>
      <c r="K56" s="276">
        <f t="shared" si="2"/>
        <v>1048</v>
      </c>
      <c r="L56" s="259"/>
      <c r="M56" s="277"/>
      <c r="N56" s="277"/>
      <c r="O56" s="277"/>
      <c r="P56" s="278"/>
      <c r="Q56" s="256"/>
      <c r="R56" s="260"/>
      <c r="S56" s="260"/>
      <c r="T56" s="260"/>
      <c r="U56" s="260"/>
      <c r="V56" s="260"/>
      <c r="W56" s="260"/>
      <c r="X56" s="279"/>
      <c r="Y56" s="266"/>
    </row>
    <row r="57" spans="1:25" s="252" customFormat="1" ht="13.5" customHeight="1" x14ac:dyDescent="0.25">
      <c r="A57" s="272">
        <v>49</v>
      </c>
      <c r="B57" s="273" t="s">
        <v>93</v>
      </c>
      <c r="C57" s="274" t="s">
        <v>525</v>
      </c>
      <c r="D57" s="259">
        <v>537</v>
      </c>
      <c r="E57" s="260"/>
      <c r="F57" s="275"/>
      <c r="G57" s="262"/>
      <c r="H57" s="262"/>
      <c r="I57" s="262"/>
      <c r="J57" s="260"/>
      <c r="K57" s="276">
        <f t="shared" si="2"/>
        <v>537</v>
      </c>
      <c r="L57" s="259"/>
      <c r="M57" s="277"/>
      <c r="N57" s="277"/>
      <c r="O57" s="277"/>
      <c r="P57" s="278"/>
      <c r="Q57" s="256"/>
      <c r="R57" s="260"/>
      <c r="S57" s="260"/>
      <c r="T57" s="260"/>
      <c r="U57" s="260"/>
      <c r="V57" s="260"/>
      <c r="W57" s="260"/>
      <c r="X57" s="279"/>
      <c r="Y57" s="266"/>
    </row>
    <row r="58" spans="1:25" s="252" customFormat="1" ht="13.5" customHeight="1" x14ac:dyDescent="0.25">
      <c r="A58" s="272">
        <v>50</v>
      </c>
      <c r="B58" s="273" t="s">
        <v>94</v>
      </c>
      <c r="C58" s="274" t="s">
        <v>395</v>
      </c>
      <c r="D58" s="259">
        <v>343</v>
      </c>
      <c r="E58" s="260"/>
      <c r="F58" s="275"/>
      <c r="G58" s="262"/>
      <c r="H58" s="262"/>
      <c r="I58" s="262"/>
      <c r="J58" s="260"/>
      <c r="K58" s="276">
        <f t="shared" si="2"/>
        <v>343</v>
      </c>
      <c r="L58" s="259"/>
      <c r="M58" s="277"/>
      <c r="N58" s="277"/>
      <c r="O58" s="277"/>
      <c r="P58" s="278"/>
      <c r="Q58" s="256"/>
      <c r="R58" s="260"/>
      <c r="S58" s="260"/>
      <c r="T58" s="260"/>
      <c r="U58" s="260"/>
      <c r="V58" s="260"/>
      <c r="W58" s="260"/>
      <c r="X58" s="279"/>
      <c r="Y58" s="266"/>
    </row>
    <row r="59" spans="1:25" s="252" customFormat="1" ht="13.5" customHeight="1" x14ac:dyDescent="0.25">
      <c r="A59" s="272">
        <v>51</v>
      </c>
      <c r="B59" s="273" t="s">
        <v>95</v>
      </c>
      <c r="C59" s="274" t="s">
        <v>526</v>
      </c>
      <c r="D59" s="259">
        <v>3182</v>
      </c>
      <c r="E59" s="260"/>
      <c r="F59" s="275"/>
      <c r="G59" s="262"/>
      <c r="H59" s="262"/>
      <c r="I59" s="262"/>
      <c r="J59" s="260"/>
      <c r="K59" s="276">
        <f t="shared" si="2"/>
        <v>3182</v>
      </c>
      <c r="L59" s="259"/>
      <c r="M59" s="277"/>
      <c r="N59" s="277"/>
      <c r="O59" s="277"/>
      <c r="P59" s="278"/>
      <c r="Q59" s="256"/>
      <c r="R59" s="260"/>
      <c r="S59" s="260"/>
      <c r="T59" s="260"/>
      <c r="U59" s="260"/>
      <c r="V59" s="260"/>
      <c r="W59" s="260"/>
      <c r="X59" s="279"/>
      <c r="Y59" s="266"/>
    </row>
    <row r="60" spans="1:25" s="252" customFormat="1" ht="13.5" customHeight="1" x14ac:dyDescent="0.25">
      <c r="A60" s="272">
        <v>52</v>
      </c>
      <c r="B60" s="273" t="s">
        <v>96</v>
      </c>
      <c r="C60" s="274" t="s">
        <v>527</v>
      </c>
      <c r="D60" s="259">
        <v>2048</v>
      </c>
      <c r="E60" s="260"/>
      <c r="F60" s="275"/>
      <c r="G60" s="262"/>
      <c r="H60" s="262"/>
      <c r="I60" s="262"/>
      <c r="J60" s="260"/>
      <c r="K60" s="276">
        <f t="shared" si="2"/>
        <v>2048</v>
      </c>
      <c r="L60" s="259"/>
      <c r="M60" s="277"/>
      <c r="N60" s="277"/>
      <c r="O60" s="277"/>
      <c r="P60" s="278"/>
      <c r="Q60" s="256"/>
      <c r="R60" s="260"/>
      <c r="S60" s="260"/>
      <c r="T60" s="260"/>
      <c r="U60" s="260"/>
      <c r="V60" s="260"/>
      <c r="W60" s="260"/>
      <c r="X60" s="279"/>
      <c r="Y60" s="266"/>
    </row>
    <row r="61" spans="1:25" s="252" customFormat="1" ht="13.5" customHeight="1" x14ac:dyDescent="0.25">
      <c r="A61" s="272">
        <v>53</v>
      </c>
      <c r="B61" s="273" t="s">
        <v>97</v>
      </c>
      <c r="C61" s="274" t="s">
        <v>495</v>
      </c>
      <c r="D61" s="259">
        <v>2274</v>
      </c>
      <c r="E61" s="260"/>
      <c r="F61" s="275">
        <v>196</v>
      </c>
      <c r="G61" s="262">
        <v>0</v>
      </c>
      <c r="H61" s="262">
        <v>0</v>
      </c>
      <c r="I61" s="262">
        <v>0</v>
      </c>
      <c r="J61" s="260">
        <f t="shared" si="5"/>
        <v>196</v>
      </c>
      <c r="K61" s="276">
        <f t="shared" si="2"/>
        <v>2470</v>
      </c>
      <c r="L61" s="259"/>
      <c r="M61" s="277"/>
      <c r="N61" s="277"/>
      <c r="O61" s="277"/>
      <c r="P61" s="278"/>
      <c r="Q61" s="256"/>
      <c r="R61" s="260"/>
      <c r="S61" s="260"/>
      <c r="T61" s="260"/>
      <c r="U61" s="260"/>
      <c r="V61" s="260"/>
      <c r="W61" s="260"/>
      <c r="X61" s="279"/>
      <c r="Y61" s="266"/>
    </row>
    <row r="62" spans="1:25" s="252" customFormat="1" ht="13.5" customHeight="1" x14ac:dyDescent="0.25">
      <c r="A62" s="272">
        <v>54</v>
      </c>
      <c r="B62" s="273" t="s">
        <v>98</v>
      </c>
      <c r="C62" s="274" t="s">
        <v>528</v>
      </c>
      <c r="D62" s="259">
        <v>1507</v>
      </c>
      <c r="E62" s="260"/>
      <c r="F62" s="275"/>
      <c r="G62" s="262"/>
      <c r="H62" s="262"/>
      <c r="I62" s="262"/>
      <c r="J62" s="260"/>
      <c r="K62" s="276">
        <f t="shared" si="2"/>
        <v>1507</v>
      </c>
      <c r="L62" s="259"/>
      <c r="M62" s="277"/>
      <c r="N62" s="277"/>
      <c r="O62" s="277"/>
      <c r="P62" s="278"/>
      <c r="Q62" s="256"/>
      <c r="R62" s="260"/>
      <c r="S62" s="260"/>
      <c r="T62" s="260"/>
      <c r="U62" s="260"/>
      <c r="V62" s="260"/>
      <c r="W62" s="260"/>
      <c r="X62" s="279"/>
      <c r="Y62" s="266"/>
    </row>
    <row r="63" spans="1:25" s="252" customFormat="1" ht="13.5" customHeight="1" x14ac:dyDescent="0.25">
      <c r="A63" s="272">
        <v>55</v>
      </c>
      <c r="B63" s="273" t="s">
        <v>99</v>
      </c>
      <c r="C63" s="274" t="s">
        <v>529</v>
      </c>
      <c r="D63" s="259">
        <v>3948</v>
      </c>
      <c r="E63" s="260"/>
      <c r="F63" s="275">
        <f>238-40</f>
        <v>198</v>
      </c>
      <c r="G63" s="262">
        <v>0</v>
      </c>
      <c r="H63" s="262">
        <v>0</v>
      </c>
      <c r="I63" s="262">
        <v>0</v>
      </c>
      <c r="J63" s="260">
        <f t="shared" si="5"/>
        <v>198</v>
      </c>
      <c r="K63" s="276">
        <f t="shared" si="2"/>
        <v>4146</v>
      </c>
      <c r="L63" s="259"/>
      <c r="M63" s="277"/>
      <c r="N63" s="277"/>
      <c r="O63" s="277"/>
      <c r="P63" s="278"/>
      <c r="Q63" s="256"/>
      <c r="R63" s="260"/>
      <c r="S63" s="260"/>
      <c r="T63" s="260"/>
      <c r="U63" s="260"/>
      <c r="V63" s="260"/>
      <c r="W63" s="260"/>
      <c r="X63" s="279"/>
      <c r="Y63" s="266"/>
    </row>
    <row r="64" spans="1:25" s="252" customFormat="1" ht="13.5" customHeight="1" x14ac:dyDescent="0.25">
      <c r="A64" s="272">
        <v>56</v>
      </c>
      <c r="B64" s="273" t="s">
        <v>100</v>
      </c>
      <c r="C64" s="274" t="s">
        <v>403</v>
      </c>
      <c r="D64" s="259">
        <v>0</v>
      </c>
      <c r="E64" s="260"/>
      <c r="F64" s="275"/>
      <c r="G64" s="262"/>
      <c r="H64" s="262"/>
      <c r="I64" s="262"/>
      <c r="J64" s="260"/>
      <c r="K64" s="276">
        <f t="shared" si="2"/>
        <v>0</v>
      </c>
      <c r="L64" s="259"/>
      <c r="M64" s="277"/>
      <c r="N64" s="277"/>
      <c r="O64" s="277"/>
      <c r="P64" s="278"/>
      <c r="Q64" s="256"/>
      <c r="R64" s="260"/>
      <c r="S64" s="260"/>
      <c r="T64" s="260"/>
      <c r="U64" s="260"/>
      <c r="V64" s="260"/>
      <c r="W64" s="260"/>
      <c r="X64" s="279"/>
      <c r="Y64" s="266"/>
    </row>
    <row r="65" spans="1:25" s="252" customFormat="1" ht="13.5" customHeight="1" x14ac:dyDescent="0.25">
      <c r="A65" s="272">
        <v>57</v>
      </c>
      <c r="B65" s="273" t="s">
        <v>101</v>
      </c>
      <c r="C65" s="274" t="s">
        <v>404</v>
      </c>
      <c r="D65" s="259">
        <v>2910</v>
      </c>
      <c r="E65" s="260"/>
      <c r="F65" s="275"/>
      <c r="G65" s="262"/>
      <c r="H65" s="262"/>
      <c r="I65" s="262"/>
      <c r="J65" s="260"/>
      <c r="K65" s="276">
        <f t="shared" si="2"/>
        <v>2910</v>
      </c>
      <c r="L65" s="259"/>
      <c r="M65" s="277"/>
      <c r="N65" s="277"/>
      <c r="O65" s="277"/>
      <c r="P65" s="278"/>
      <c r="Q65" s="256"/>
      <c r="R65" s="260"/>
      <c r="S65" s="260"/>
      <c r="T65" s="260"/>
      <c r="U65" s="260"/>
      <c r="V65" s="260"/>
      <c r="W65" s="260"/>
      <c r="X65" s="279"/>
      <c r="Y65" s="266"/>
    </row>
    <row r="66" spans="1:25" s="252" customFormat="1" ht="13.5" customHeight="1" x14ac:dyDescent="0.25">
      <c r="A66" s="272">
        <v>58</v>
      </c>
      <c r="B66" s="273" t="s">
        <v>102</v>
      </c>
      <c r="C66" s="274" t="s">
        <v>405</v>
      </c>
      <c r="D66" s="259">
        <v>1342</v>
      </c>
      <c r="E66" s="260"/>
      <c r="F66" s="275">
        <v>362</v>
      </c>
      <c r="G66" s="262"/>
      <c r="H66" s="262"/>
      <c r="I66" s="262"/>
      <c r="J66" s="260">
        <f t="shared" si="5"/>
        <v>362</v>
      </c>
      <c r="K66" s="276">
        <f t="shared" si="2"/>
        <v>1704</v>
      </c>
      <c r="L66" s="259"/>
      <c r="M66" s="277"/>
      <c r="N66" s="277"/>
      <c r="O66" s="277"/>
      <c r="P66" s="278"/>
      <c r="Q66" s="256"/>
      <c r="R66" s="260"/>
      <c r="S66" s="260"/>
      <c r="T66" s="260"/>
      <c r="U66" s="260"/>
      <c r="V66" s="260"/>
      <c r="W66" s="260"/>
      <c r="X66" s="279"/>
      <c r="Y66" s="266"/>
    </row>
    <row r="67" spans="1:25" s="252" customFormat="1" ht="13.5" customHeight="1" x14ac:dyDescent="0.25">
      <c r="A67" s="272">
        <v>59</v>
      </c>
      <c r="B67" s="273" t="s">
        <v>103</v>
      </c>
      <c r="C67" s="274" t="s">
        <v>530</v>
      </c>
      <c r="D67" s="259">
        <v>3945</v>
      </c>
      <c r="E67" s="260">
        <f>232+20</f>
        <v>252</v>
      </c>
      <c r="F67" s="275">
        <f>374+30</f>
        <v>404</v>
      </c>
      <c r="G67" s="262"/>
      <c r="H67" s="262"/>
      <c r="I67" s="262"/>
      <c r="J67" s="260">
        <f t="shared" si="5"/>
        <v>404</v>
      </c>
      <c r="K67" s="276">
        <f t="shared" si="2"/>
        <v>4601</v>
      </c>
      <c r="L67" s="259"/>
      <c r="M67" s="277"/>
      <c r="N67" s="277"/>
      <c r="O67" s="277"/>
      <c r="P67" s="278"/>
      <c r="Q67" s="256"/>
      <c r="R67" s="260"/>
      <c r="S67" s="260"/>
      <c r="T67" s="260"/>
      <c r="U67" s="260"/>
      <c r="V67" s="260"/>
      <c r="W67" s="260"/>
      <c r="X67" s="279"/>
      <c r="Y67" s="266"/>
    </row>
    <row r="68" spans="1:25" s="252" customFormat="1" ht="13.5" customHeight="1" x14ac:dyDescent="0.25">
      <c r="A68" s="272">
        <v>60</v>
      </c>
      <c r="B68" s="273" t="s">
        <v>104</v>
      </c>
      <c r="C68" s="274" t="s">
        <v>407</v>
      </c>
      <c r="D68" s="259">
        <v>1729</v>
      </c>
      <c r="E68" s="260"/>
      <c r="F68" s="275">
        <f>170-38</f>
        <v>132</v>
      </c>
      <c r="G68" s="262"/>
      <c r="H68" s="262"/>
      <c r="I68" s="262"/>
      <c r="J68" s="260">
        <f t="shared" si="5"/>
        <v>132</v>
      </c>
      <c r="K68" s="276">
        <f t="shared" si="2"/>
        <v>1861</v>
      </c>
      <c r="L68" s="259"/>
      <c r="M68" s="277"/>
      <c r="N68" s="277"/>
      <c r="O68" s="277"/>
      <c r="P68" s="278"/>
      <c r="Q68" s="256"/>
      <c r="R68" s="260"/>
      <c r="S68" s="260"/>
      <c r="T68" s="260"/>
      <c r="U68" s="260"/>
      <c r="V68" s="260"/>
      <c r="W68" s="260"/>
      <c r="X68" s="279"/>
      <c r="Y68" s="266"/>
    </row>
    <row r="69" spans="1:25" s="252" customFormat="1" ht="13.5" customHeight="1" x14ac:dyDescent="0.25">
      <c r="A69" s="272">
        <v>61</v>
      </c>
      <c r="B69" s="280" t="s">
        <v>105</v>
      </c>
      <c r="C69" s="274" t="s">
        <v>408</v>
      </c>
      <c r="D69" s="259">
        <f>1135+300</f>
        <v>1435</v>
      </c>
      <c r="E69" s="260"/>
      <c r="F69" s="275"/>
      <c r="G69" s="262"/>
      <c r="H69" s="262"/>
      <c r="I69" s="262"/>
      <c r="J69" s="260">
        <f t="shared" si="5"/>
        <v>0</v>
      </c>
      <c r="K69" s="276">
        <f t="shared" si="2"/>
        <v>1435</v>
      </c>
      <c r="L69" s="259"/>
      <c r="M69" s="277"/>
      <c r="N69" s="277"/>
      <c r="O69" s="277"/>
      <c r="P69" s="278"/>
      <c r="Q69" s="256"/>
      <c r="R69" s="260"/>
      <c r="S69" s="260"/>
      <c r="T69" s="260"/>
      <c r="U69" s="260"/>
      <c r="V69" s="260"/>
      <c r="W69" s="260"/>
      <c r="X69" s="279"/>
      <c r="Y69" s="266"/>
    </row>
    <row r="70" spans="1:25" s="252" customFormat="1" ht="13.5" customHeight="1" x14ac:dyDescent="0.25">
      <c r="A70" s="272">
        <v>62</v>
      </c>
      <c r="B70" s="273" t="s">
        <v>106</v>
      </c>
      <c r="C70" s="274" t="s">
        <v>107</v>
      </c>
      <c r="D70" s="259">
        <v>2295</v>
      </c>
      <c r="E70" s="260">
        <v>70</v>
      </c>
      <c r="F70" s="275">
        <f>225-15</f>
        <v>210</v>
      </c>
      <c r="G70" s="262"/>
      <c r="H70" s="262"/>
      <c r="I70" s="262"/>
      <c r="J70" s="260">
        <f t="shared" si="5"/>
        <v>210</v>
      </c>
      <c r="K70" s="276">
        <f t="shared" si="2"/>
        <v>2575</v>
      </c>
      <c r="L70" s="259"/>
      <c r="M70" s="277"/>
      <c r="N70" s="277"/>
      <c r="O70" s="277"/>
      <c r="P70" s="278"/>
      <c r="Q70" s="256"/>
      <c r="R70" s="260"/>
      <c r="S70" s="260"/>
      <c r="T70" s="260"/>
      <c r="U70" s="260"/>
      <c r="V70" s="260"/>
      <c r="W70" s="260"/>
      <c r="X70" s="279"/>
      <c r="Y70" s="266"/>
    </row>
    <row r="71" spans="1:25" s="252" customFormat="1" ht="13.5" customHeight="1" x14ac:dyDescent="0.25">
      <c r="A71" s="272">
        <v>63</v>
      </c>
      <c r="B71" s="273" t="s">
        <v>108</v>
      </c>
      <c r="C71" s="274" t="s">
        <v>531</v>
      </c>
      <c r="D71" s="259">
        <v>0</v>
      </c>
      <c r="E71" s="260">
        <v>41</v>
      </c>
      <c r="F71" s="275">
        <v>220</v>
      </c>
      <c r="G71" s="262"/>
      <c r="H71" s="262"/>
      <c r="I71" s="262"/>
      <c r="J71" s="260">
        <f t="shared" si="5"/>
        <v>220</v>
      </c>
      <c r="K71" s="276">
        <f t="shared" si="2"/>
        <v>261</v>
      </c>
      <c r="L71" s="259"/>
      <c r="M71" s="277"/>
      <c r="N71" s="277"/>
      <c r="O71" s="277"/>
      <c r="P71" s="278"/>
      <c r="Q71" s="256"/>
      <c r="R71" s="260"/>
      <c r="S71" s="260"/>
      <c r="T71" s="260"/>
      <c r="U71" s="260"/>
      <c r="V71" s="260"/>
      <c r="W71" s="260"/>
      <c r="X71" s="279"/>
      <c r="Y71" s="266"/>
    </row>
    <row r="72" spans="1:25" s="252" customFormat="1" ht="13.5" customHeight="1" x14ac:dyDescent="0.25">
      <c r="A72" s="272">
        <v>64</v>
      </c>
      <c r="B72" s="273" t="s">
        <v>109</v>
      </c>
      <c r="C72" s="274" t="s">
        <v>417</v>
      </c>
      <c r="D72" s="259">
        <v>1921</v>
      </c>
      <c r="E72" s="260">
        <v>0</v>
      </c>
      <c r="F72" s="275">
        <v>130</v>
      </c>
      <c r="G72" s="262">
        <v>132</v>
      </c>
      <c r="H72" s="262">
        <v>13</v>
      </c>
      <c r="I72" s="262">
        <v>17</v>
      </c>
      <c r="J72" s="260">
        <f t="shared" si="5"/>
        <v>292</v>
      </c>
      <c r="K72" s="276">
        <f t="shared" si="2"/>
        <v>2213</v>
      </c>
      <c r="L72" s="259"/>
      <c r="M72" s="277"/>
      <c r="N72" s="277"/>
      <c r="O72" s="277"/>
      <c r="P72" s="278"/>
      <c r="Q72" s="256"/>
      <c r="R72" s="260"/>
      <c r="S72" s="260"/>
      <c r="T72" s="260"/>
      <c r="U72" s="260"/>
      <c r="V72" s="260"/>
      <c r="W72" s="260"/>
      <c r="X72" s="279"/>
      <c r="Y72" s="266"/>
    </row>
    <row r="73" spans="1:25" s="252" customFormat="1" ht="13.5" customHeight="1" x14ac:dyDescent="0.25">
      <c r="A73" s="272">
        <v>65</v>
      </c>
      <c r="B73" s="273" t="s">
        <v>110</v>
      </c>
      <c r="C73" s="274" t="s">
        <v>418</v>
      </c>
      <c r="D73" s="259">
        <v>1140</v>
      </c>
      <c r="E73" s="260"/>
      <c r="F73" s="275"/>
      <c r="G73" s="262"/>
      <c r="H73" s="262"/>
      <c r="I73" s="262"/>
      <c r="J73" s="260"/>
      <c r="K73" s="276">
        <f t="shared" si="2"/>
        <v>1140</v>
      </c>
      <c r="L73" s="259"/>
      <c r="M73" s="277"/>
      <c r="N73" s="277"/>
      <c r="O73" s="277"/>
      <c r="P73" s="278"/>
      <c r="Q73" s="256"/>
      <c r="R73" s="260"/>
      <c r="S73" s="260"/>
      <c r="T73" s="260"/>
      <c r="U73" s="260"/>
      <c r="V73" s="260"/>
      <c r="W73" s="260"/>
      <c r="X73" s="279"/>
      <c r="Y73" s="266"/>
    </row>
    <row r="74" spans="1:25" s="252" customFormat="1" ht="13.5" customHeight="1" x14ac:dyDescent="0.25">
      <c r="A74" s="272">
        <v>66</v>
      </c>
      <c r="B74" s="273" t="s">
        <v>111</v>
      </c>
      <c r="C74" s="274" t="s">
        <v>532</v>
      </c>
      <c r="D74" s="259">
        <v>338</v>
      </c>
      <c r="E74" s="260"/>
      <c r="F74" s="275"/>
      <c r="G74" s="262"/>
      <c r="H74" s="262"/>
      <c r="I74" s="262"/>
      <c r="J74" s="260"/>
      <c r="K74" s="276">
        <f t="shared" si="2"/>
        <v>338</v>
      </c>
      <c r="L74" s="259"/>
      <c r="M74" s="277"/>
      <c r="N74" s="277"/>
      <c r="O74" s="277"/>
      <c r="P74" s="278"/>
      <c r="Q74" s="256"/>
      <c r="R74" s="260"/>
      <c r="S74" s="260"/>
      <c r="T74" s="260"/>
      <c r="U74" s="260"/>
      <c r="V74" s="260"/>
      <c r="W74" s="260"/>
      <c r="X74" s="279"/>
      <c r="Y74" s="266"/>
    </row>
    <row r="75" spans="1:25" s="252" customFormat="1" ht="13.5" customHeight="1" x14ac:dyDescent="0.25">
      <c r="A75" s="272">
        <v>67</v>
      </c>
      <c r="B75" s="273" t="s">
        <v>112</v>
      </c>
      <c r="C75" s="274" t="s">
        <v>420</v>
      </c>
      <c r="D75" s="259">
        <v>8036</v>
      </c>
      <c r="E75" s="260">
        <v>282</v>
      </c>
      <c r="F75" s="275">
        <f>727+100</f>
        <v>827</v>
      </c>
      <c r="G75" s="262">
        <v>807</v>
      </c>
      <c r="H75" s="262">
        <v>84</v>
      </c>
      <c r="I75" s="262">
        <v>113</v>
      </c>
      <c r="J75" s="260">
        <f t="shared" si="5"/>
        <v>1831</v>
      </c>
      <c r="K75" s="276">
        <f t="shared" ref="K75:K102" si="7">D75+E75+J75</f>
        <v>10149</v>
      </c>
      <c r="L75" s="259">
        <f>854+315</f>
        <v>1169</v>
      </c>
      <c r="M75" s="277">
        <f>5986+740</f>
        <v>6726</v>
      </c>
      <c r="N75" s="277">
        <f>10756+131</f>
        <v>10887</v>
      </c>
      <c r="O75" s="277">
        <f>1487+55</f>
        <v>1542</v>
      </c>
      <c r="P75" s="278">
        <f t="shared" si="6"/>
        <v>20324</v>
      </c>
      <c r="Q75" s="256"/>
      <c r="R75" s="260"/>
      <c r="S75" s="260"/>
      <c r="T75" s="260"/>
      <c r="U75" s="260"/>
      <c r="V75" s="260"/>
      <c r="W75" s="260"/>
      <c r="X75" s="279"/>
      <c r="Y75" s="266"/>
    </row>
    <row r="76" spans="1:25" s="252" customFormat="1" ht="13.5" customHeight="1" x14ac:dyDescent="0.25">
      <c r="A76" s="272">
        <v>68</v>
      </c>
      <c r="B76" s="273" t="s">
        <v>113</v>
      </c>
      <c r="C76" s="274" t="s">
        <v>421</v>
      </c>
      <c r="D76" s="259">
        <v>1680</v>
      </c>
      <c r="E76" s="260"/>
      <c r="F76" s="275"/>
      <c r="G76" s="262"/>
      <c r="H76" s="262"/>
      <c r="I76" s="262"/>
      <c r="J76" s="260"/>
      <c r="K76" s="276">
        <f t="shared" si="7"/>
        <v>1680</v>
      </c>
      <c r="L76" s="259"/>
      <c r="M76" s="277"/>
      <c r="N76" s="277"/>
      <c r="O76" s="277"/>
      <c r="P76" s="278"/>
      <c r="Q76" s="256"/>
      <c r="R76" s="260"/>
      <c r="S76" s="260"/>
      <c r="T76" s="260"/>
      <c r="U76" s="260"/>
      <c r="V76" s="260"/>
      <c r="W76" s="260"/>
      <c r="X76" s="279"/>
      <c r="Y76" s="266"/>
    </row>
    <row r="77" spans="1:25" s="252" customFormat="1" ht="13.5" customHeight="1" x14ac:dyDescent="0.25">
      <c r="A77" s="272">
        <v>69</v>
      </c>
      <c r="B77" s="273" t="s">
        <v>9</v>
      </c>
      <c r="C77" s="274" t="s">
        <v>496</v>
      </c>
      <c r="D77" s="259">
        <v>2163</v>
      </c>
      <c r="E77" s="260">
        <v>0</v>
      </c>
      <c r="F77" s="275">
        <f>679-123</f>
        <v>556</v>
      </c>
      <c r="G77" s="262">
        <f>438+25</f>
        <v>463</v>
      </c>
      <c r="H77" s="262">
        <f>50-45</f>
        <v>5</v>
      </c>
      <c r="I77" s="262">
        <f>72+20</f>
        <v>92</v>
      </c>
      <c r="J77" s="260">
        <f t="shared" si="5"/>
        <v>1116</v>
      </c>
      <c r="K77" s="276">
        <f t="shared" si="7"/>
        <v>3279</v>
      </c>
      <c r="L77" s="259"/>
      <c r="M77" s="277"/>
      <c r="N77" s="277"/>
      <c r="O77" s="277"/>
      <c r="P77" s="278"/>
      <c r="Q77" s="256"/>
      <c r="R77" s="260"/>
      <c r="S77" s="260"/>
      <c r="T77" s="260"/>
      <c r="U77" s="260"/>
      <c r="V77" s="260"/>
      <c r="W77" s="260"/>
      <c r="X77" s="279"/>
      <c r="Y77" s="266"/>
    </row>
    <row r="78" spans="1:25" s="252" customFormat="1" ht="13.5" customHeight="1" x14ac:dyDescent="0.25">
      <c r="A78" s="272">
        <v>70</v>
      </c>
      <c r="B78" s="273" t="s">
        <v>115</v>
      </c>
      <c r="C78" s="274" t="s">
        <v>116</v>
      </c>
      <c r="D78" s="259">
        <v>352</v>
      </c>
      <c r="E78" s="260">
        <v>40</v>
      </c>
      <c r="F78" s="275">
        <v>147</v>
      </c>
      <c r="G78" s="262"/>
      <c r="H78" s="262"/>
      <c r="I78" s="262"/>
      <c r="J78" s="260">
        <f t="shared" si="5"/>
        <v>147</v>
      </c>
      <c r="K78" s="276">
        <f t="shared" si="7"/>
        <v>539</v>
      </c>
      <c r="L78" s="259"/>
      <c r="M78" s="277"/>
      <c r="N78" s="277"/>
      <c r="O78" s="277"/>
      <c r="P78" s="278"/>
      <c r="Q78" s="256"/>
      <c r="R78" s="260"/>
      <c r="S78" s="260"/>
      <c r="T78" s="260"/>
      <c r="U78" s="260"/>
      <c r="V78" s="260"/>
      <c r="W78" s="260"/>
      <c r="X78" s="279"/>
      <c r="Y78" s="266"/>
    </row>
    <row r="79" spans="1:25" s="252" customFormat="1" ht="13.5" customHeight="1" x14ac:dyDescent="0.25">
      <c r="A79" s="272">
        <v>71</v>
      </c>
      <c r="B79" s="273" t="s">
        <v>117</v>
      </c>
      <c r="C79" s="274" t="s">
        <v>426</v>
      </c>
      <c r="D79" s="259">
        <v>299</v>
      </c>
      <c r="E79" s="260"/>
      <c r="F79" s="275"/>
      <c r="G79" s="262"/>
      <c r="H79" s="262"/>
      <c r="I79" s="262"/>
      <c r="J79" s="260"/>
      <c r="K79" s="276">
        <f t="shared" si="7"/>
        <v>299</v>
      </c>
      <c r="L79" s="259"/>
      <c r="M79" s="277"/>
      <c r="N79" s="277"/>
      <c r="O79" s="277"/>
      <c r="P79" s="278"/>
      <c r="Q79" s="256"/>
      <c r="R79" s="260"/>
      <c r="S79" s="260"/>
      <c r="T79" s="260"/>
      <c r="U79" s="260"/>
      <c r="V79" s="260"/>
      <c r="W79" s="260"/>
      <c r="X79" s="279"/>
      <c r="Y79" s="266"/>
    </row>
    <row r="80" spans="1:25" s="252" customFormat="1" ht="13.5" customHeight="1" x14ac:dyDescent="0.25">
      <c r="A80" s="272">
        <v>72</v>
      </c>
      <c r="B80" s="273" t="s">
        <v>118</v>
      </c>
      <c r="C80" s="274" t="s">
        <v>427</v>
      </c>
      <c r="D80" s="259">
        <v>5293</v>
      </c>
      <c r="E80" s="260">
        <v>92</v>
      </c>
      <c r="F80" s="275">
        <f>228-40</f>
        <v>188</v>
      </c>
      <c r="G80" s="262">
        <v>229</v>
      </c>
      <c r="H80" s="262">
        <v>22</v>
      </c>
      <c r="I80" s="262">
        <v>28</v>
      </c>
      <c r="J80" s="260">
        <f t="shared" si="5"/>
        <v>467</v>
      </c>
      <c r="K80" s="276">
        <f t="shared" si="7"/>
        <v>5852</v>
      </c>
      <c r="L80" s="259"/>
      <c r="M80" s="277"/>
      <c r="N80" s="277"/>
      <c r="O80" s="277"/>
      <c r="P80" s="278"/>
      <c r="Q80" s="256"/>
      <c r="R80" s="260"/>
      <c r="S80" s="260"/>
      <c r="T80" s="260"/>
      <c r="U80" s="260"/>
      <c r="V80" s="260"/>
      <c r="W80" s="260"/>
      <c r="X80" s="279"/>
      <c r="Y80" s="266"/>
    </row>
    <row r="81" spans="1:25" s="252" customFormat="1" ht="13.5" customHeight="1" x14ac:dyDescent="0.25">
      <c r="A81" s="272">
        <v>73</v>
      </c>
      <c r="B81" s="273" t="s">
        <v>119</v>
      </c>
      <c r="C81" s="274" t="s">
        <v>120</v>
      </c>
      <c r="D81" s="259">
        <v>0</v>
      </c>
      <c r="E81" s="260">
        <v>20</v>
      </c>
      <c r="F81" s="275"/>
      <c r="G81" s="262"/>
      <c r="H81" s="262"/>
      <c r="I81" s="262"/>
      <c r="J81" s="260"/>
      <c r="K81" s="276">
        <f t="shared" si="7"/>
        <v>20</v>
      </c>
      <c r="L81" s="259"/>
      <c r="M81" s="277"/>
      <c r="N81" s="277"/>
      <c r="O81" s="277"/>
      <c r="P81" s="278"/>
      <c r="Q81" s="256"/>
      <c r="R81" s="260"/>
      <c r="S81" s="260"/>
      <c r="T81" s="260"/>
      <c r="U81" s="260"/>
      <c r="V81" s="260"/>
      <c r="W81" s="260"/>
      <c r="X81" s="279"/>
      <c r="Y81" s="266"/>
    </row>
    <row r="82" spans="1:25" s="252" customFormat="1" ht="13.5" customHeight="1" x14ac:dyDescent="0.25">
      <c r="A82" s="272">
        <v>74</v>
      </c>
      <c r="B82" s="273" t="s">
        <v>121</v>
      </c>
      <c r="C82" s="274" t="s">
        <v>122</v>
      </c>
      <c r="D82" s="259">
        <v>626</v>
      </c>
      <c r="E82" s="260"/>
      <c r="F82" s="275">
        <v>61</v>
      </c>
      <c r="G82" s="262"/>
      <c r="H82" s="262"/>
      <c r="I82" s="262"/>
      <c r="J82" s="260">
        <f t="shared" si="5"/>
        <v>61</v>
      </c>
      <c r="K82" s="276">
        <f t="shared" si="7"/>
        <v>687</v>
      </c>
      <c r="L82" s="259"/>
      <c r="M82" s="277"/>
      <c r="N82" s="277"/>
      <c r="O82" s="277"/>
      <c r="P82" s="278"/>
      <c r="Q82" s="256"/>
      <c r="R82" s="260"/>
      <c r="S82" s="260"/>
      <c r="T82" s="260"/>
      <c r="U82" s="260"/>
      <c r="V82" s="260"/>
      <c r="W82" s="260"/>
      <c r="X82" s="279"/>
      <c r="Y82" s="266"/>
    </row>
    <row r="83" spans="1:25" s="252" customFormat="1" ht="13.5" customHeight="1" x14ac:dyDescent="0.25">
      <c r="A83" s="272">
        <v>75</v>
      </c>
      <c r="B83" s="273" t="s">
        <v>123</v>
      </c>
      <c r="C83" s="274" t="s">
        <v>124</v>
      </c>
      <c r="D83" s="259">
        <v>1663</v>
      </c>
      <c r="E83" s="260"/>
      <c r="F83" s="275">
        <v>163</v>
      </c>
      <c r="G83" s="262"/>
      <c r="H83" s="262"/>
      <c r="I83" s="262"/>
      <c r="J83" s="260">
        <f t="shared" si="5"/>
        <v>163</v>
      </c>
      <c r="K83" s="276">
        <f t="shared" si="7"/>
        <v>1826</v>
      </c>
      <c r="L83" s="259"/>
      <c r="M83" s="277"/>
      <c r="N83" s="277"/>
      <c r="O83" s="277"/>
      <c r="P83" s="278"/>
      <c r="Q83" s="256"/>
      <c r="R83" s="260"/>
      <c r="S83" s="260"/>
      <c r="T83" s="260"/>
      <c r="U83" s="260"/>
      <c r="V83" s="260"/>
      <c r="W83" s="260"/>
      <c r="X83" s="279"/>
      <c r="Y83" s="266"/>
    </row>
    <row r="84" spans="1:25" s="252" customFormat="1" ht="13.5" customHeight="1" x14ac:dyDescent="0.25">
      <c r="A84" s="272">
        <v>76</v>
      </c>
      <c r="B84" s="273" t="s">
        <v>125</v>
      </c>
      <c r="C84" s="274" t="s">
        <v>126</v>
      </c>
      <c r="D84" s="259">
        <v>755</v>
      </c>
      <c r="E84" s="260">
        <v>22</v>
      </c>
      <c r="F84" s="275">
        <v>74</v>
      </c>
      <c r="G84" s="262"/>
      <c r="H84" s="262"/>
      <c r="I84" s="262"/>
      <c r="J84" s="260">
        <f t="shared" si="5"/>
        <v>74</v>
      </c>
      <c r="K84" s="276">
        <f t="shared" si="7"/>
        <v>851</v>
      </c>
      <c r="L84" s="259"/>
      <c r="M84" s="277"/>
      <c r="N84" s="277"/>
      <c r="O84" s="277"/>
      <c r="P84" s="278"/>
      <c r="Q84" s="256"/>
      <c r="R84" s="260"/>
      <c r="S84" s="260"/>
      <c r="T84" s="260"/>
      <c r="U84" s="260"/>
      <c r="V84" s="260"/>
      <c r="W84" s="260"/>
      <c r="X84" s="279"/>
      <c r="Y84" s="266"/>
    </row>
    <row r="85" spans="1:25" s="252" customFormat="1" ht="13.5" customHeight="1" x14ac:dyDescent="0.25">
      <c r="A85" s="272">
        <v>77</v>
      </c>
      <c r="B85" s="273" t="s">
        <v>127</v>
      </c>
      <c r="C85" s="274" t="s">
        <v>128</v>
      </c>
      <c r="D85" s="259">
        <v>1003</v>
      </c>
      <c r="E85" s="260">
        <v>31</v>
      </c>
      <c r="F85" s="275"/>
      <c r="G85" s="262"/>
      <c r="H85" s="262"/>
      <c r="I85" s="262"/>
      <c r="J85" s="260"/>
      <c r="K85" s="276">
        <f t="shared" si="7"/>
        <v>1034</v>
      </c>
      <c r="L85" s="259"/>
      <c r="M85" s="277"/>
      <c r="N85" s="277"/>
      <c r="O85" s="277"/>
      <c r="P85" s="278"/>
      <c r="Q85" s="256"/>
      <c r="R85" s="260"/>
      <c r="S85" s="260"/>
      <c r="T85" s="260"/>
      <c r="U85" s="260"/>
      <c r="V85" s="260"/>
      <c r="W85" s="260"/>
      <c r="X85" s="279"/>
      <c r="Y85" s="266"/>
    </row>
    <row r="86" spans="1:25" s="252" customFormat="1" ht="13.5" customHeight="1" x14ac:dyDescent="0.25">
      <c r="A86" s="272">
        <v>78</v>
      </c>
      <c r="B86" s="273" t="s">
        <v>129</v>
      </c>
      <c r="C86" s="274" t="s">
        <v>130</v>
      </c>
      <c r="D86" s="259">
        <v>1790</v>
      </c>
      <c r="E86" s="260">
        <f>22-20</f>
        <v>2</v>
      </c>
      <c r="F86" s="275"/>
      <c r="G86" s="262"/>
      <c r="H86" s="262"/>
      <c r="I86" s="262"/>
      <c r="J86" s="260"/>
      <c r="K86" s="276">
        <f t="shared" si="7"/>
        <v>1792</v>
      </c>
      <c r="L86" s="259"/>
      <c r="M86" s="277"/>
      <c r="N86" s="277"/>
      <c r="O86" s="277"/>
      <c r="P86" s="278"/>
      <c r="Q86" s="256"/>
      <c r="R86" s="260"/>
      <c r="S86" s="260"/>
      <c r="T86" s="260"/>
      <c r="U86" s="260"/>
      <c r="V86" s="260"/>
      <c r="W86" s="260"/>
      <c r="X86" s="279"/>
      <c r="Y86" s="266"/>
    </row>
    <row r="87" spans="1:25" s="252" customFormat="1" ht="13.5" customHeight="1" x14ac:dyDescent="0.25">
      <c r="A87" s="272">
        <v>79</v>
      </c>
      <c r="B87" s="273" t="s">
        <v>131</v>
      </c>
      <c r="C87" s="274" t="s">
        <v>132</v>
      </c>
      <c r="D87" s="259">
        <v>1592</v>
      </c>
      <c r="E87" s="260"/>
      <c r="F87" s="275">
        <v>0</v>
      </c>
      <c r="G87" s="262"/>
      <c r="H87" s="262"/>
      <c r="I87" s="262"/>
      <c r="J87" s="260">
        <f t="shared" si="5"/>
        <v>0</v>
      </c>
      <c r="K87" s="276">
        <f t="shared" si="7"/>
        <v>1592</v>
      </c>
      <c r="L87" s="259"/>
      <c r="M87" s="277"/>
      <c r="N87" s="277"/>
      <c r="O87" s="277"/>
      <c r="P87" s="278"/>
      <c r="Q87" s="256"/>
      <c r="R87" s="260"/>
      <c r="S87" s="260"/>
      <c r="T87" s="260"/>
      <c r="U87" s="260"/>
      <c r="V87" s="260"/>
      <c r="W87" s="260"/>
      <c r="X87" s="279"/>
      <c r="Y87" s="266"/>
    </row>
    <row r="88" spans="1:25" s="252" customFormat="1" ht="13.5" customHeight="1" x14ac:dyDescent="0.25">
      <c r="A88" s="272">
        <v>80</v>
      </c>
      <c r="B88" s="273" t="s">
        <v>133</v>
      </c>
      <c r="C88" s="274" t="s">
        <v>134</v>
      </c>
      <c r="D88" s="259">
        <v>562</v>
      </c>
      <c r="E88" s="260">
        <v>14</v>
      </c>
      <c r="F88" s="275">
        <v>55</v>
      </c>
      <c r="G88" s="262"/>
      <c r="H88" s="262"/>
      <c r="I88" s="262"/>
      <c r="J88" s="260">
        <f t="shared" si="5"/>
        <v>55</v>
      </c>
      <c r="K88" s="276">
        <f t="shared" si="7"/>
        <v>631</v>
      </c>
      <c r="L88" s="259"/>
      <c r="M88" s="277"/>
      <c r="N88" s="277"/>
      <c r="O88" s="277"/>
      <c r="P88" s="278"/>
      <c r="Q88" s="256"/>
      <c r="R88" s="260"/>
      <c r="S88" s="260"/>
      <c r="T88" s="260"/>
      <c r="U88" s="260"/>
      <c r="V88" s="260"/>
      <c r="W88" s="260"/>
      <c r="X88" s="279"/>
      <c r="Y88" s="266"/>
    </row>
    <row r="89" spans="1:25" s="252" customFormat="1" ht="13.5" customHeight="1" x14ac:dyDescent="0.25">
      <c r="A89" s="272">
        <v>81</v>
      </c>
      <c r="B89" s="273" t="s">
        <v>135</v>
      </c>
      <c r="C89" s="274" t="s">
        <v>136</v>
      </c>
      <c r="D89" s="259">
        <v>901</v>
      </c>
      <c r="E89" s="260">
        <v>0</v>
      </c>
      <c r="F89" s="275"/>
      <c r="G89" s="262"/>
      <c r="H89" s="262"/>
      <c r="I89" s="262"/>
      <c r="J89" s="260"/>
      <c r="K89" s="276">
        <f t="shared" si="7"/>
        <v>901</v>
      </c>
      <c r="L89" s="259"/>
      <c r="M89" s="277"/>
      <c r="N89" s="277"/>
      <c r="O89" s="277"/>
      <c r="P89" s="278"/>
      <c r="Q89" s="256"/>
      <c r="R89" s="260"/>
      <c r="S89" s="260"/>
      <c r="T89" s="260"/>
      <c r="U89" s="260"/>
      <c r="V89" s="260"/>
      <c r="W89" s="260"/>
      <c r="X89" s="279"/>
      <c r="Y89" s="266"/>
    </row>
    <row r="90" spans="1:25" s="252" customFormat="1" ht="13.5" customHeight="1" x14ac:dyDescent="0.25">
      <c r="A90" s="272">
        <v>82</v>
      </c>
      <c r="B90" s="273" t="s">
        <v>137</v>
      </c>
      <c r="C90" s="274" t="s">
        <v>138</v>
      </c>
      <c r="D90" s="259">
        <v>899</v>
      </c>
      <c r="E90" s="260">
        <v>24</v>
      </c>
      <c r="F90" s="275">
        <v>83</v>
      </c>
      <c r="G90" s="262"/>
      <c r="H90" s="262"/>
      <c r="I90" s="262"/>
      <c r="J90" s="260">
        <f t="shared" si="5"/>
        <v>83</v>
      </c>
      <c r="K90" s="276">
        <f t="shared" si="7"/>
        <v>1006</v>
      </c>
      <c r="L90" s="259"/>
      <c r="M90" s="277"/>
      <c r="N90" s="277"/>
      <c r="O90" s="277"/>
      <c r="P90" s="278"/>
      <c r="Q90" s="256"/>
      <c r="R90" s="260"/>
      <c r="S90" s="260"/>
      <c r="T90" s="260"/>
      <c r="U90" s="260"/>
      <c r="V90" s="260"/>
      <c r="W90" s="260"/>
      <c r="X90" s="279"/>
      <c r="Y90" s="266"/>
    </row>
    <row r="91" spans="1:25" s="252" customFormat="1" ht="13.5" customHeight="1" x14ac:dyDescent="0.25">
      <c r="A91" s="272">
        <v>83</v>
      </c>
      <c r="B91" s="273" t="s">
        <v>139</v>
      </c>
      <c r="C91" s="274" t="s">
        <v>140</v>
      </c>
      <c r="D91" s="259">
        <v>1356</v>
      </c>
      <c r="E91" s="260">
        <v>100</v>
      </c>
      <c r="F91" s="275">
        <v>94</v>
      </c>
      <c r="G91" s="262"/>
      <c r="H91" s="262"/>
      <c r="I91" s="262"/>
      <c r="J91" s="260">
        <f t="shared" si="5"/>
        <v>94</v>
      </c>
      <c r="K91" s="276">
        <f t="shared" si="7"/>
        <v>1550</v>
      </c>
      <c r="L91" s="259"/>
      <c r="M91" s="277"/>
      <c r="N91" s="277"/>
      <c r="O91" s="277"/>
      <c r="P91" s="278"/>
      <c r="Q91" s="256"/>
      <c r="R91" s="260"/>
      <c r="S91" s="260"/>
      <c r="T91" s="260"/>
      <c r="U91" s="260"/>
      <c r="V91" s="260"/>
      <c r="W91" s="260"/>
      <c r="X91" s="279"/>
      <c r="Y91" s="266"/>
    </row>
    <row r="92" spans="1:25" s="252" customFormat="1" ht="13.5" customHeight="1" x14ac:dyDescent="0.25">
      <c r="A92" s="272">
        <v>84</v>
      </c>
      <c r="B92" s="273" t="s">
        <v>141</v>
      </c>
      <c r="C92" s="274" t="s">
        <v>142</v>
      </c>
      <c r="D92" s="259">
        <v>649</v>
      </c>
      <c r="E92" s="260"/>
      <c r="F92" s="275"/>
      <c r="G92" s="262"/>
      <c r="H92" s="262"/>
      <c r="I92" s="262"/>
      <c r="J92" s="260"/>
      <c r="K92" s="276">
        <f t="shared" si="7"/>
        <v>649</v>
      </c>
      <c r="L92" s="259"/>
      <c r="M92" s="277"/>
      <c r="N92" s="277"/>
      <c r="O92" s="277"/>
      <c r="P92" s="278"/>
      <c r="Q92" s="256"/>
      <c r="R92" s="260"/>
      <c r="S92" s="260"/>
      <c r="T92" s="260"/>
      <c r="U92" s="260"/>
      <c r="V92" s="260"/>
      <c r="W92" s="260"/>
      <c r="X92" s="279"/>
      <c r="Y92" s="266"/>
    </row>
    <row r="93" spans="1:25" s="252" customFormat="1" ht="13.5" customHeight="1" x14ac:dyDescent="0.25">
      <c r="A93" s="272">
        <v>85</v>
      </c>
      <c r="B93" s="273" t="s">
        <v>143</v>
      </c>
      <c r="C93" s="274" t="s">
        <v>144</v>
      </c>
      <c r="D93" s="259">
        <v>1006</v>
      </c>
      <c r="E93" s="260">
        <v>25</v>
      </c>
      <c r="F93" s="275">
        <v>99</v>
      </c>
      <c r="G93" s="262"/>
      <c r="H93" s="262"/>
      <c r="I93" s="262"/>
      <c r="J93" s="260">
        <f t="shared" si="5"/>
        <v>99</v>
      </c>
      <c r="K93" s="276">
        <f t="shared" si="7"/>
        <v>1130</v>
      </c>
      <c r="L93" s="259"/>
      <c r="M93" s="277"/>
      <c r="N93" s="277"/>
      <c r="O93" s="277"/>
      <c r="P93" s="278"/>
      <c r="Q93" s="256"/>
      <c r="R93" s="260"/>
      <c r="S93" s="260"/>
      <c r="T93" s="260"/>
      <c r="U93" s="260"/>
      <c r="V93" s="260"/>
      <c r="W93" s="260"/>
      <c r="X93" s="279"/>
      <c r="Y93" s="266"/>
    </row>
    <row r="94" spans="1:25" s="252" customFormat="1" ht="13.5" customHeight="1" x14ac:dyDescent="0.25">
      <c r="A94" s="272">
        <v>86</v>
      </c>
      <c r="B94" s="273" t="s">
        <v>145</v>
      </c>
      <c r="C94" s="274" t="s">
        <v>146</v>
      </c>
      <c r="D94" s="259">
        <v>1685</v>
      </c>
      <c r="E94" s="260">
        <v>54</v>
      </c>
      <c r="F94" s="275">
        <v>166</v>
      </c>
      <c r="G94" s="262"/>
      <c r="H94" s="262"/>
      <c r="I94" s="262"/>
      <c r="J94" s="260">
        <f t="shared" si="5"/>
        <v>166</v>
      </c>
      <c r="K94" s="276">
        <f t="shared" si="7"/>
        <v>1905</v>
      </c>
      <c r="L94" s="259"/>
      <c r="M94" s="277"/>
      <c r="N94" s="277"/>
      <c r="O94" s="277"/>
      <c r="P94" s="278"/>
      <c r="Q94" s="256"/>
      <c r="R94" s="260"/>
      <c r="S94" s="260"/>
      <c r="T94" s="260"/>
      <c r="U94" s="260"/>
      <c r="V94" s="260"/>
      <c r="W94" s="260"/>
      <c r="X94" s="279"/>
      <c r="Y94" s="266"/>
    </row>
    <row r="95" spans="1:25" s="252" customFormat="1" ht="13.5" customHeight="1" x14ac:dyDescent="0.25">
      <c r="A95" s="272">
        <v>87</v>
      </c>
      <c r="B95" s="273" t="s">
        <v>147</v>
      </c>
      <c r="C95" s="274" t="s">
        <v>165</v>
      </c>
      <c r="D95" s="259">
        <v>778</v>
      </c>
      <c r="E95" s="260"/>
      <c r="F95" s="275"/>
      <c r="G95" s="262"/>
      <c r="H95" s="262"/>
      <c r="I95" s="262"/>
      <c r="J95" s="260"/>
      <c r="K95" s="276">
        <f t="shared" si="7"/>
        <v>778</v>
      </c>
      <c r="L95" s="259"/>
      <c r="M95" s="277"/>
      <c r="N95" s="277"/>
      <c r="O95" s="277"/>
      <c r="P95" s="278"/>
      <c r="Q95" s="256"/>
      <c r="R95" s="260"/>
      <c r="S95" s="260"/>
      <c r="T95" s="260"/>
      <c r="U95" s="260"/>
      <c r="V95" s="260"/>
      <c r="W95" s="260"/>
      <c r="X95" s="279"/>
      <c r="Y95" s="266"/>
    </row>
    <row r="96" spans="1:25" s="252" customFormat="1" ht="13.5" customHeight="1" x14ac:dyDescent="0.25">
      <c r="A96" s="272">
        <v>88</v>
      </c>
      <c r="B96" s="273" t="s">
        <v>15</v>
      </c>
      <c r="C96" s="274" t="s">
        <v>448</v>
      </c>
      <c r="D96" s="259">
        <f>4704-300</f>
        <v>4404</v>
      </c>
      <c r="E96" s="260">
        <v>450</v>
      </c>
      <c r="F96" s="275">
        <f>610-40</f>
        <v>570</v>
      </c>
      <c r="G96" s="262">
        <v>607</v>
      </c>
      <c r="H96" s="262">
        <v>68</v>
      </c>
      <c r="I96" s="262">
        <v>66</v>
      </c>
      <c r="J96" s="260">
        <f t="shared" ref="J96:J102" si="8">F96+G96+H96+I96</f>
        <v>1311</v>
      </c>
      <c r="K96" s="276">
        <f t="shared" si="7"/>
        <v>6165</v>
      </c>
      <c r="L96" s="259">
        <f>263+49</f>
        <v>312</v>
      </c>
      <c r="M96" s="277">
        <f>1870-33</f>
        <v>1837</v>
      </c>
      <c r="N96" s="277">
        <f>3900+1006</f>
        <v>4906</v>
      </c>
      <c r="O96" s="277">
        <f>3400-55</f>
        <v>3345</v>
      </c>
      <c r="P96" s="278">
        <f t="shared" ref="P96:P102" si="9">L96+M96+N96+O96</f>
        <v>10400</v>
      </c>
      <c r="Q96" s="256"/>
      <c r="R96" s="260"/>
      <c r="S96" s="260"/>
      <c r="T96" s="260"/>
      <c r="U96" s="260"/>
      <c r="V96" s="260"/>
      <c r="W96" s="260"/>
      <c r="X96" s="279"/>
      <c r="Y96" s="266"/>
    </row>
    <row r="97" spans="1:25" s="252" customFormat="1" ht="13.5" customHeight="1" x14ac:dyDescent="0.25">
      <c r="A97" s="272">
        <v>89</v>
      </c>
      <c r="B97" s="273" t="s">
        <v>342</v>
      </c>
      <c r="C97" s="274" t="s">
        <v>343</v>
      </c>
      <c r="D97" s="259">
        <v>3900</v>
      </c>
      <c r="E97" s="260">
        <v>2747</v>
      </c>
      <c r="F97" s="275">
        <f>1549+160</f>
        <v>1709</v>
      </c>
      <c r="G97" s="262">
        <v>1204</v>
      </c>
      <c r="H97" s="262">
        <v>67</v>
      </c>
      <c r="I97" s="262">
        <v>411</v>
      </c>
      <c r="J97" s="260">
        <f t="shared" si="8"/>
        <v>3391</v>
      </c>
      <c r="K97" s="276">
        <f t="shared" si="7"/>
        <v>10038</v>
      </c>
      <c r="L97" s="259">
        <f>60+7</f>
        <v>67</v>
      </c>
      <c r="M97" s="277">
        <f>200-23</f>
        <v>177</v>
      </c>
      <c r="N97" s="277">
        <f>4400-536</f>
        <v>3864</v>
      </c>
      <c r="O97" s="277">
        <f>5400-57</f>
        <v>5343</v>
      </c>
      <c r="P97" s="278">
        <f t="shared" si="9"/>
        <v>9451</v>
      </c>
      <c r="Q97" s="256"/>
      <c r="R97" s="260"/>
      <c r="S97" s="260"/>
      <c r="T97" s="260"/>
      <c r="U97" s="260"/>
      <c r="V97" s="260"/>
      <c r="W97" s="260"/>
      <c r="X97" s="279"/>
      <c r="Y97" s="266"/>
    </row>
    <row r="98" spans="1:25" s="252" customFormat="1" ht="13.5" customHeight="1" x14ac:dyDescent="0.25">
      <c r="A98" s="272">
        <v>90</v>
      </c>
      <c r="B98" s="273" t="s">
        <v>10</v>
      </c>
      <c r="C98" s="274" t="s">
        <v>7</v>
      </c>
      <c r="D98" s="259">
        <f>2500-300</f>
        <v>2200</v>
      </c>
      <c r="E98" s="260"/>
      <c r="F98" s="275"/>
      <c r="G98" s="262"/>
      <c r="H98" s="262"/>
      <c r="I98" s="262"/>
      <c r="J98" s="260"/>
      <c r="K98" s="276">
        <f t="shared" si="7"/>
        <v>2200</v>
      </c>
      <c r="L98" s="259"/>
      <c r="M98" s="277"/>
      <c r="N98" s="277"/>
      <c r="O98" s="277"/>
      <c r="P98" s="278"/>
      <c r="Q98" s="256"/>
      <c r="R98" s="260"/>
      <c r="S98" s="260"/>
      <c r="T98" s="260"/>
      <c r="U98" s="260"/>
      <c r="V98" s="260"/>
      <c r="W98" s="260"/>
      <c r="X98" s="279"/>
      <c r="Y98" s="266"/>
    </row>
    <row r="99" spans="1:25" s="252" customFormat="1" ht="13.5" customHeight="1" x14ac:dyDescent="0.25">
      <c r="A99" s="272">
        <v>91</v>
      </c>
      <c r="B99" s="273" t="s">
        <v>344</v>
      </c>
      <c r="C99" s="274" t="s">
        <v>345</v>
      </c>
      <c r="D99" s="259"/>
      <c r="E99" s="260"/>
      <c r="F99" s="275"/>
      <c r="G99" s="262"/>
      <c r="H99" s="262"/>
      <c r="I99" s="262"/>
      <c r="J99" s="260"/>
      <c r="K99" s="276"/>
      <c r="L99" s="259"/>
      <c r="M99" s="277"/>
      <c r="N99" s="277"/>
      <c r="O99" s="277"/>
      <c r="P99" s="278"/>
      <c r="Q99" s="256">
        <v>220</v>
      </c>
      <c r="R99" s="260">
        <f>568+63</f>
        <v>631</v>
      </c>
      <c r="S99" s="260">
        <f>380+41</f>
        <v>421</v>
      </c>
      <c r="T99" s="260">
        <f>485-10</f>
        <v>475</v>
      </c>
      <c r="U99" s="260">
        <v>555</v>
      </c>
      <c r="V99" s="260">
        <f>1433-170</f>
        <v>1263</v>
      </c>
      <c r="W99" s="260">
        <f>1088+76</f>
        <v>1164</v>
      </c>
      <c r="X99" s="279">
        <v>9</v>
      </c>
      <c r="Y99" s="266">
        <f>SUM(Q99:X99)</f>
        <v>4738</v>
      </c>
    </row>
    <row r="100" spans="1:25" s="252" customFormat="1" ht="13.5" customHeight="1" x14ac:dyDescent="0.25">
      <c r="A100" s="272">
        <v>92</v>
      </c>
      <c r="B100" s="273" t="s">
        <v>346</v>
      </c>
      <c r="C100" s="274" t="s">
        <v>347</v>
      </c>
      <c r="D100" s="259">
        <v>1560</v>
      </c>
      <c r="E100" s="260"/>
      <c r="F100" s="275"/>
      <c r="G100" s="262"/>
      <c r="H100" s="262"/>
      <c r="I100" s="262"/>
      <c r="J100" s="260"/>
      <c r="K100" s="276">
        <f t="shared" si="7"/>
        <v>1560</v>
      </c>
      <c r="L100" s="259"/>
      <c r="M100" s="277"/>
      <c r="N100" s="277"/>
      <c r="O100" s="277"/>
      <c r="P100" s="278"/>
      <c r="Q100" s="256"/>
      <c r="R100" s="260"/>
      <c r="S100" s="260"/>
      <c r="T100" s="260"/>
      <c r="U100" s="260"/>
      <c r="V100" s="260"/>
      <c r="W100" s="260"/>
      <c r="X100" s="279"/>
      <c r="Y100" s="266"/>
    </row>
    <row r="101" spans="1:25" s="252" customFormat="1" ht="13.5" customHeight="1" x14ac:dyDescent="0.25">
      <c r="A101" s="272">
        <v>93</v>
      </c>
      <c r="B101" s="273" t="s">
        <v>12</v>
      </c>
      <c r="C101" s="274" t="s">
        <v>2</v>
      </c>
      <c r="D101" s="259"/>
      <c r="E101" s="260"/>
      <c r="F101" s="275">
        <v>480</v>
      </c>
      <c r="G101" s="262"/>
      <c r="H101" s="262"/>
      <c r="I101" s="262"/>
      <c r="J101" s="260">
        <f t="shared" si="8"/>
        <v>480</v>
      </c>
      <c r="K101" s="276">
        <f t="shared" si="7"/>
        <v>480</v>
      </c>
      <c r="L101" s="259"/>
      <c r="M101" s="277"/>
      <c r="N101" s="277"/>
      <c r="O101" s="277"/>
      <c r="P101" s="278"/>
      <c r="Q101" s="256"/>
      <c r="R101" s="260"/>
      <c r="S101" s="260"/>
      <c r="T101" s="260"/>
      <c r="U101" s="260"/>
      <c r="V101" s="260"/>
      <c r="W101" s="260"/>
      <c r="X101" s="279"/>
      <c r="Y101" s="266"/>
    </row>
    <row r="102" spans="1:25" s="252" customFormat="1" ht="13.5" customHeight="1" x14ac:dyDescent="0.25">
      <c r="A102" s="272">
        <v>94</v>
      </c>
      <c r="B102" s="273" t="s">
        <v>3</v>
      </c>
      <c r="C102" s="274" t="s">
        <v>450</v>
      </c>
      <c r="D102" s="259">
        <v>4673</v>
      </c>
      <c r="E102" s="260">
        <v>405</v>
      </c>
      <c r="F102" s="275">
        <v>358</v>
      </c>
      <c r="G102" s="262">
        <v>973</v>
      </c>
      <c r="H102" s="262">
        <v>92</v>
      </c>
      <c r="I102" s="262">
        <v>126</v>
      </c>
      <c r="J102" s="260">
        <f t="shared" si="8"/>
        <v>1549</v>
      </c>
      <c r="K102" s="276">
        <f t="shared" si="7"/>
        <v>6627</v>
      </c>
      <c r="L102" s="259">
        <v>174</v>
      </c>
      <c r="M102" s="277">
        <f>1098-175</f>
        <v>923</v>
      </c>
      <c r="N102" s="277">
        <f>2560-104</f>
        <v>2456</v>
      </c>
      <c r="O102" s="277">
        <f>1065+57</f>
        <v>1122</v>
      </c>
      <c r="P102" s="278">
        <f t="shared" si="9"/>
        <v>4675</v>
      </c>
      <c r="Q102" s="256"/>
      <c r="R102" s="260"/>
      <c r="S102" s="260"/>
      <c r="T102" s="260"/>
      <c r="U102" s="260"/>
      <c r="V102" s="260"/>
      <c r="W102" s="260"/>
      <c r="X102" s="279"/>
      <c r="Y102" s="266"/>
    </row>
    <row r="103" spans="1:25" s="281" customFormat="1" x14ac:dyDescent="0.25">
      <c r="C103" s="248"/>
      <c r="F103" s="282"/>
    </row>
    <row r="104" spans="1:25" s="281" customFormat="1" x14ac:dyDescent="0.25">
      <c r="C104" s="248"/>
      <c r="F104" s="282"/>
    </row>
    <row r="105" spans="1:25" s="281" customFormat="1" x14ac:dyDescent="0.25">
      <c r="C105" s="248"/>
      <c r="F105" s="282"/>
    </row>
    <row r="106" spans="1:25" s="281" customFormat="1" x14ac:dyDescent="0.25">
      <c r="C106" s="248"/>
      <c r="F106" s="282"/>
    </row>
    <row r="107" spans="1:25" s="281" customFormat="1" x14ac:dyDescent="0.25">
      <c r="C107" s="248"/>
      <c r="F107" s="282"/>
    </row>
    <row r="108" spans="1:25" s="281" customFormat="1" x14ac:dyDescent="0.25">
      <c r="C108" s="248"/>
      <c r="F108" s="282"/>
    </row>
    <row r="109" spans="1:25" s="281" customFormat="1" x14ac:dyDescent="0.25">
      <c r="C109" s="248"/>
      <c r="F109" s="282"/>
    </row>
    <row r="110" spans="1:25" s="281" customFormat="1" x14ac:dyDescent="0.25">
      <c r="C110" s="248"/>
      <c r="F110" s="282"/>
    </row>
    <row r="111" spans="1:25" s="281" customFormat="1" x14ac:dyDescent="0.25">
      <c r="C111" s="248"/>
      <c r="F111" s="282"/>
    </row>
    <row r="112" spans="1:25" s="281" customFormat="1" x14ac:dyDescent="0.25">
      <c r="C112" s="248"/>
      <c r="F112" s="282"/>
    </row>
    <row r="113" spans="3:6" s="281" customFormat="1" x14ac:dyDescent="0.25">
      <c r="C113" s="248"/>
      <c r="F113" s="282"/>
    </row>
    <row r="114" spans="3:6" s="281" customFormat="1" x14ac:dyDescent="0.25">
      <c r="C114" s="248"/>
      <c r="F114" s="282"/>
    </row>
    <row r="115" spans="3:6" s="281" customFormat="1" x14ac:dyDescent="0.25">
      <c r="C115" s="248"/>
      <c r="F115" s="282"/>
    </row>
    <row r="116" spans="3:6" s="281" customFormat="1" x14ac:dyDescent="0.25">
      <c r="C116" s="248"/>
      <c r="F116" s="282"/>
    </row>
    <row r="117" spans="3:6" s="281" customFormat="1" x14ac:dyDescent="0.25">
      <c r="C117" s="248"/>
      <c r="F117" s="282"/>
    </row>
    <row r="118" spans="3:6" s="281" customFormat="1" x14ac:dyDescent="0.25">
      <c r="C118" s="248"/>
      <c r="F118" s="282"/>
    </row>
    <row r="119" spans="3:6" s="281" customFormat="1" x14ac:dyDescent="0.25">
      <c r="C119" s="248"/>
      <c r="F119" s="282"/>
    </row>
    <row r="120" spans="3:6" s="281" customFormat="1" x14ac:dyDescent="0.25">
      <c r="C120" s="248"/>
      <c r="F120" s="282"/>
    </row>
    <row r="121" spans="3:6" s="281" customFormat="1" x14ac:dyDescent="0.25">
      <c r="C121" s="248"/>
      <c r="F121" s="282"/>
    </row>
    <row r="122" spans="3:6" s="281" customFormat="1" x14ac:dyDescent="0.25">
      <c r="C122" s="248"/>
      <c r="F122" s="282"/>
    </row>
    <row r="123" spans="3:6" s="281" customFormat="1" x14ac:dyDescent="0.25">
      <c r="C123" s="248"/>
      <c r="F123" s="282"/>
    </row>
    <row r="124" spans="3:6" s="281" customFormat="1" x14ac:dyDescent="0.25">
      <c r="C124" s="248"/>
      <c r="F124" s="282"/>
    </row>
    <row r="125" spans="3:6" s="281" customFormat="1" x14ac:dyDescent="0.25">
      <c r="C125" s="248"/>
      <c r="F125" s="282"/>
    </row>
    <row r="126" spans="3:6" s="281" customFormat="1" x14ac:dyDescent="0.25">
      <c r="C126" s="248"/>
      <c r="F126" s="282"/>
    </row>
    <row r="127" spans="3:6" s="281" customFormat="1" x14ac:dyDescent="0.25">
      <c r="C127" s="248"/>
      <c r="F127" s="282"/>
    </row>
    <row r="128" spans="3:6" s="281" customFormat="1" x14ac:dyDescent="0.25">
      <c r="C128" s="248"/>
      <c r="F128" s="282"/>
    </row>
    <row r="129" spans="3:6" s="281" customFormat="1" x14ac:dyDescent="0.25">
      <c r="C129" s="248"/>
      <c r="F129" s="282"/>
    </row>
    <row r="130" spans="3:6" s="281" customFormat="1" x14ac:dyDescent="0.25">
      <c r="C130" s="248"/>
      <c r="F130" s="282"/>
    </row>
    <row r="131" spans="3:6" s="281" customFormat="1" x14ac:dyDescent="0.25">
      <c r="C131" s="248"/>
      <c r="F131" s="282"/>
    </row>
    <row r="132" spans="3:6" s="281" customFormat="1" x14ac:dyDescent="0.25">
      <c r="C132" s="248"/>
      <c r="F132" s="282"/>
    </row>
    <row r="133" spans="3:6" s="281" customFormat="1" x14ac:dyDescent="0.25">
      <c r="C133" s="248"/>
      <c r="F133" s="282"/>
    </row>
    <row r="134" spans="3:6" s="281" customFormat="1" x14ac:dyDescent="0.25">
      <c r="C134" s="248"/>
      <c r="F134" s="282"/>
    </row>
    <row r="135" spans="3:6" s="281" customFormat="1" x14ac:dyDescent="0.25">
      <c r="C135" s="248"/>
      <c r="F135" s="282"/>
    </row>
    <row r="136" spans="3:6" s="281" customFormat="1" x14ac:dyDescent="0.25">
      <c r="C136" s="248"/>
      <c r="F136" s="282"/>
    </row>
    <row r="137" spans="3:6" s="281" customFormat="1" x14ac:dyDescent="0.25">
      <c r="C137" s="248"/>
      <c r="F137" s="282"/>
    </row>
    <row r="138" spans="3:6" s="281" customFormat="1" x14ac:dyDescent="0.25">
      <c r="C138" s="248"/>
      <c r="F138" s="282"/>
    </row>
    <row r="139" spans="3:6" s="281" customFormat="1" x14ac:dyDescent="0.25">
      <c r="C139" s="248"/>
      <c r="F139" s="282"/>
    </row>
    <row r="140" spans="3:6" s="281" customFormat="1" x14ac:dyDescent="0.25">
      <c r="C140" s="248"/>
      <c r="F140" s="282"/>
    </row>
    <row r="141" spans="3:6" s="281" customFormat="1" x14ac:dyDescent="0.25">
      <c r="C141" s="248"/>
      <c r="F141" s="282"/>
    </row>
    <row r="142" spans="3:6" s="281" customFormat="1" x14ac:dyDescent="0.25">
      <c r="C142" s="248"/>
      <c r="F142" s="282"/>
    </row>
    <row r="143" spans="3:6" s="281" customFormat="1" x14ac:dyDescent="0.25">
      <c r="C143" s="248"/>
      <c r="F143" s="282"/>
    </row>
    <row r="144" spans="3:6" s="281" customFormat="1" x14ac:dyDescent="0.25">
      <c r="C144" s="248"/>
      <c r="F144" s="282"/>
    </row>
    <row r="145" spans="3:6" s="281" customFormat="1" x14ac:dyDescent="0.25">
      <c r="C145" s="248"/>
      <c r="F145" s="282"/>
    </row>
    <row r="146" spans="3:6" s="281" customFormat="1" x14ac:dyDescent="0.25">
      <c r="C146" s="248"/>
      <c r="F146" s="282"/>
    </row>
    <row r="147" spans="3:6" s="281" customFormat="1" x14ac:dyDescent="0.25">
      <c r="C147" s="248"/>
      <c r="F147" s="282"/>
    </row>
    <row r="148" spans="3:6" s="281" customFormat="1" x14ac:dyDescent="0.25">
      <c r="C148" s="248"/>
      <c r="F148" s="282"/>
    </row>
    <row r="149" spans="3:6" s="281" customFormat="1" x14ac:dyDescent="0.25">
      <c r="C149" s="248"/>
      <c r="F149" s="282"/>
    </row>
    <row r="150" spans="3:6" s="281" customFormat="1" x14ac:dyDescent="0.25">
      <c r="C150" s="248"/>
      <c r="F150" s="282"/>
    </row>
    <row r="151" spans="3:6" s="281" customFormat="1" x14ac:dyDescent="0.25">
      <c r="C151" s="248"/>
      <c r="F151" s="282"/>
    </row>
    <row r="152" spans="3:6" s="281" customFormat="1" x14ac:dyDescent="0.25">
      <c r="C152" s="248"/>
      <c r="F152" s="282"/>
    </row>
    <row r="153" spans="3:6" s="281" customFormat="1" x14ac:dyDescent="0.25">
      <c r="C153" s="248"/>
      <c r="F153" s="282"/>
    </row>
    <row r="154" spans="3:6" s="281" customFormat="1" x14ac:dyDescent="0.25">
      <c r="C154" s="248"/>
      <c r="F154" s="282"/>
    </row>
    <row r="155" spans="3:6" s="281" customFormat="1" x14ac:dyDescent="0.25">
      <c r="C155" s="248"/>
      <c r="F155" s="282"/>
    </row>
    <row r="156" spans="3:6" s="281" customFormat="1" x14ac:dyDescent="0.25">
      <c r="C156" s="248"/>
      <c r="F156" s="282"/>
    </row>
    <row r="157" spans="3:6" s="281" customFormat="1" x14ac:dyDescent="0.25">
      <c r="C157" s="248"/>
      <c r="F157" s="282"/>
    </row>
    <row r="158" spans="3:6" s="281" customFormat="1" x14ac:dyDescent="0.25">
      <c r="C158" s="248"/>
      <c r="F158" s="282"/>
    </row>
    <row r="159" spans="3:6" s="281" customFormat="1" x14ac:dyDescent="0.25">
      <c r="C159" s="248"/>
      <c r="F159" s="282"/>
    </row>
    <row r="160" spans="3:6" s="281" customFormat="1" x14ac:dyDescent="0.25">
      <c r="C160" s="248"/>
      <c r="F160" s="282"/>
    </row>
    <row r="161" spans="3:6" s="281" customFormat="1" x14ac:dyDescent="0.25">
      <c r="C161" s="248"/>
      <c r="F161" s="282"/>
    </row>
    <row r="162" spans="3:6" s="281" customFormat="1" x14ac:dyDescent="0.25">
      <c r="C162" s="248"/>
      <c r="F162" s="282"/>
    </row>
    <row r="163" spans="3:6" s="281" customFormat="1" x14ac:dyDescent="0.25">
      <c r="C163" s="248"/>
      <c r="F163" s="282"/>
    </row>
    <row r="164" spans="3:6" s="281" customFormat="1" x14ac:dyDescent="0.25">
      <c r="C164" s="248"/>
      <c r="F164" s="282"/>
    </row>
    <row r="165" spans="3:6" s="281" customFormat="1" x14ac:dyDescent="0.25">
      <c r="C165" s="248"/>
      <c r="F165" s="282"/>
    </row>
    <row r="166" spans="3:6" s="281" customFormat="1" x14ac:dyDescent="0.25">
      <c r="C166" s="248"/>
      <c r="F166" s="282"/>
    </row>
    <row r="167" spans="3:6" s="281" customFormat="1" x14ac:dyDescent="0.25">
      <c r="C167" s="248"/>
      <c r="F167" s="282"/>
    </row>
    <row r="168" spans="3:6" s="281" customFormat="1" x14ac:dyDescent="0.25">
      <c r="C168" s="248"/>
      <c r="F168" s="282"/>
    </row>
    <row r="169" spans="3:6" s="281" customFormat="1" x14ac:dyDescent="0.25">
      <c r="C169" s="248"/>
      <c r="F169" s="282"/>
    </row>
    <row r="170" spans="3:6" s="281" customFormat="1" x14ac:dyDescent="0.25">
      <c r="C170" s="248"/>
      <c r="F170" s="282"/>
    </row>
    <row r="171" spans="3:6" s="281" customFormat="1" x14ac:dyDescent="0.25">
      <c r="C171" s="248"/>
      <c r="F171" s="282"/>
    </row>
    <row r="172" spans="3:6" s="281" customFormat="1" x14ac:dyDescent="0.25">
      <c r="C172" s="248"/>
      <c r="F172" s="282"/>
    </row>
    <row r="173" spans="3:6" s="281" customFormat="1" x14ac:dyDescent="0.25">
      <c r="C173" s="248"/>
      <c r="F173" s="282"/>
    </row>
    <row r="174" spans="3:6" s="281" customFormat="1" x14ac:dyDescent="0.25">
      <c r="C174" s="248"/>
      <c r="F174" s="282"/>
    </row>
    <row r="175" spans="3:6" s="281" customFormat="1" x14ac:dyDescent="0.25">
      <c r="C175" s="248"/>
      <c r="F175" s="282"/>
    </row>
    <row r="176" spans="3:6" s="281" customFormat="1" x14ac:dyDescent="0.25">
      <c r="C176" s="248"/>
      <c r="F176" s="282"/>
    </row>
    <row r="177" spans="3:6" s="281" customFormat="1" x14ac:dyDescent="0.25">
      <c r="C177" s="248"/>
      <c r="F177" s="282"/>
    </row>
    <row r="178" spans="3:6" s="281" customFormat="1" x14ac:dyDescent="0.25">
      <c r="C178" s="248"/>
      <c r="F178" s="282"/>
    </row>
    <row r="179" spans="3:6" s="281" customFormat="1" x14ac:dyDescent="0.25">
      <c r="C179" s="248"/>
      <c r="F179" s="282"/>
    </row>
    <row r="180" spans="3:6" s="281" customFormat="1" x14ac:dyDescent="0.25">
      <c r="C180" s="248"/>
      <c r="F180" s="282"/>
    </row>
    <row r="181" spans="3:6" s="281" customFormat="1" x14ac:dyDescent="0.25">
      <c r="C181" s="248"/>
      <c r="F181" s="282"/>
    </row>
    <row r="182" spans="3:6" s="281" customFormat="1" x14ac:dyDescent="0.25">
      <c r="C182" s="248"/>
      <c r="F182" s="282"/>
    </row>
    <row r="183" spans="3:6" s="281" customFormat="1" x14ac:dyDescent="0.25">
      <c r="C183" s="248"/>
      <c r="F183" s="282"/>
    </row>
    <row r="184" spans="3:6" s="281" customFormat="1" x14ac:dyDescent="0.25">
      <c r="C184" s="248"/>
      <c r="F184" s="282"/>
    </row>
    <row r="185" spans="3:6" s="281" customFormat="1" x14ac:dyDescent="0.25">
      <c r="C185" s="248"/>
      <c r="F185" s="282"/>
    </row>
    <row r="186" spans="3:6" s="281" customFormat="1" x14ac:dyDescent="0.25">
      <c r="C186" s="248"/>
      <c r="F186" s="282"/>
    </row>
    <row r="187" spans="3:6" s="281" customFormat="1" x14ac:dyDescent="0.25">
      <c r="C187" s="248"/>
      <c r="F187" s="282"/>
    </row>
    <row r="188" spans="3:6" s="281" customFormat="1" x14ac:dyDescent="0.25">
      <c r="C188" s="248"/>
      <c r="F188" s="282"/>
    </row>
    <row r="189" spans="3:6" s="281" customFormat="1" x14ac:dyDescent="0.25">
      <c r="C189" s="248"/>
      <c r="F189" s="282"/>
    </row>
    <row r="190" spans="3:6" s="281" customFormat="1" x14ac:dyDescent="0.25">
      <c r="C190" s="248"/>
      <c r="F190" s="282"/>
    </row>
    <row r="191" spans="3:6" s="281" customFormat="1" x14ac:dyDescent="0.25">
      <c r="C191" s="248"/>
      <c r="F191" s="282"/>
    </row>
    <row r="192" spans="3:6" s="281" customFormat="1" x14ac:dyDescent="0.25">
      <c r="C192" s="248"/>
      <c r="F192" s="282"/>
    </row>
    <row r="193" spans="3:6" s="281" customFormat="1" x14ac:dyDescent="0.25">
      <c r="C193" s="248"/>
      <c r="F193" s="282"/>
    </row>
    <row r="194" spans="3:6" s="281" customFormat="1" x14ac:dyDescent="0.25">
      <c r="C194" s="248"/>
      <c r="F194" s="282"/>
    </row>
    <row r="195" spans="3:6" s="281" customFormat="1" x14ac:dyDescent="0.25">
      <c r="C195" s="248"/>
      <c r="F195" s="282"/>
    </row>
    <row r="196" spans="3:6" s="281" customFormat="1" x14ac:dyDescent="0.25">
      <c r="C196" s="248"/>
      <c r="F196" s="282"/>
    </row>
    <row r="197" spans="3:6" s="281" customFormat="1" x14ac:dyDescent="0.25">
      <c r="C197" s="248"/>
      <c r="F197" s="282"/>
    </row>
    <row r="198" spans="3:6" s="281" customFormat="1" x14ac:dyDescent="0.25">
      <c r="C198" s="248"/>
      <c r="F198" s="282"/>
    </row>
    <row r="199" spans="3:6" s="281" customFormat="1" x14ac:dyDescent="0.25">
      <c r="C199" s="248"/>
      <c r="F199" s="282"/>
    </row>
    <row r="200" spans="3:6" s="281" customFormat="1" x14ac:dyDescent="0.25">
      <c r="C200" s="248"/>
      <c r="F200" s="282"/>
    </row>
    <row r="201" spans="3:6" s="281" customFormat="1" x14ac:dyDescent="0.25">
      <c r="C201" s="248"/>
      <c r="F201" s="282"/>
    </row>
    <row r="202" spans="3:6" s="281" customFormat="1" x14ac:dyDescent="0.25">
      <c r="C202" s="248"/>
      <c r="F202" s="282"/>
    </row>
    <row r="203" spans="3:6" s="281" customFormat="1" x14ac:dyDescent="0.25">
      <c r="C203" s="248"/>
      <c r="F203" s="282"/>
    </row>
    <row r="204" spans="3:6" s="281" customFormat="1" x14ac:dyDescent="0.25">
      <c r="C204" s="248"/>
      <c r="F204" s="282"/>
    </row>
    <row r="205" spans="3:6" s="281" customFormat="1" x14ac:dyDescent="0.25">
      <c r="C205" s="248"/>
      <c r="F205" s="282"/>
    </row>
    <row r="206" spans="3:6" s="281" customFormat="1" x14ac:dyDescent="0.25">
      <c r="C206" s="248"/>
      <c r="F206" s="282"/>
    </row>
    <row r="207" spans="3:6" s="281" customFormat="1" x14ac:dyDescent="0.25">
      <c r="C207" s="248"/>
      <c r="F207" s="282"/>
    </row>
    <row r="208" spans="3:6" s="281" customFormat="1" x14ac:dyDescent="0.25">
      <c r="C208" s="248"/>
      <c r="F208" s="282"/>
    </row>
    <row r="209" spans="3:6" s="281" customFormat="1" x14ac:dyDescent="0.25">
      <c r="C209" s="248"/>
      <c r="F209" s="282"/>
    </row>
    <row r="210" spans="3:6" s="281" customFormat="1" x14ac:dyDescent="0.25">
      <c r="C210" s="248"/>
      <c r="F210" s="282"/>
    </row>
    <row r="211" spans="3:6" s="281" customFormat="1" x14ac:dyDescent="0.25">
      <c r="C211" s="248"/>
      <c r="F211" s="282"/>
    </row>
    <row r="212" spans="3:6" s="281" customFormat="1" x14ac:dyDescent="0.25">
      <c r="C212" s="248"/>
      <c r="F212" s="282"/>
    </row>
    <row r="213" spans="3:6" s="281" customFormat="1" x14ac:dyDescent="0.25">
      <c r="C213" s="248"/>
      <c r="F213" s="282"/>
    </row>
    <row r="214" spans="3:6" s="281" customFormat="1" x14ac:dyDescent="0.25">
      <c r="C214" s="248"/>
      <c r="F214" s="282"/>
    </row>
    <row r="215" spans="3:6" s="281" customFormat="1" x14ac:dyDescent="0.25">
      <c r="C215" s="248"/>
      <c r="F215" s="282"/>
    </row>
    <row r="216" spans="3:6" s="281" customFormat="1" x14ac:dyDescent="0.25">
      <c r="C216" s="248"/>
      <c r="F216" s="282"/>
    </row>
    <row r="217" spans="3:6" s="281" customFormat="1" x14ac:dyDescent="0.25">
      <c r="C217" s="248"/>
      <c r="F217" s="282"/>
    </row>
    <row r="218" spans="3:6" s="281" customFormat="1" x14ac:dyDescent="0.25">
      <c r="C218" s="248"/>
      <c r="F218" s="282"/>
    </row>
    <row r="219" spans="3:6" s="281" customFormat="1" x14ac:dyDescent="0.25">
      <c r="C219" s="248"/>
      <c r="F219" s="282"/>
    </row>
    <row r="220" spans="3:6" s="281" customFormat="1" x14ac:dyDescent="0.25">
      <c r="C220" s="248"/>
      <c r="F220" s="282"/>
    </row>
    <row r="221" spans="3:6" s="281" customFormat="1" x14ac:dyDescent="0.25">
      <c r="C221" s="248"/>
      <c r="F221" s="282"/>
    </row>
    <row r="222" spans="3:6" s="281" customFormat="1" x14ac:dyDescent="0.25">
      <c r="C222" s="248"/>
      <c r="F222" s="282"/>
    </row>
    <row r="223" spans="3:6" s="281" customFormat="1" x14ac:dyDescent="0.25">
      <c r="C223" s="248"/>
      <c r="F223" s="282"/>
    </row>
    <row r="224" spans="3:6" s="281" customFormat="1" x14ac:dyDescent="0.25">
      <c r="C224" s="248"/>
      <c r="F224" s="282"/>
    </row>
    <row r="225" spans="3:6" s="281" customFormat="1" x14ac:dyDescent="0.25">
      <c r="C225" s="248"/>
      <c r="F225" s="282"/>
    </row>
    <row r="226" spans="3:6" s="281" customFormat="1" x14ac:dyDescent="0.25">
      <c r="C226" s="248"/>
      <c r="F226" s="282"/>
    </row>
    <row r="227" spans="3:6" s="281" customFormat="1" x14ac:dyDescent="0.25">
      <c r="C227" s="248"/>
      <c r="F227" s="282"/>
    </row>
    <row r="228" spans="3:6" s="281" customFormat="1" x14ac:dyDescent="0.25">
      <c r="C228" s="248"/>
      <c r="F228" s="282"/>
    </row>
    <row r="229" spans="3:6" s="281" customFormat="1" x14ac:dyDescent="0.25">
      <c r="C229" s="248"/>
      <c r="F229" s="282"/>
    </row>
    <row r="230" spans="3:6" s="281" customFormat="1" x14ac:dyDescent="0.25">
      <c r="C230" s="248"/>
      <c r="F230" s="282"/>
    </row>
    <row r="231" spans="3:6" s="281" customFormat="1" x14ac:dyDescent="0.25">
      <c r="C231" s="248"/>
      <c r="F231" s="282"/>
    </row>
    <row r="232" spans="3:6" s="281" customFormat="1" x14ac:dyDescent="0.25">
      <c r="C232" s="248"/>
      <c r="F232" s="282"/>
    </row>
    <row r="233" spans="3:6" s="281" customFormat="1" x14ac:dyDescent="0.25">
      <c r="C233" s="248"/>
      <c r="F233" s="282"/>
    </row>
    <row r="234" spans="3:6" s="281" customFormat="1" x14ac:dyDescent="0.25">
      <c r="C234" s="248"/>
      <c r="F234" s="282"/>
    </row>
    <row r="235" spans="3:6" s="281" customFormat="1" x14ac:dyDescent="0.25">
      <c r="C235" s="248"/>
      <c r="F235" s="282"/>
    </row>
    <row r="236" spans="3:6" s="281" customFormat="1" x14ac:dyDescent="0.25">
      <c r="C236" s="248"/>
      <c r="F236" s="282"/>
    </row>
    <row r="237" spans="3:6" s="281" customFormat="1" x14ac:dyDescent="0.25">
      <c r="C237" s="248"/>
      <c r="F237" s="282"/>
    </row>
    <row r="238" spans="3:6" s="281" customFormat="1" x14ac:dyDescent="0.25">
      <c r="C238" s="248"/>
      <c r="F238" s="282"/>
    </row>
    <row r="239" spans="3:6" s="281" customFormat="1" x14ac:dyDescent="0.25">
      <c r="C239" s="248"/>
      <c r="F239" s="282"/>
    </row>
    <row r="240" spans="3:6" s="281" customFormat="1" x14ac:dyDescent="0.25">
      <c r="C240" s="248"/>
      <c r="F240" s="282"/>
    </row>
    <row r="241" spans="3:6" s="281" customFormat="1" x14ac:dyDescent="0.25">
      <c r="C241" s="248"/>
      <c r="F241" s="282"/>
    </row>
    <row r="242" spans="3:6" s="281" customFormat="1" x14ac:dyDescent="0.25">
      <c r="C242" s="248"/>
      <c r="F242" s="282"/>
    </row>
    <row r="243" spans="3:6" s="281" customFormat="1" x14ac:dyDescent="0.25">
      <c r="C243" s="248"/>
      <c r="F243" s="282"/>
    </row>
    <row r="244" spans="3:6" s="281" customFormat="1" x14ac:dyDescent="0.25">
      <c r="C244" s="248"/>
      <c r="F244" s="282"/>
    </row>
    <row r="245" spans="3:6" s="281" customFormat="1" x14ac:dyDescent="0.25">
      <c r="C245" s="248"/>
      <c r="F245" s="282"/>
    </row>
  </sheetData>
  <autoFilter ref="A8:Z102"/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I4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Y4:Y5"/>
    <mergeCell ref="S4:S5"/>
    <mergeCell ref="U4:U5"/>
    <mergeCell ref="V4:V5"/>
    <mergeCell ref="W4:W5"/>
    <mergeCell ref="X4:X5"/>
  </mergeCells>
  <printOptions horizontalCentered="1" verticalCentered="1"/>
  <pageMargins left="0" right="0" top="0" bottom="0" header="0.31496062992125984" footer="0.31496062992125984"/>
  <pageSetup paperSize="9"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4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18" sqref="D18"/>
    </sheetView>
  </sheetViews>
  <sheetFormatPr defaultRowHeight="12.75" x14ac:dyDescent="0.25"/>
  <cols>
    <col min="1" max="1" width="6.140625" style="243" customWidth="1"/>
    <col min="2" max="2" width="10.5703125" style="244" customWidth="1"/>
    <col min="3" max="3" width="37.42578125" style="225" customWidth="1"/>
    <col min="4" max="4" width="10.7109375" style="225" customWidth="1"/>
    <col min="5" max="5" width="10.5703125" style="245" customWidth="1"/>
    <col min="6" max="6" width="11" style="245" customWidth="1"/>
    <col min="7" max="7" width="11.7109375" style="245" customWidth="1"/>
    <col min="8" max="8" width="10.85546875" style="245" customWidth="1"/>
    <col min="9" max="9" width="10.42578125" style="245" customWidth="1"/>
    <col min="10" max="10" width="9" style="245" customWidth="1"/>
    <col min="11" max="11" width="10.42578125" style="245" customWidth="1"/>
    <col min="12" max="12" width="13.85546875" style="245" customWidth="1"/>
    <col min="13" max="13" width="10.7109375" style="245" customWidth="1"/>
    <col min="14" max="14" width="11.85546875" style="225" customWidth="1"/>
    <col min="15" max="16384" width="9.140625" style="225"/>
  </cols>
  <sheetData>
    <row r="1" spans="1:13" ht="22.5" customHeight="1" x14ac:dyDescent="0.25">
      <c r="A1" s="618" t="s">
        <v>487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</row>
    <row r="3" spans="1:13" ht="15.75" customHeight="1" x14ac:dyDescent="0.25">
      <c r="A3" s="619" t="s">
        <v>0</v>
      </c>
      <c r="B3" s="620" t="s">
        <v>203</v>
      </c>
      <c r="C3" s="619" t="s">
        <v>488</v>
      </c>
      <c r="D3" s="622" t="s">
        <v>489</v>
      </c>
      <c r="E3" s="623"/>
      <c r="F3" s="623"/>
      <c r="G3" s="623"/>
      <c r="H3" s="623"/>
      <c r="I3" s="622" t="s">
        <v>490</v>
      </c>
      <c r="J3" s="622"/>
      <c r="K3" s="622"/>
      <c r="L3" s="622"/>
      <c r="M3" s="622" t="s">
        <v>453</v>
      </c>
    </row>
    <row r="4" spans="1:13" ht="28.5" customHeight="1" x14ac:dyDescent="0.25">
      <c r="A4" s="619"/>
      <c r="B4" s="621"/>
      <c r="C4" s="619"/>
      <c r="D4" s="226" t="s">
        <v>491</v>
      </c>
      <c r="E4" s="227" t="s">
        <v>492</v>
      </c>
      <c r="F4" s="227" t="s">
        <v>493</v>
      </c>
      <c r="G4" s="228" t="s">
        <v>494</v>
      </c>
      <c r="H4" s="228" t="s">
        <v>1</v>
      </c>
      <c r="I4" s="227" t="s">
        <v>492</v>
      </c>
      <c r="J4" s="227" t="s">
        <v>493</v>
      </c>
      <c r="K4" s="228" t="s">
        <v>494</v>
      </c>
      <c r="L4" s="228" t="s">
        <v>1</v>
      </c>
      <c r="M4" s="622"/>
    </row>
    <row r="5" spans="1:13" ht="12.75" customHeight="1" x14ac:dyDescent="0.25">
      <c r="A5" s="226"/>
      <c r="B5" s="229"/>
      <c r="C5" s="230" t="s">
        <v>1</v>
      </c>
      <c r="D5" s="231">
        <f>D6+D7</f>
        <v>74246</v>
      </c>
      <c r="E5" s="232">
        <f t="shared" ref="E5:M5" si="0">E6+E7</f>
        <v>98686</v>
      </c>
      <c r="F5" s="232">
        <f t="shared" si="0"/>
        <v>2198</v>
      </c>
      <c r="G5" s="231">
        <f t="shared" si="0"/>
        <v>19875</v>
      </c>
      <c r="H5" s="231">
        <f t="shared" si="0"/>
        <v>195005</v>
      </c>
      <c r="I5" s="232">
        <f t="shared" si="0"/>
        <v>58161</v>
      </c>
      <c r="J5" s="232">
        <f t="shared" si="0"/>
        <v>2071</v>
      </c>
      <c r="K5" s="231">
        <f t="shared" si="0"/>
        <v>3542</v>
      </c>
      <c r="L5" s="231">
        <f t="shared" si="0"/>
        <v>63774</v>
      </c>
      <c r="M5" s="231">
        <f t="shared" si="0"/>
        <v>258779</v>
      </c>
    </row>
    <row r="6" spans="1:13" ht="12.75" customHeight="1" x14ac:dyDescent="0.25">
      <c r="A6" s="226"/>
      <c r="B6" s="229"/>
      <c r="C6" s="233" t="s">
        <v>17</v>
      </c>
      <c r="D6" s="234">
        <v>0</v>
      </c>
      <c r="E6" s="234">
        <v>0</v>
      </c>
      <c r="F6" s="234">
        <v>0</v>
      </c>
      <c r="G6" s="234">
        <v>0</v>
      </c>
      <c r="H6" s="227">
        <f>D6+E6+F6+G6</f>
        <v>0</v>
      </c>
      <c r="I6" s="227">
        <v>5533</v>
      </c>
      <c r="J6" s="227">
        <v>0</v>
      </c>
      <c r="K6" s="227">
        <v>0</v>
      </c>
      <c r="L6" s="227">
        <f>I6+J6+K6</f>
        <v>5533</v>
      </c>
      <c r="M6" s="227">
        <f t="shared" ref="M6" si="1">H6+L6</f>
        <v>5533</v>
      </c>
    </row>
    <row r="7" spans="1:13" ht="12.75" customHeight="1" x14ac:dyDescent="0.25">
      <c r="A7" s="226"/>
      <c r="B7" s="229"/>
      <c r="C7" s="233" t="s">
        <v>18</v>
      </c>
      <c r="D7" s="231">
        <f>SUM(D8:D52)</f>
        <v>74246</v>
      </c>
      <c r="E7" s="231">
        <f t="shared" ref="E7:M7" si="2">SUM(E8:E52)</f>
        <v>98686</v>
      </c>
      <c r="F7" s="231">
        <f>SUM(F8:F52)</f>
        <v>2198</v>
      </c>
      <c r="G7" s="231">
        <f t="shared" si="2"/>
        <v>19875</v>
      </c>
      <c r="H7" s="231">
        <f t="shared" si="2"/>
        <v>195005</v>
      </c>
      <c r="I7" s="231">
        <f t="shared" si="2"/>
        <v>52628</v>
      </c>
      <c r="J7" s="231">
        <f t="shared" si="2"/>
        <v>2071</v>
      </c>
      <c r="K7" s="231">
        <f t="shared" si="2"/>
        <v>3542</v>
      </c>
      <c r="L7" s="231">
        <f t="shared" si="2"/>
        <v>58241</v>
      </c>
      <c r="M7" s="231">
        <f t="shared" si="2"/>
        <v>253246</v>
      </c>
    </row>
    <row r="8" spans="1:13" ht="12.75" customHeight="1" x14ac:dyDescent="0.25">
      <c r="A8" s="235">
        <v>1</v>
      </c>
      <c r="B8" s="236" t="s">
        <v>22</v>
      </c>
      <c r="C8" s="237" t="s">
        <v>23</v>
      </c>
      <c r="D8" s="234">
        <v>2930</v>
      </c>
      <c r="E8" s="234">
        <v>817</v>
      </c>
      <c r="F8" s="234"/>
      <c r="G8" s="234">
        <v>30</v>
      </c>
      <c r="H8" s="227">
        <f t="shared" ref="H8:H52" si="3">D8+E8+F8+G8</f>
        <v>3777</v>
      </c>
      <c r="I8" s="227">
        <v>0</v>
      </c>
      <c r="J8" s="227">
        <v>0</v>
      </c>
      <c r="K8" s="227">
        <v>0</v>
      </c>
      <c r="L8" s="227">
        <f t="shared" ref="L8:L11" si="4">I8+J8+K8</f>
        <v>0</v>
      </c>
      <c r="M8" s="227">
        <f t="shared" ref="M8:M52" si="5">H8+L8</f>
        <v>3777</v>
      </c>
    </row>
    <row r="9" spans="1:13" ht="12.75" customHeight="1" x14ac:dyDescent="0.25">
      <c r="A9" s="235">
        <v>2</v>
      </c>
      <c r="B9" s="236" t="s">
        <v>4</v>
      </c>
      <c r="C9" s="237" t="s">
        <v>27</v>
      </c>
      <c r="D9" s="234"/>
      <c r="E9" s="234">
        <v>2288</v>
      </c>
      <c r="F9" s="234"/>
      <c r="G9" s="234">
        <v>712</v>
      </c>
      <c r="H9" s="227">
        <f t="shared" si="3"/>
        <v>3000</v>
      </c>
      <c r="I9" s="227">
        <f>50+426</f>
        <v>476</v>
      </c>
      <c r="J9" s="227">
        <v>0</v>
      </c>
      <c r="K9" s="227">
        <v>0</v>
      </c>
      <c r="L9" s="227">
        <f t="shared" si="4"/>
        <v>476</v>
      </c>
      <c r="M9" s="227">
        <f t="shared" si="5"/>
        <v>3476</v>
      </c>
    </row>
    <row r="10" spans="1:13" ht="12.75" customHeight="1" x14ac:dyDescent="0.25">
      <c r="A10" s="235">
        <v>3</v>
      </c>
      <c r="B10" s="238" t="s">
        <v>28</v>
      </c>
      <c r="C10" s="237" t="s">
        <v>155</v>
      </c>
      <c r="D10" s="234">
        <v>4766</v>
      </c>
      <c r="E10" s="234">
        <v>1013</v>
      </c>
      <c r="F10" s="234"/>
      <c r="G10" s="234"/>
      <c r="H10" s="227">
        <f t="shared" si="3"/>
        <v>5779</v>
      </c>
      <c r="I10" s="227">
        <v>0</v>
      </c>
      <c r="J10" s="227">
        <v>0</v>
      </c>
      <c r="K10" s="227">
        <v>0</v>
      </c>
      <c r="L10" s="227">
        <f t="shared" si="4"/>
        <v>0</v>
      </c>
      <c r="M10" s="227">
        <f t="shared" si="5"/>
        <v>5779</v>
      </c>
    </row>
    <row r="11" spans="1:13" ht="12.75" customHeight="1" x14ac:dyDescent="0.25">
      <c r="A11" s="235">
        <v>4</v>
      </c>
      <c r="B11" s="236" t="s">
        <v>43</v>
      </c>
      <c r="C11" s="237" t="s">
        <v>156</v>
      </c>
      <c r="D11" s="234"/>
      <c r="E11" s="234">
        <v>839</v>
      </c>
      <c r="F11" s="234">
        <v>43</v>
      </c>
      <c r="G11" s="234">
        <v>223</v>
      </c>
      <c r="H11" s="227">
        <f t="shared" si="3"/>
        <v>1105</v>
      </c>
      <c r="I11" s="227">
        <v>0</v>
      </c>
      <c r="J11" s="227">
        <v>0</v>
      </c>
      <c r="K11" s="227">
        <v>0</v>
      </c>
      <c r="L11" s="227">
        <f t="shared" si="4"/>
        <v>0</v>
      </c>
      <c r="M11" s="227">
        <f t="shared" si="5"/>
        <v>1105</v>
      </c>
    </row>
    <row r="12" spans="1:13" ht="12.75" customHeight="1" x14ac:dyDescent="0.25">
      <c r="A12" s="235">
        <v>5</v>
      </c>
      <c r="B12" s="236" t="s">
        <v>44</v>
      </c>
      <c r="C12" s="237" t="s">
        <v>45</v>
      </c>
      <c r="D12" s="234"/>
      <c r="E12" s="234">
        <v>2984</v>
      </c>
      <c r="F12" s="234"/>
      <c r="G12" s="234">
        <v>200</v>
      </c>
      <c r="H12" s="227">
        <f t="shared" si="3"/>
        <v>3184</v>
      </c>
      <c r="I12" s="227">
        <f>2886-531</f>
        <v>2355</v>
      </c>
      <c r="J12" s="227">
        <v>0</v>
      </c>
      <c r="K12" s="227">
        <v>0</v>
      </c>
      <c r="L12" s="227">
        <f>I12+J12+K12</f>
        <v>2355</v>
      </c>
      <c r="M12" s="227">
        <f t="shared" si="5"/>
        <v>5539</v>
      </c>
    </row>
    <row r="13" spans="1:13" ht="12.75" customHeight="1" x14ac:dyDescent="0.25">
      <c r="A13" s="235">
        <v>6</v>
      </c>
      <c r="B13" s="238" t="s">
        <v>49</v>
      </c>
      <c r="C13" s="237" t="s">
        <v>50</v>
      </c>
      <c r="D13" s="234"/>
      <c r="E13" s="234">
        <v>774</v>
      </c>
      <c r="F13" s="234">
        <v>42</v>
      </c>
      <c r="G13" s="234"/>
      <c r="H13" s="227">
        <f t="shared" si="3"/>
        <v>816</v>
      </c>
      <c r="I13" s="227">
        <v>0</v>
      </c>
      <c r="J13" s="227">
        <v>0</v>
      </c>
      <c r="K13" s="227">
        <v>0</v>
      </c>
      <c r="L13" s="227">
        <f t="shared" ref="L13:L52" si="6">I13+J13+K13</f>
        <v>0</v>
      </c>
      <c r="M13" s="227">
        <f t="shared" si="5"/>
        <v>816</v>
      </c>
    </row>
    <row r="14" spans="1:13" ht="12.75" customHeight="1" x14ac:dyDescent="0.25">
      <c r="A14" s="235">
        <v>7</v>
      </c>
      <c r="B14" s="238" t="s">
        <v>51</v>
      </c>
      <c r="C14" s="237" t="s">
        <v>52</v>
      </c>
      <c r="D14" s="234"/>
      <c r="E14" s="234">
        <v>1366</v>
      </c>
      <c r="F14" s="234">
        <v>74</v>
      </c>
      <c r="G14" s="234">
        <v>261</v>
      </c>
      <c r="H14" s="227">
        <f t="shared" si="3"/>
        <v>1701</v>
      </c>
      <c r="I14" s="227">
        <v>0</v>
      </c>
      <c r="J14" s="227">
        <v>0</v>
      </c>
      <c r="K14" s="227">
        <v>0</v>
      </c>
      <c r="L14" s="227">
        <f t="shared" si="6"/>
        <v>0</v>
      </c>
      <c r="M14" s="227">
        <f t="shared" si="5"/>
        <v>1701</v>
      </c>
    </row>
    <row r="15" spans="1:13" ht="12.75" customHeight="1" x14ac:dyDescent="0.25">
      <c r="A15" s="235">
        <v>8</v>
      </c>
      <c r="B15" s="236" t="s">
        <v>316</v>
      </c>
      <c r="C15" s="237" t="s">
        <v>375</v>
      </c>
      <c r="D15" s="234"/>
      <c r="E15" s="234"/>
      <c r="F15" s="234"/>
      <c r="G15" s="234"/>
      <c r="H15" s="227">
        <f t="shared" si="3"/>
        <v>0</v>
      </c>
      <c r="I15" s="227">
        <f>2042+110</f>
        <v>2152</v>
      </c>
      <c r="J15" s="227">
        <f>484-110</f>
        <v>374</v>
      </c>
      <c r="K15" s="227">
        <v>60</v>
      </c>
      <c r="L15" s="227">
        <f t="shared" si="6"/>
        <v>2586</v>
      </c>
      <c r="M15" s="227">
        <f t="shared" si="5"/>
        <v>2586</v>
      </c>
    </row>
    <row r="16" spans="1:13" ht="12.75" customHeight="1" x14ac:dyDescent="0.25">
      <c r="A16" s="235">
        <v>9</v>
      </c>
      <c r="B16" s="238" t="s">
        <v>6</v>
      </c>
      <c r="C16" s="237" t="s">
        <v>377</v>
      </c>
      <c r="D16" s="234"/>
      <c r="E16" s="234">
        <v>3024</v>
      </c>
      <c r="F16" s="234">
        <v>54</v>
      </c>
      <c r="G16" s="234">
        <v>90</v>
      </c>
      <c r="H16" s="227">
        <f t="shared" si="3"/>
        <v>3168</v>
      </c>
      <c r="I16" s="227">
        <v>2188</v>
      </c>
      <c r="J16" s="227">
        <v>266</v>
      </c>
      <c r="K16" s="227">
        <v>0</v>
      </c>
      <c r="L16" s="227">
        <f t="shared" si="6"/>
        <v>2454</v>
      </c>
      <c r="M16" s="227">
        <f t="shared" si="5"/>
        <v>5622</v>
      </c>
    </row>
    <row r="17" spans="1:13" ht="12.75" customHeight="1" x14ac:dyDescent="0.25">
      <c r="A17" s="235">
        <v>10</v>
      </c>
      <c r="B17" s="238" t="s">
        <v>5</v>
      </c>
      <c r="C17" s="237" t="s">
        <v>378</v>
      </c>
      <c r="D17" s="234"/>
      <c r="E17" s="234">
        <v>1451</v>
      </c>
      <c r="F17" s="234">
        <v>171</v>
      </c>
      <c r="G17" s="234">
        <v>152</v>
      </c>
      <c r="H17" s="227">
        <f t="shared" si="3"/>
        <v>1774</v>
      </c>
      <c r="I17" s="227">
        <v>0</v>
      </c>
      <c r="J17" s="227">
        <v>0</v>
      </c>
      <c r="K17" s="227">
        <v>0</v>
      </c>
      <c r="L17" s="227">
        <f t="shared" si="6"/>
        <v>0</v>
      </c>
      <c r="M17" s="227">
        <f t="shared" si="5"/>
        <v>1774</v>
      </c>
    </row>
    <row r="18" spans="1:13" ht="12.75" customHeight="1" x14ac:dyDescent="0.25">
      <c r="A18" s="235">
        <v>11</v>
      </c>
      <c r="B18" s="239" t="s">
        <v>56</v>
      </c>
      <c r="C18" s="237" t="s">
        <v>57</v>
      </c>
      <c r="D18" s="234"/>
      <c r="E18" s="234">
        <v>3590</v>
      </c>
      <c r="F18" s="234">
        <v>65</v>
      </c>
      <c r="G18" s="234"/>
      <c r="H18" s="227">
        <f t="shared" si="3"/>
        <v>3655</v>
      </c>
      <c r="I18" s="227">
        <v>0</v>
      </c>
      <c r="J18" s="227">
        <v>0</v>
      </c>
      <c r="K18" s="227">
        <v>0</v>
      </c>
      <c r="L18" s="227">
        <f t="shared" si="6"/>
        <v>0</v>
      </c>
      <c r="M18" s="227">
        <f t="shared" si="5"/>
        <v>3655</v>
      </c>
    </row>
    <row r="19" spans="1:13" ht="12.75" customHeight="1" x14ac:dyDescent="0.25">
      <c r="A19" s="235">
        <v>12</v>
      </c>
      <c r="B19" s="238" t="s">
        <v>58</v>
      </c>
      <c r="C19" s="237" t="s">
        <v>59</v>
      </c>
      <c r="D19" s="234"/>
      <c r="E19" s="234">
        <v>1048</v>
      </c>
      <c r="F19" s="234">
        <v>69</v>
      </c>
      <c r="G19" s="234"/>
      <c r="H19" s="227">
        <f t="shared" si="3"/>
        <v>1117</v>
      </c>
      <c r="I19" s="227">
        <v>0</v>
      </c>
      <c r="J19" s="227">
        <v>0</v>
      </c>
      <c r="K19" s="227">
        <v>0</v>
      </c>
      <c r="L19" s="227">
        <f t="shared" si="6"/>
        <v>0</v>
      </c>
      <c r="M19" s="227">
        <f t="shared" si="5"/>
        <v>1117</v>
      </c>
    </row>
    <row r="20" spans="1:13" ht="12.75" customHeight="1" x14ac:dyDescent="0.25">
      <c r="A20" s="235">
        <v>13</v>
      </c>
      <c r="B20" s="236" t="s">
        <v>62</v>
      </c>
      <c r="C20" s="237" t="s">
        <v>63</v>
      </c>
      <c r="D20" s="234"/>
      <c r="E20" s="234">
        <v>1573</v>
      </c>
      <c r="F20" s="234">
        <v>99</v>
      </c>
      <c r="G20" s="234"/>
      <c r="H20" s="227">
        <f t="shared" si="3"/>
        <v>1672</v>
      </c>
      <c r="I20" s="227">
        <v>0</v>
      </c>
      <c r="J20" s="227">
        <v>0</v>
      </c>
      <c r="K20" s="227">
        <v>0</v>
      </c>
      <c r="L20" s="227">
        <f t="shared" si="6"/>
        <v>0</v>
      </c>
      <c r="M20" s="227">
        <f t="shared" si="5"/>
        <v>1672</v>
      </c>
    </row>
    <row r="21" spans="1:13" ht="12.75" customHeight="1" x14ac:dyDescent="0.25">
      <c r="A21" s="235">
        <v>14</v>
      </c>
      <c r="B21" s="238" t="s">
        <v>66</v>
      </c>
      <c r="C21" s="237" t="s">
        <v>158</v>
      </c>
      <c r="D21" s="234"/>
      <c r="E21" s="234">
        <v>2796</v>
      </c>
      <c r="F21" s="234"/>
      <c r="G21" s="234">
        <v>309</v>
      </c>
      <c r="H21" s="227">
        <f t="shared" si="3"/>
        <v>3105</v>
      </c>
      <c r="I21" s="227">
        <v>0</v>
      </c>
      <c r="J21" s="227">
        <v>0</v>
      </c>
      <c r="K21" s="227">
        <v>0</v>
      </c>
      <c r="L21" s="227">
        <f t="shared" si="6"/>
        <v>0</v>
      </c>
      <c r="M21" s="227">
        <f t="shared" si="5"/>
        <v>3105</v>
      </c>
    </row>
    <row r="22" spans="1:13" ht="12.75" customHeight="1" x14ac:dyDescent="0.25">
      <c r="A22" s="235">
        <v>15</v>
      </c>
      <c r="B22" s="239" t="s">
        <v>71</v>
      </c>
      <c r="C22" s="237" t="s">
        <v>385</v>
      </c>
      <c r="D22" s="234"/>
      <c r="E22" s="234">
        <v>210</v>
      </c>
      <c r="F22" s="234">
        <v>9</v>
      </c>
      <c r="G22" s="234">
        <v>49</v>
      </c>
      <c r="H22" s="227">
        <f t="shared" si="3"/>
        <v>268</v>
      </c>
      <c r="I22" s="227">
        <v>0</v>
      </c>
      <c r="J22" s="227">
        <v>0</v>
      </c>
      <c r="K22" s="227">
        <v>0</v>
      </c>
      <c r="L22" s="227">
        <f t="shared" si="6"/>
        <v>0</v>
      </c>
      <c r="M22" s="227">
        <f t="shared" si="5"/>
        <v>268</v>
      </c>
    </row>
    <row r="23" spans="1:13" ht="12.75" customHeight="1" x14ac:dyDescent="0.25">
      <c r="A23" s="235">
        <v>16</v>
      </c>
      <c r="B23" s="236" t="s">
        <v>72</v>
      </c>
      <c r="C23" s="237" t="s">
        <v>73</v>
      </c>
      <c r="D23" s="234"/>
      <c r="E23" s="234">
        <v>2452</v>
      </c>
      <c r="F23" s="234">
        <v>108</v>
      </c>
      <c r="G23" s="234"/>
      <c r="H23" s="227">
        <f t="shared" si="3"/>
        <v>2560</v>
      </c>
      <c r="I23" s="227">
        <v>0</v>
      </c>
      <c r="J23" s="227">
        <v>0</v>
      </c>
      <c r="K23" s="227">
        <v>0</v>
      </c>
      <c r="L23" s="227">
        <f t="shared" si="6"/>
        <v>0</v>
      </c>
      <c r="M23" s="227">
        <f t="shared" si="5"/>
        <v>2560</v>
      </c>
    </row>
    <row r="24" spans="1:13" ht="12.75" customHeight="1" x14ac:dyDescent="0.25">
      <c r="A24" s="235">
        <v>17</v>
      </c>
      <c r="B24" s="238" t="s">
        <v>75</v>
      </c>
      <c r="C24" s="237" t="s">
        <v>76</v>
      </c>
      <c r="D24" s="234"/>
      <c r="E24" s="234">
        <v>1695</v>
      </c>
      <c r="F24" s="234">
        <v>67</v>
      </c>
      <c r="G24" s="234"/>
      <c r="H24" s="227">
        <f t="shared" si="3"/>
        <v>1762</v>
      </c>
      <c r="I24" s="227">
        <v>0</v>
      </c>
      <c r="J24" s="227">
        <v>0</v>
      </c>
      <c r="K24" s="227">
        <v>0</v>
      </c>
      <c r="L24" s="227">
        <f t="shared" si="6"/>
        <v>0</v>
      </c>
      <c r="M24" s="227">
        <f t="shared" si="5"/>
        <v>1762</v>
      </c>
    </row>
    <row r="25" spans="1:13" ht="12.75" customHeight="1" x14ac:dyDescent="0.25">
      <c r="A25" s="235">
        <v>18</v>
      </c>
      <c r="B25" s="236" t="s">
        <v>87</v>
      </c>
      <c r="C25" s="237" t="s">
        <v>88</v>
      </c>
      <c r="D25" s="234"/>
      <c r="E25" s="234">
        <v>1030</v>
      </c>
      <c r="F25" s="234"/>
      <c r="G25" s="234"/>
      <c r="H25" s="227">
        <f t="shared" si="3"/>
        <v>1030</v>
      </c>
      <c r="I25" s="227">
        <v>0</v>
      </c>
      <c r="J25" s="227">
        <v>0</v>
      </c>
      <c r="K25" s="227">
        <v>0</v>
      </c>
      <c r="L25" s="227">
        <f t="shared" si="6"/>
        <v>0</v>
      </c>
      <c r="M25" s="227">
        <f t="shared" si="5"/>
        <v>1030</v>
      </c>
    </row>
    <row r="26" spans="1:13" ht="12.75" customHeight="1" x14ac:dyDescent="0.25">
      <c r="A26" s="235">
        <v>19</v>
      </c>
      <c r="B26" s="239" t="s">
        <v>97</v>
      </c>
      <c r="C26" s="237" t="s">
        <v>495</v>
      </c>
      <c r="D26" s="234">
        <v>1073</v>
      </c>
      <c r="E26" s="234">
        <v>1181</v>
      </c>
      <c r="F26" s="234"/>
      <c r="G26" s="234"/>
      <c r="H26" s="227">
        <f t="shared" si="3"/>
        <v>2254</v>
      </c>
      <c r="I26" s="227">
        <v>0</v>
      </c>
      <c r="J26" s="227">
        <v>0</v>
      </c>
      <c r="K26" s="227">
        <v>0</v>
      </c>
      <c r="L26" s="227">
        <f t="shared" si="6"/>
        <v>0</v>
      </c>
      <c r="M26" s="227">
        <f t="shared" si="5"/>
        <v>2254</v>
      </c>
    </row>
    <row r="27" spans="1:13" ht="12.75" customHeight="1" x14ac:dyDescent="0.25">
      <c r="A27" s="235">
        <v>20</v>
      </c>
      <c r="B27" s="239" t="s">
        <v>101</v>
      </c>
      <c r="C27" s="237" t="s">
        <v>404</v>
      </c>
      <c r="D27" s="234">
        <v>7871</v>
      </c>
      <c r="E27" s="234">
        <v>792</v>
      </c>
      <c r="F27" s="234">
        <v>38</v>
      </c>
      <c r="G27" s="234">
        <v>146</v>
      </c>
      <c r="H27" s="227">
        <f t="shared" si="3"/>
        <v>8847</v>
      </c>
      <c r="I27" s="227">
        <v>0</v>
      </c>
      <c r="J27" s="227">
        <v>0</v>
      </c>
      <c r="K27" s="227">
        <v>0</v>
      </c>
      <c r="L27" s="227">
        <f t="shared" si="6"/>
        <v>0</v>
      </c>
      <c r="M27" s="227">
        <f t="shared" si="5"/>
        <v>8847</v>
      </c>
    </row>
    <row r="28" spans="1:13" ht="12.75" customHeight="1" x14ac:dyDescent="0.25">
      <c r="A28" s="235">
        <v>21</v>
      </c>
      <c r="B28" s="239" t="s">
        <v>106</v>
      </c>
      <c r="C28" s="237" t="s">
        <v>107</v>
      </c>
      <c r="D28" s="234"/>
      <c r="E28" s="234">
        <v>300</v>
      </c>
      <c r="F28" s="234">
        <v>8</v>
      </c>
      <c r="G28" s="234"/>
      <c r="H28" s="227">
        <f t="shared" si="3"/>
        <v>308</v>
      </c>
      <c r="I28" s="227">
        <v>0</v>
      </c>
      <c r="J28" s="227">
        <v>0</v>
      </c>
      <c r="K28" s="227">
        <v>0</v>
      </c>
      <c r="L28" s="227">
        <f t="shared" si="6"/>
        <v>0</v>
      </c>
      <c r="M28" s="227">
        <f t="shared" si="5"/>
        <v>308</v>
      </c>
    </row>
    <row r="29" spans="1:13" ht="12.75" customHeight="1" x14ac:dyDescent="0.25">
      <c r="A29" s="235">
        <v>22</v>
      </c>
      <c r="B29" s="236" t="s">
        <v>109</v>
      </c>
      <c r="C29" s="237" t="s">
        <v>417</v>
      </c>
      <c r="D29" s="234">
        <v>6254</v>
      </c>
      <c r="E29" s="234">
        <v>1048</v>
      </c>
      <c r="F29" s="234">
        <v>27</v>
      </c>
      <c r="G29" s="234"/>
      <c r="H29" s="227">
        <f t="shared" si="3"/>
        <v>7329</v>
      </c>
      <c r="I29" s="227">
        <v>0</v>
      </c>
      <c r="J29" s="227">
        <v>0</v>
      </c>
      <c r="K29" s="227">
        <v>0</v>
      </c>
      <c r="L29" s="227">
        <f t="shared" si="6"/>
        <v>0</v>
      </c>
      <c r="M29" s="227">
        <f t="shared" si="5"/>
        <v>7329</v>
      </c>
    </row>
    <row r="30" spans="1:13" ht="12.75" customHeight="1" x14ac:dyDescent="0.25">
      <c r="A30" s="235">
        <v>23</v>
      </c>
      <c r="B30" s="238" t="s">
        <v>112</v>
      </c>
      <c r="C30" s="237" t="s">
        <v>420</v>
      </c>
      <c r="D30" s="234">
        <v>20032</v>
      </c>
      <c r="E30" s="234">
        <v>4486</v>
      </c>
      <c r="F30" s="234">
        <v>233</v>
      </c>
      <c r="G30" s="234">
        <v>896</v>
      </c>
      <c r="H30" s="227">
        <f t="shared" si="3"/>
        <v>25647</v>
      </c>
      <c r="I30" s="227">
        <v>0</v>
      </c>
      <c r="J30" s="227">
        <v>0</v>
      </c>
      <c r="K30" s="227">
        <v>0</v>
      </c>
      <c r="L30" s="227">
        <f t="shared" si="6"/>
        <v>0</v>
      </c>
      <c r="M30" s="227">
        <f t="shared" si="5"/>
        <v>25647</v>
      </c>
    </row>
    <row r="31" spans="1:13" ht="12.75" customHeight="1" x14ac:dyDescent="0.25">
      <c r="A31" s="235">
        <v>24</v>
      </c>
      <c r="B31" s="238" t="s">
        <v>113</v>
      </c>
      <c r="C31" s="237" t="s">
        <v>421</v>
      </c>
      <c r="D31" s="234"/>
      <c r="E31" s="234">
        <v>2124</v>
      </c>
      <c r="F31" s="234">
        <v>39</v>
      </c>
      <c r="G31" s="234">
        <v>197</v>
      </c>
      <c r="H31" s="227">
        <f t="shared" si="3"/>
        <v>2360</v>
      </c>
      <c r="I31" s="227">
        <f>1070+120</f>
        <v>1190</v>
      </c>
      <c r="J31" s="227">
        <v>0</v>
      </c>
      <c r="K31" s="227">
        <v>0</v>
      </c>
      <c r="L31" s="227">
        <f t="shared" si="6"/>
        <v>1190</v>
      </c>
      <c r="M31" s="227">
        <f t="shared" si="5"/>
        <v>3550</v>
      </c>
    </row>
    <row r="32" spans="1:13" ht="12.75" customHeight="1" x14ac:dyDescent="0.25">
      <c r="A32" s="235">
        <v>25</v>
      </c>
      <c r="B32" s="238" t="s">
        <v>9</v>
      </c>
      <c r="C32" s="237" t="s">
        <v>496</v>
      </c>
      <c r="D32" s="234"/>
      <c r="E32" s="234">
        <v>880</v>
      </c>
      <c r="F32" s="234">
        <v>13</v>
      </c>
      <c r="G32" s="234">
        <v>68</v>
      </c>
      <c r="H32" s="227">
        <f t="shared" si="3"/>
        <v>961</v>
      </c>
      <c r="I32" s="227">
        <f>168-168</f>
        <v>0</v>
      </c>
      <c r="J32" s="227">
        <f>7-7</f>
        <v>0</v>
      </c>
      <c r="K32" s="227">
        <f>9-9</f>
        <v>0</v>
      </c>
      <c r="L32" s="227">
        <f t="shared" si="6"/>
        <v>0</v>
      </c>
      <c r="M32" s="227">
        <f t="shared" si="5"/>
        <v>961</v>
      </c>
    </row>
    <row r="33" spans="1:13" ht="12.75" customHeight="1" x14ac:dyDescent="0.25">
      <c r="A33" s="235">
        <v>26</v>
      </c>
      <c r="B33" s="236" t="s">
        <v>115</v>
      </c>
      <c r="C33" s="237" t="s">
        <v>116</v>
      </c>
      <c r="D33" s="234">
        <v>9440</v>
      </c>
      <c r="E33" s="234">
        <v>286</v>
      </c>
      <c r="F33" s="234"/>
      <c r="G33" s="234">
        <v>319</v>
      </c>
      <c r="H33" s="227">
        <f t="shared" si="3"/>
        <v>10045</v>
      </c>
      <c r="I33" s="227">
        <v>238</v>
      </c>
      <c r="J33" s="227">
        <v>2</v>
      </c>
      <c r="K33" s="227">
        <v>0</v>
      </c>
      <c r="L33" s="227">
        <f t="shared" si="6"/>
        <v>240</v>
      </c>
      <c r="M33" s="227">
        <f t="shared" si="5"/>
        <v>10285</v>
      </c>
    </row>
    <row r="34" spans="1:13" ht="12.75" customHeight="1" x14ac:dyDescent="0.25">
      <c r="A34" s="235">
        <v>27</v>
      </c>
      <c r="B34" s="236" t="s">
        <v>118</v>
      </c>
      <c r="C34" s="237" t="s">
        <v>427</v>
      </c>
      <c r="D34" s="234"/>
      <c r="E34" s="234">
        <v>1289</v>
      </c>
      <c r="F34" s="234">
        <v>68</v>
      </c>
      <c r="G34" s="234"/>
      <c r="H34" s="227">
        <f t="shared" si="3"/>
        <v>1357</v>
      </c>
      <c r="I34" s="227">
        <v>0</v>
      </c>
      <c r="J34" s="227">
        <v>0</v>
      </c>
      <c r="K34" s="227">
        <v>0</v>
      </c>
      <c r="L34" s="227">
        <f t="shared" si="6"/>
        <v>0</v>
      </c>
      <c r="M34" s="227">
        <f t="shared" si="5"/>
        <v>1357</v>
      </c>
    </row>
    <row r="35" spans="1:13" ht="12.75" customHeight="1" x14ac:dyDescent="0.25">
      <c r="A35" s="235">
        <v>28</v>
      </c>
      <c r="B35" s="236" t="s">
        <v>123</v>
      </c>
      <c r="C35" s="237" t="s">
        <v>124</v>
      </c>
      <c r="D35" s="234"/>
      <c r="E35" s="234">
        <v>220</v>
      </c>
      <c r="F35" s="234"/>
      <c r="G35" s="234"/>
      <c r="H35" s="227">
        <f t="shared" si="3"/>
        <v>220</v>
      </c>
      <c r="I35" s="227">
        <v>0</v>
      </c>
      <c r="J35" s="227">
        <v>0</v>
      </c>
      <c r="K35" s="227">
        <v>0</v>
      </c>
      <c r="L35" s="227">
        <f t="shared" si="6"/>
        <v>0</v>
      </c>
      <c r="M35" s="227">
        <f t="shared" si="5"/>
        <v>220</v>
      </c>
    </row>
    <row r="36" spans="1:13" ht="12.75" customHeight="1" x14ac:dyDescent="0.25">
      <c r="A36" s="235">
        <v>29</v>
      </c>
      <c r="B36" s="239" t="s">
        <v>125</v>
      </c>
      <c r="C36" s="237" t="s">
        <v>126</v>
      </c>
      <c r="D36" s="234"/>
      <c r="E36" s="234">
        <v>384</v>
      </c>
      <c r="F36" s="234"/>
      <c r="G36" s="234"/>
      <c r="H36" s="227">
        <f t="shared" si="3"/>
        <v>384</v>
      </c>
      <c r="I36" s="227">
        <v>0</v>
      </c>
      <c r="J36" s="227">
        <v>0</v>
      </c>
      <c r="K36" s="227">
        <v>0</v>
      </c>
      <c r="L36" s="227">
        <f t="shared" si="6"/>
        <v>0</v>
      </c>
      <c r="M36" s="227">
        <f t="shared" si="5"/>
        <v>384</v>
      </c>
    </row>
    <row r="37" spans="1:13" ht="12.75" customHeight="1" x14ac:dyDescent="0.25">
      <c r="A37" s="235">
        <v>30</v>
      </c>
      <c r="B37" s="239" t="s">
        <v>139</v>
      </c>
      <c r="C37" s="237" t="s">
        <v>140</v>
      </c>
      <c r="D37" s="234"/>
      <c r="E37" s="234">
        <v>773</v>
      </c>
      <c r="F37" s="234">
        <v>57</v>
      </c>
      <c r="G37" s="234">
        <v>319</v>
      </c>
      <c r="H37" s="227">
        <f t="shared" si="3"/>
        <v>1149</v>
      </c>
      <c r="I37" s="227">
        <v>0</v>
      </c>
      <c r="J37" s="227">
        <v>0</v>
      </c>
      <c r="K37" s="227">
        <v>0</v>
      </c>
      <c r="L37" s="227">
        <f t="shared" si="6"/>
        <v>0</v>
      </c>
      <c r="M37" s="227">
        <f t="shared" si="5"/>
        <v>1149</v>
      </c>
    </row>
    <row r="38" spans="1:13" ht="12.75" customHeight="1" x14ac:dyDescent="0.25">
      <c r="A38" s="235">
        <v>31</v>
      </c>
      <c r="B38" s="239" t="s">
        <v>145</v>
      </c>
      <c r="C38" s="237" t="s">
        <v>146</v>
      </c>
      <c r="D38" s="234"/>
      <c r="E38" s="234">
        <v>445</v>
      </c>
      <c r="F38" s="234">
        <v>26</v>
      </c>
      <c r="G38" s="234"/>
      <c r="H38" s="227">
        <f t="shared" si="3"/>
        <v>471</v>
      </c>
      <c r="I38" s="227">
        <v>0</v>
      </c>
      <c r="J38" s="227">
        <v>0</v>
      </c>
      <c r="K38" s="227">
        <v>0</v>
      </c>
      <c r="L38" s="227">
        <f t="shared" si="6"/>
        <v>0</v>
      </c>
      <c r="M38" s="227">
        <f t="shared" si="5"/>
        <v>471</v>
      </c>
    </row>
    <row r="39" spans="1:13" ht="12.75" customHeight="1" x14ac:dyDescent="0.25">
      <c r="A39" s="235">
        <v>32</v>
      </c>
      <c r="B39" s="236" t="s">
        <v>330</v>
      </c>
      <c r="C39" s="237" t="s">
        <v>331</v>
      </c>
      <c r="D39" s="234"/>
      <c r="E39" s="234"/>
      <c r="F39" s="234"/>
      <c r="G39" s="234"/>
      <c r="H39" s="227">
        <f t="shared" si="3"/>
        <v>0</v>
      </c>
      <c r="I39" s="227">
        <f>926+60</f>
        <v>986</v>
      </c>
      <c r="J39" s="227">
        <f>7</f>
        <v>7</v>
      </c>
      <c r="K39" s="227">
        <v>0</v>
      </c>
      <c r="L39" s="227">
        <f t="shared" si="6"/>
        <v>993</v>
      </c>
      <c r="M39" s="227">
        <f t="shared" si="5"/>
        <v>993</v>
      </c>
    </row>
    <row r="40" spans="1:13" ht="12.75" customHeight="1" x14ac:dyDescent="0.25">
      <c r="A40" s="235">
        <v>33</v>
      </c>
      <c r="B40" s="240" t="s">
        <v>434</v>
      </c>
      <c r="C40" s="241" t="s">
        <v>435</v>
      </c>
      <c r="D40" s="234"/>
      <c r="E40" s="234">
        <v>3944</v>
      </c>
      <c r="F40" s="234">
        <v>230</v>
      </c>
      <c r="G40" s="234">
        <v>608</v>
      </c>
      <c r="H40" s="227">
        <f t="shared" si="3"/>
        <v>4782</v>
      </c>
      <c r="I40" s="227">
        <f>7210+531</f>
        <v>7741</v>
      </c>
      <c r="J40" s="227">
        <f>332+58</f>
        <v>390</v>
      </c>
      <c r="K40" s="227">
        <f>153-58</f>
        <v>95</v>
      </c>
      <c r="L40" s="227">
        <f t="shared" si="6"/>
        <v>8226</v>
      </c>
      <c r="M40" s="227">
        <f t="shared" si="5"/>
        <v>13008</v>
      </c>
    </row>
    <row r="41" spans="1:13" ht="12.75" customHeight="1" x14ac:dyDescent="0.25">
      <c r="A41" s="235">
        <v>34</v>
      </c>
      <c r="B41" s="239" t="s">
        <v>436</v>
      </c>
      <c r="C41" s="237" t="s">
        <v>437</v>
      </c>
      <c r="D41" s="234"/>
      <c r="E41" s="234"/>
      <c r="F41" s="234"/>
      <c r="G41" s="234"/>
      <c r="H41" s="227">
        <f t="shared" si="3"/>
        <v>0</v>
      </c>
      <c r="I41" s="227">
        <v>926</v>
      </c>
      <c r="J41" s="227">
        <v>79</v>
      </c>
      <c r="K41" s="227">
        <v>0</v>
      </c>
      <c r="L41" s="227">
        <f t="shared" si="6"/>
        <v>1005</v>
      </c>
      <c r="M41" s="227">
        <f t="shared" si="5"/>
        <v>1005</v>
      </c>
    </row>
    <row r="42" spans="1:13" ht="12.75" customHeight="1" x14ac:dyDescent="0.25">
      <c r="A42" s="235">
        <v>35</v>
      </c>
      <c r="B42" s="236" t="s">
        <v>336</v>
      </c>
      <c r="C42" s="237" t="s">
        <v>441</v>
      </c>
      <c r="D42" s="234"/>
      <c r="E42" s="234"/>
      <c r="F42" s="234"/>
      <c r="G42" s="234"/>
      <c r="H42" s="227">
        <f t="shared" si="3"/>
        <v>0</v>
      </c>
      <c r="I42" s="227">
        <v>362</v>
      </c>
      <c r="J42" s="227">
        <v>20</v>
      </c>
      <c r="K42" s="227">
        <v>0</v>
      </c>
      <c r="L42" s="227">
        <f t="shared" si="6"/>
        <v>382</v>
      </c>
      <c r="M42" s="227">
        <f t="shared" si="5"/>
        <v>382</v>
      </c>
    </row>
    <row r="43" spans="1:13" ht="12.75" customHeight="1" x14ac:dyDescent="0.25">
      <c r="A43" s="235">
        <v>36</v>
      </c>
      <c r="B43" s="239" t="s">
        <v>148</v>
      </c>
      <c r="C43" s="237" t="s">
        <v>497</v>
      </c>
      <c r="D43" s="234"/>
      <c r="E43" s="234">
        <v>1716</v>
      </c>
      <c r="F43" s="234">
        <v>64</v>
      </c>
      <c r="G43" s="234"/>
      <c r="H43" s="227">
        <f t="shared" si="3"/>
        <v>1780</v>
      </c>
      <c r="I43" s="227">
        <v>533</v>
      </c>
      <c r="J43" s="227">
        <v>28</v>
      </c>
      <c r="K43" s="227">
        <v>0</v>
      </c>
      <c r="L43" s="227">
        <f t="shared" si="6"/>
        <v>561</v>
      </c>
      <c r="M43" s="227">
        <f t="shared" si="5"/>
        <v>2341</v>
      </c>
    </row>
    <row r="44" spans="1:13" ht="12.75" customHeight="1" x14ac:dyDescent="0.25">
      <c r="A44" s="235">
        <v>37</v>
      </c>
      <c r="B44" s="236" t="s">
        <v>15</v>
      </c>
      <c r="C44" s="237" t="s">
        <v>448</v>
      </c>
      <c r="D44" s="234">
        <v>13474</v>
      </c>
      <c r="E44" s="234">
        <v>16162</v>
      </c>
      <c r="F44" s="234">
        <v>61</v>
      </c>
      <c r="G44" s="234">
        <v>2701</v>
      </c>
      <c r="H44" s="227">
        <f t="shared" si="3"/>
        <v>32398</v>
      </c>
      <c r="I44" s="227">
        <v>7900</v>
      </c>
      <c r="J44" s="227">
        <v>22</v>
      </c>
      <c r="K44" s="227">
        <v>1200</v>
      </c>
      <c r="L44" s="227">
        <f t="shared" si="6"/>
        <v>9122</v>
      </c>
      <c r="M44" s="227">
        <f t="shared" si="5"/>
        <v>41520</v>
      </c>
    </row>
    <row r="45" spans="1:13" ht="12.75" customHeight="1" x14ac:dyDescent="0.25">
      <c r="A45" s="235">
        <v>38</v>
      </c>
      <c r="B45" s="236" t="s">
        <v>342</v>
      </c>
      <c r="C45" s="237" t="s">
        <v>343</v>
      </c>
      <c r="D45" s="234"/>
      <c r="E45" s="234">
        <v>20900</v>
      </c>
      <c r="F45" s="234"/>
      <c r="G45" s="234">
        <v>8050</v>
      </c>
      <c r="H45" s="227">
        <f t="shared" si="3"/>
        <v>28950</v>
      </c>
      <c r="I45" s="227">
        <f>11000+108</f>
        <v>11108</v>
      </c>
      <c r="J45" s="227">
        <v>0</v>
      </c>
      <c r="K45" s="227">
        <f>1800+18+9</f>
        <v>1827</v>
      </c>
      <c r="L45" s="227">
        <f t="shared" si="6"/>
        <v>12935</v>
      </c>
      <c r="M45" s="227">
        <f t="shared" si="5"/>
        <v>41885</v>
      </c>
    </row>
    <row r="46" spans="1:13" ht="12.75" customHeight="1" x14ac:dyDescent="0.25">
      <c r="A46" s="235">
        <v>39</v>
      </c>
      <c r="B46" s="236" t="s">
        <v>14</v>
      </c>
      <c r="C46" s="237" t="s">
        <v>13</v>
      </c>
      <c r="D46" s="234"/>
      <c r="E46" s="234">
        <v>500</v>
      </c>
      <c r="F46" s="234"/>
      <c r="G46" s="234">
        <v>1900</v>
      </c>
      <c r="H46" s="227">
        <f t="shared" si="3"/>
        <v>2400</v>
      </c>
      <c r="I46" s="227">
        <v>0</v>
      </c>
      <c r="J46" s="227">
        <v>0</v>
      </c>
      <c r="K46" s="227">
        <v>0</v>
      </c>
      <c r="L46" s="227">
        <f t="shared" si="6"/>
        <v>0</v>
      </c>
      <c r="M46" s="227">
        <f t="shared" si="5"/>
        <v>2400</v>
      </c>
    </row>
    <row r="47" spans="1:13" ht="12.75" customHeight="1" x14ac:dyDescent="0.25">
      <c r="A47" s="235">
        <v>40</v>
      </c>
      <c r="B47" s="238" t="s">
        <v>10</v>
      </c>
      <c r="C47" s="237" t="s">
        <v>7</v>
      </c>
      <c r="D47" s="234"/>
      <c r="E47" s="234">
        <v>2377</v>
      </c>
      <c r="F47" s="234"/>
      <c r="G47" s="234"/>
      <c r="H47" s="227">
        <f t="shared" si="3"/>
        <v>2377</v>
      </c>
      <c r="I47" s="227">
        <v>2328</v>
      </c>
      <c r="J47" s="227">
        <v>32</v>
      </c>
      <c r="K47" s="227">
        <v>0</v>
      </c>
      <c r="L47" s="227">
        <f t="shared" si="6"/>
        <v>2360</v>
      </c>
      <c r="M47" s="227">
        <f t="shared" si="5"/>
        <v>4737</v>
      </c>
    </row>
    <row r="48" spans="1:13" ht="12.75" customHeight="1" x14ac:dyDescent="0.25">
      <c r="A48" s="235">
        <v>41</v>
      </c>
      <c r="B48" s="238" t="s">
        <v>151</v>
      </c>
      <c r="C48" s="237" t="s">
        <v>152</v>
      </c>
      <c r="D48" s="234"/>
      <c r="E48" s="234"/>
      <c r="F48" s="234"/>
      <c r="G48" s="234"/>
      <c r="H48" s="227">
        <f t="shared" si="3"/>
        <v>0</v>
      </c>
      <c r="I48" s="227">
        <f>3448-240</f>
        <v>3208</v>
      </c>
      <c r="J48" s="227">
        <v>0</v>
      </c>
      <c r="K48" s="227">
        <f>20-18</f>
        <v>2</v>
      </c>
      <c r="L48" s="227">
        <f t="shared" si="6"/>
        <v>3210</v>
      </c>
      <c r="M48" s="227">
        <f t="shared" si="5"/>
        <v>3210</v>
      </c>
    </row>
    <row r="49" spans="1:13" ht="12.75" customHeight="1" x14ac:dyDescent="0.25">
      <c r="A49" s="235">
        <v>42</v>
      </c>
      <c r="B49" s="236" t="s">
        <v>346</v>
      </c>
      <c r="C49" s="237" t="s">
        <v>347</v>
      </c>
      <c r="D49" s="234"/>
      <c r="E49" s="234">
        <v>1086</v>
      </c>
      <c r="F49" s="234">
        <v>142</v>
      </c>
      <c r="G49" s="234">
        <v>329</v>
      </c>
      <c r="H49" s="227">
        <f t="shared" si="3"/>
        <v>1557</v>
      </c>
      <c r="I49" s="227">
        <v>0</v>
      </c>
      <c r="J49" s="227">
        <v>0</v>
      </c>
      <c r="K49" s="227">
        <v>0</v>
      </c>
      <c r="L49" s="227">
        <f t="shared" si="6"/>
        <v>0</v>
      </c>
      <c r="M49" s="227">
        <f t="shared" si="5"/>
        <v>1557</v>
      </c>
    </row>
    <row r="50" spans="1:13" ht="12.75" customHeight="1" x14ac:dyDescent="0.25">
      <c r="A50" s="235">
        <v>43</v>
      </c>
      <c r="B50" s="238" t="s">
        <v>12</v>
      </c>
      <c r="C50" s="237" t="s">
        <v>2</v>
      </c>
      <c r="D50" s="234"/>
      <c r="E50" s="234">
        <v>6034</v>
      </c>
      <c r="F50" s="234">
        <v>300</v>
      </c>
      <c r="G50" s="234">
        <v>1747</v>
      </c>
      <c r="H50" s="227">
        <f t="shared" si="3"/>
        <v>8081</v>
      </c>
      <c r="I50" s="227">
        <v>6934</v>
      </c>
      <c r="J50" s="227">
        <v>840</v>
      </c>
      <c r="K50" s="227">
        <v>358</v>
      </c>
      <c r="L50" s="227">
        <f t="shared" si="6"/>
        <v>8132</v>
      </c>
      <c r="M50" s="227">
        <f t="shared" si="5"/>
        <v>16213</v>
      </c>
    </row>
    <row r="51" spans="1:13" ht="12.75" customHeight="1" x14ac:dyDescent="0.25">
      <c r="A51" s="235">
        <v>44</v>
      </c>
      <c r="B51" s="239" t="s">
        <v>3</v>
      </c>
      <c r="C51" s="237" t="s">
        <v>450</v>
      </c>
      <c r="D51" s="234"/>
      <c r="E51" s="234">
        <v>2809</v>
      </c>
      <c r="F51" s="234">
        <v>91</v>
      </c>
      <c r="G51" s="234">
        <v>569</v>
      </c>
      <c r="H51" s="227">
        <f t="shared" si="3"/>
        <v>3469</v>
      </c>
      <c r="I51" s="227">
        <f>1828+55+120</f>
        <v>2003</v>
      </c>
      <c r="J51" s="227">
        <f>66-55</f>
        <v>11</v>
      </c>
      <c r="K51" s="227">
        <v>0</v>
      </c>
      <c r="L51" s="227">
        <f t="shared" si="6"/>
        <v>2014</v>
      </c>
      <c r="M51" s="227">
        <f t="shared" si="5"/>
        <v>5483</v>
      </c>
    </row>
    <row r="52" spans="1:13" ht="12.75" customHeight="1" x14ac:dyDescent="0.25">
      <c r="A52" s="235">
        <v>45</v>
      </c>
      <c r="B52" s="242" t="s">
        <v>11</v>
      </c>
      <c r="C52" s="52" t="s">
        <v>8</v>
      </c>
      <c r="D52" s="234">
        <v>8406</v>
      </c>
      <c r="E52" s="234"/>
      <c r="F52" s="234"/>
      <c r="G52" s="234"/>
      <c r="H52" s="227">
        <f t="shared" si="3"/>
        <v>8406</v>
      </c>
      <c r="I52" s="227">
        <v>0</v>
      </c>
      <c r="J52" s="227">
        <v>0</v>
      </c>
      <c r="K52" s="227">
        <v>0</v>
      </c>
      <c r="L52" s="227">
        <f t="shared" si="6"/>
        <v>0</v>
      </c>
      <c r="M52" s="227">
        <f t="shared" si="5"/>
        <v>8406</v>
      </c>
    </row>
    <row r="54" spans="1:13" s="245" customFormat="1" x14ac:dyDescent="0.25">
      <c r="A54" s="243"/>
      <c r="B54" s="244"/>
      <c r="C54" s="225"/>
      <c r="D54" s="246"/>
    </row>
  </sheetData>
  <autoFilter ref="A7:N52"/>
  <mergeCells count="7">
    <mergeCell ref="A1:M1"/>
    <mergeCell ref="A3:A4"/>
    <mergeCell ref="B3:B4"/>
    <mergeCell ref="C3:C4"/>
    <mergeCell ref="D3:H3"/>
    <mergeCell ref="I3:L3"/>
    <mergeCell ref="M3:M4"/>
  </mergeCells>
  <pageMargins left="0.31496062992125984" right="0" top="0" bottom="0" header="0.31496062992125984" footer="0.31496062992125984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S115"/>
  <sheetViews>
    <sheetView zoomScale="70" zoomScaleNormal="70" workbookViewId="0">
      <pane xSplit="3" ySplit="10" topLeftCell="D101" activePane="bottomRight" state="frozen"/>
      <selection activeCell="D83" sqref="D83"/>
      <selection pane="topRight" activeCell="D83" sqref="D83"/>
      <selection pane="bottomLeft" activeCell="D83" sqref="D83"/>
      <selection pane="bottomRight" activeCell="D119" sqref="D119"/>
    </sheetView>
  </sheetViews>
  <sheetFormatPr defaultRowHeight="18.75" outlineLevelCol="1" x14ac:dyDescent="0.25"/>
  <cols>
    <col min="1" max="1" width="7.42578125" style="8" customWidth="1"/>
    <col min="2" max="2" width="13.85546875" style="8" customWidth="1"/>
    <col min="3" max="3" width="35.28515625" style="22" customWidth="1"/>
    <col min="4" max="4" width="13.42578125" style="8" customWidth="1"/>
    <col min="5" max="5" width="10.85546875" style="8" customWidth="1"/>
    <col min="6" max="6" width="11.7109375" style="8" customWidth="1"/>
    <col min="7" max="7" width="12.42578125" style="8" customWidth="1"/>
    <col min="8" max="8" width="10.42578125" style="8" customWidth="1"/>
    <col min="9" max="9" width="11.140625" style="8" customWidth="1"/>
    <col min="10" max="10" width="10" style="8" customWidth="1"/>
    <col min="11" max="11" width="10.5703125" style="8" customWidth="1"/>
    <col min="12" max="12" width="11.5703125" style="8" customWidth="1"/>
    <col min="13" max="13" width="11.28515625" style="8" customWidth="1"/>
    <col min="14" max="14" width="13" style="8" customWidth="1" outlineLevel="1"/>
    <col min="15" max="16" width="9.85546875" style="8" customWidth="1" outlineLevel="1"/>
    <col min="17" max="17" width="11" style="8" customWidth="1" outlineLevel="1"/>
    <col min="18" max="18" width="8.5703125" style="8" customWidth="1" outlineLevel="1"/>
    <col min="19" max="19" width="8.140625" style="8" customWidth="1" outlineLevel="1"/>
    <col min="20" max="16384" width="9.140625" style="8"/>
  </cols>
  <sheetData>
    <row r="1" spans="1:19" s="7" customFormat="1" ht="6" customHeight="1" x14ac:dyDescent="0.25">
      <c r="A1" s="4"/>
      <c r="B1" s="4"/>
      <c r="C1" s="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6"/>
      <c r="R1" s="6"/>
      <c r="S1" s="6"/>
    </row>
    <row r="2" spans="1:19" ht="37.5" customHeight="1" x14ac:dyDescent="0.25">
      <c r="A2" s="624" t="s">
        <v>205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</row>
    <row r="3" spans="1:19" ht="5.25" customHeight="1" x14ac:dyDescent="0.25">
      <c r="A3" s="9"/>
      <c r="B3" s="9"/>
      <c r="C3" s="10" t="s">
        <v>206</v>
      </c>
      <c r="D3" s="11">
        <v>0.54</v>
      </c>
      <c r="E3" s="11"/>
      <c r="F3" s="11"/>
      <c r="G3" s="11"/>
      <c r="H3" s="11"/>
      <c r="I3" s="11"/>
      <c r="J3" s="11"/>
      <c r="K3" s="11"/>
      <c r="L3" s="11"/>
      <c r="M3" s="11"/>
      <c r="N3" s="9"/>
      <c r="O3" s="9"/>
      <c r="P3" s="9"/>
      <c r="Q3" s="9"/>
      <c r="R3" s="9"/>
      <c r="S3" s="9"/>
    </row>
    <row r="4" spans="1:19" ht="18.75" customHeight="1" x14ac:dyDescent="0.25">
      <c r="A4" s="625" t="s">
        <v>0</v>
      </c>
      <c r="B4" s="625" t="s">
        <v>203</v>
      </c>
      <c r="C4" s="625" t="s">
        <v>207</v>
      </c>
      <c r="D4" s="628" t="s">
        <v>208</v>
      </c>
      <c r="E4" s="629"/>
      <c r="F4" s="629"/>
      <c r="G4" s="628" t="s">
        <v>209</v>
      </c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</row>
    <row r="5" spans="1:19" ht="22.5" customHeight="1" x14ac:dyDescent="0.25">
      <c r="A5" s="626"/>
      <c r="B5" s="626"/>
      <c r="C5" s="626"/>
      <c r="D5" s="625" t="s">
        <v>210</v>
      </c>
      <c r="E5" s="630" t="s">
        <v>16</v>
      </c>
      <c r="F5" s="631"/>
      <c r="G5" s="630" t="s">
        <v>211</v>
      </c>
      <c r="H5" s="636"/>
      <c r="I5" s="636"/>
      <c r="J5" s="636"/>
      <c r="K5" s="636"/>
      <c r="L5" s="636"/>
      <c r="M5" s="631"/>
      <c r="N5" s="628" t="s">
        <v>212</v>
      </c>
      <c r="O5" s="629"/>
      <c r="P5" s="629"/>
      <c r="Q5" s="629"/>
      <c r="R5" s="629"/>
      <c r="S5" s="629"/>
    </row>
    <row r="6" spans="1:19" ht="22.5" customHeight="1" x14ac:dyDescent="0.25">
      <c r="A6" s="626"/>
      <c r="B6" s="626"/>
      <c r="C6" s="626"/>
      <c r="D6" s="626"/>
      <c r="E6" s="632"/>
      <c r="F6" s="633"/>
      <c r="G6" s="625" t="s">
        <v>210</v>
      </c>
      <c r="H6" s="630" t="s">
        <v>16</v>
      </c>
      <c r="I6" s="631"/>
      <c r="J6" s="637" t="s">
        <v>213</v>
      </c>
      <c r="K6" s="637"/>
      <c r="L6" s="637"/>
      <c r="M6" s="637"/>
      <c r="N6" s="628" t="s">
        <v>214</v>
      </c>
      <c r="O6" s="629"/>
      <c r="P6" s="629"/>
      <c r="Q6" s="637" t="s">
        <v>215</v>
      </c>
      <c r="R6" s="637"/>
      <c r="S6" s="637"/>
    </row>
    <row r="7" spans="1:19" ht="27" customHeight="1" x14ac:dyDescent="0.25">
      <c r="A7" s="626"/>
      <c r="B7" s="626"/>
      <c r="C7" s="626"/>
      <c r="D7" s="626"/>
      <c r="E7" s="632"/>
      <c r="F7" s="633"/>
      <c r="G7" s="626"/>
      <c r="H7" s="632"/>
      <c r="I7" s="633"/>
      <c r="J7" s="630" t="s">
        <v>216</v>
      </c>
      <c r="K7" s="631"/>
      <c r="L7" s="630" t="s">
        <v>217</v>
      </c>
      <c r="M7" s="631"/>
      <c r="N7" s="625" t="s">
        <v>210</v>
      </c>
      <c r="O7" s="630" t="s">
        <v>16</v>
      </c>
      <c r="P7" s="631"/>
      <c r="Q7" s="625" t="s">
        <v>210</v>
      </c>
      <c r="R7" s="630" t="s">
        <v>16</v>
      </c>
      <c r="S7" s="631"/>
    </row>
    <row r="8" spans="1:19" ht="36" customHeight="1" x14ac:dyDescent="0.25">
      <c r="A8" s="626"/>
      <c r="B8" s="626"/>
      <c r="C8" s="626"/>
      <c r="D8" s="626"/>
      <c r="E8" s="634"/>
      <c r="F8" s="635"/>
      <c r="G8" s="626"/>
      <c r="H8" s="634"/>
      <c r="I8" s="635"/>
      <c r="J8" s="634"/>
      <c r="K8" s="635"/>
      <c r="L8" s="634"/>
      <c r="M8" s="635"/>
      <c r="N8" s="626"/>
      <c r="O8" s="634"/>
      <c r="P8" s="635"/>
      <c r="Q8" s="626"/>
      <c r="R8" s="634"/>
      <c r="S8" s="635"/>
    </row>
    <row r="9" spans="1:19" ht="30" customHeight="1" x14ac:dyDescent="0.25">
      <c r="A9" s="627"/>
      <c r="B9" s="627"/>
      <c r="C9" s="627"/>
      <c r="D9" s="627"/>
      <c r="E9" s="12" t="s">
        <v>218</v>
      </c>
      <c r="F9" s="12" t="s">
        <v>219</v>
      </c>
      <c r="G9" s="627"/>
      <c r="H9" s="12" t="s">
        <v>218</v>
      </c>
      <c r="I9" s="12" t="s">
        <v>219</v>
      </c>
      <c r="J9" s="12" t="s">
        <v>218</v>
      </c>
      <c r="K9" s="12" t="s">
        <v>219</v>
      </c>
      <c r="L9" s="12" t="s">
        <v>218</v>
      </c>
      <c r="M9" s="12" t="s">
        <v>219</v>
      </c>
      <c r="N9" s="627"/>
      <c r="O9" s="12" t="s">
        <v>218</v>
      </c>
      <c r="P9" s="12" t="s">
        <v>219</v>
      </c>
      <c r="Q9" s="627"/>
      <c r="R9" s="12" t="s">
        <v>218</v>
      </c>
      <c r="S9" s="12" t="s">
        <v>219</v>
      </c>
    </row>
    <row r="10" spans="1:19" x14ac:dyDescent="0.25">
      <c r="A10" s="12">
        <v>1</v>
      </c>
      <c r="B10" s="12">
        <v>2</v>
      </c>
      <c r="C10" s="12">
        <v>2</v>
      </c>
      <c r="D10" s="13" t="s">
        <v>220</v>
      </c>
      <c r="E10" s="13" t="s">
        <v>221</v>
      </c>
      <c r="F10" s="13" t="s">
        <v>222</v>
      </c>
      <c r="G10" s="13"/>
      <c r="H10" s="13"/>
      <c r="I10" s="13"/>
      <c r="J10" s="13"/>
      <c r="K10" s="13"/>
      <c r="L10" s="13"/>
      <c r="M10" s="13"/>
      <c r="N10" s="13" t="s">
        <v>223</v>
      </c>
      <c r="O10" s="13" t="s">
        <v>224</v>
      </c>
      <c r="P10" s="13" t="s">
        <v>225</v>
      </c>
      <c r="Q10" s="13" t="s">
        <v>226</v>
      </c>
      <c r="R10" s="13" t="s">
        <v>227</v>
      </c>
      <c r="S10" s="13" t="s">
        <v>228</v>
      </c>
    </row>
    <row r="11" spans="1:19" x14ac:dyDescent="0.25">
      <c r="A11" s="641" t="s">
        <v>1</v>
      </c>
      <c r="B11" s="641"/>
      <c r="C11" s="641"/>
      <c r="D11" s="14">
        <f>D12+D13</f>
        <v>2160730</v>
      </c>
      <c r="E11" s="14">
        <f t="shared" ref="E11:S11" si="0">E12+E13</f>
        <v>1551248</v>
      </c>
      <c r="F11" s="14">
        <f t="shared" si="0"/>
        <v>600278</v>
      </c>
      <c r="G11" s="14">
        <f t="shared" si="0"/>
        <v>195117</v>
      </c>
      <c r="H11" s="14">
        <f t="shared" si="0"/>
        <v>142471</v>
      </c>
      <c r="I11" s="14">
        <f t="shared" si="0"/>
        <v>52646</v>
      </c>
      <c r="J11" s="14">
        <f t="shared" si="0"/>
        <v>57800</v>
      </c>
      <c r="K11" s="14">
        <f t="shared" si="0"/>
        <v>21774</v>
      </c>
      <c r="L11" s="14">
        <f t="shared" si="0"/>
        <v>13751</v>
      </c>
      <c r="M11" s="14">
        <f t="shared" si="0"/>
        <v>4772</v>
      </c>
      <c r="N11" s="14">
        <f t="shared" si="0"/>
        <v>177562</v>
      </c>
      <c r="O11" s="14">
        <f t="shared" si="0"/>
        <v>104488</v>
      </c>
      <c r="P11" s="14">
        <f t="shared" si="0"/>
        <v>73074</v>
      </c>
      <c r="Q11" s="14">
        <f t="shared" si="0"/>
        <v>27145</v>
      </c>
      <c r="R11" s="14">
        <f t="shared" si="0"/>
        <v>24668</v>
      </c>
      <c r="S11" s="14">
        <f t="shared" si="0"/>
        <v>2477</v>
      </c>
    </row>
    <row r="12" spans="1:19" x14ac:dyDescent="0.25">
      <c r="A12" s="638" t="s">
        <v>17</v>
      </c>
      <c r="B12" s="639"/>
      <c r="C12" s="640"/>
      <c r="D12" s="14">
        <v>9204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</row>
    <row r="13" spans="1:19" x14ac:dyDescent="0.25">
      <c r="A13" s="638" t="s">
        <v>18</v>
      </c>
      <c r="B13" s="639"/>
      <c r="C13" s="640"/>
      <c r="D13" s="14">
        <f>SUM(D14:D111)</f>
        <v>2151526</v>
      </c>
      <c r="E13" s="14">
        <f t="shared" ref="E13:S13" si="1">SUM(E14:E111)</f>
        <v>1551248</v>
      </c>
      <c r="F13" s="14">
        <f t="shared" si="1"/>
        <v>600278</v>
      </c>
      <c r="G13" s="14">
        <f t="shared" si="1"/>
        <v>195117</v>
      </c>
      <c r="H13" s="14">
        <f t="shared" si="1"/>
        <v>142471</v>
      </c>
      <c r="I13" s="14">
        <f t="shared" si="1"/>
        <v>52646</v>
      </c>
      <c r="J13" s="14">
        <f t="shared" si="1"/>
        <v>57800</v>
      </c>
      <c r="K13" s="14">
        <f t="shared" si="1"/>
        <v>21774</v>
      </c>
      <c r="L13" s="14">
        <f t="shared" si="1"/>
        <v>13751</v>
      </c>
      <c r="M13" s="14">
        <f t="shared" si="1"/>
        <v>4772</v>
      </c>
      <c r="N13" s="14">
        <f t="shared" si="1"/>
        <v>177562</v>
      </c>
      <c r="O13" s="14">
        <f t="shared" si="1"/>
        <v>104488</v>
      </c>
      <c r="P13" s="14">
        <f t="shared" si="1"/>
        <v>73074</v>
      </c>
      <c r="Q13" s="14">
        <f t="shared" si="1"/>
        <v>27145</v>
      </c>
      <c r="R13" s="14">
        <f t="shared" si="1"/>
        <v>24668</v>
      </c>
      <c r="S13" s="14">
        <f t="shared" si="1"/>
        <v>2477</v>
      </c>
    </row>
    <row r="14" spans="1:19" ht="27" customHeight="1" x14ac:dyDescent="0.25">
      <c r="A14" s="12">
        <v>1</v>
      </c>
      <c r="B14" s="12" t="s">
        <v>19</v>
      </c>
      <c r="C14" s="16" t="s">
        <v>20</v>
      </c>
      <c r="D14" s="12">
        <v>9918</v>
      </c>
      <c r="E14" s="12">
        <v>5881</v>
      </c>
      <c r="F14" s="12">
        <v>4037</v>
      </c>
      <c r="G14" s="12">
        <v>450</v>
      </c>
      <c r="H14" s="12">
        <v>250</v>
      </c>
      <c r="I14" s="12">
        <v>200</v>
      </c>
      <c r="J14" s="12">
        <v>225</v>
      </c>
      <c r="K14" s="12">
        <v>200</v>
      </c>
      <c r="L14" s="12">
        <v>0</v>
      </c>
      <c r="M14" s="12">
        <v>0</v>
      </c>
      <c r="N14" s="12"/>
      <c r="O14" s="12"/>
      <c r="P14" s="12"/>
      <c r="Q14" s="12"/>
      <c r="R14" s="12"/>
      <c r="S14" s="12"/>
    </row>
    <row r="15" spans="1:19" ht="27" customHeight="1" x14ac:dyDescent="0.25">
      <c r="A15" s="12">
        <v>2</v>
      </c>
      <c r="B15" s="12" t="s">
        <v>21</v>
      </c>
      <c r="C15" s="16" t="s">
        <v>153</v>
      </c>
      <c r="D15" s="12">
        <v>10140</v>
      </c>
      <c r="E15" s="12">
        <v>7701</v>
      </c>
      <c r="F15" s="12">
        <v>2439</v>
      </c>
      <c r="G15" s="12">
        <v>1935</v>
      </c>
      <c r="H15" s="12">
        <v>1550</v>
      </c>
      <c r="I15" s="12">
        <v>385</v>
      </c>
      <c r="J15" s="12">
        <v>775</v>
      </c>
      <c r="K15" s="12">
        <v>193</v>
      </c>
      <c r="L15" s="12">
        <v>0</v>
      </c>
      <c r="M15" s="12">
        <v>0</v>
      </c>
      <c r="N15" s="12"/>
      <c r="O15" s="12"/>
      <c r="P15" s="12"/>
      <c r="Q15" s="12"/>
      <c r="R15" s="12"/>
      <c r="S15" s="12"/>
    </row>
    <row r="16" spans="1:19" ht="27" customHeight="1" x14ac:dyDescent="0.25">
      <c r="A16" s="12">
        <v>3</v>
      </c>
      <c r="B16" s="12" t="s">
        <v>22</v>
      </c>
      <c r="C16" s="16" t="s">
        <v>23</v>
      </c>
      <c r="D16" s="12">
        <v>30198</v>
      </c>
      <c r="E16" s="12">
        <v>18887</v>
      </c>
      <c r="F16" s="12">
        <v>11311</v>
      </c>
      <c r="G16" s="12">
        <v>1040</v>
      </c>
      <c r="H16" s="12">
        <v>1010</v>
      </c>
      <c r="I16" s="12">
        <v>30</v>
      </c>
      <c r="J16" s="12">
        <v>481</v>
      </c>
      <c r="K16" s="12">
        <v>15</v>
      </c>
      <c r="L16" s="12">
        <v>24</v>
      </c>
      <c r="M16" s="12">
        <v>0</v>
      </c>
      <c r="N16" s="12"/>
      <c r="O16" s="12"/>
      <c r="P16" s="12"/>
      <c r="Q16" s="12"/>
      <c r="R16" s="12"/>
      <c r="S16" s="12"/>
    </row>
    <row r="17" spans="1:19" ht="27" customHeight="1" x14ac:dyDescent="0.25">
      <c r="A17" s="12">
        <v>4</v>
      </c>
      <c r="B17" s="12" t="s">
        <v>24</v>
      </c>
      <c r="C17" s="16" t="s">
        <v>154</v>
      </c>
      <c r="D17" s="12">
        <v>11179</v>
      </c>
      <c r="E17" s="12">
        <v>7981</v>
      </c>
      <c r="F17" s="12">
        <v>3198</v>
      </c>
      <c r="G17" s="12">
        <v>1984</v>
      </c>
      <c r="H17" s="12">
        <v>1599</v>
      </c>
      <c r="I17" s="12">
        <v>385</v>
      </c>
      <c r="J17" s="12">
        <v>586</v>
      </c>
      <c r="K17" s="12">
        <v>142</v>
      </c>
      <c r="L17" s="12">
        <v>213</v>
      </c>
      <c r="M17" s="12">
        <v>51</v>
      </c>
      <c r="N17" s="12"/>
      <c r="O17" s="12"/>
      <c r="P17" s="12"/>
      <c r="Q17" s="12"/>
      <c r="R17" s="12"/>
      <c r="S17" s="12"/>
    </row>
    <row r="18" spans="1:19" ht="27" customHeight="1" x14ac:dyDescent="0.25">
      <c r="A18" s="12">
        <v>5</v>
      </c>
      <c r="B18" s="12" t="s">
        <v>25</v>
      </c>
      <c r="C18" s="16" t="s">
        <v>26</v>
      </c>
      <c r="D18" s="12">
        <v>11992</v>
      </c>
      <c r="E18" s="12">
        <v>8885</v>
      </c>
      <c r="F18" s="12">
        <v>3107</v>
      </c>
      <c r="G18" s="12">
        <v>1551</v>
      </c>
      <c r="H18" s="12">
        <v>1214</v>
      </c>
      <c r="I18" s="12">
        <v>337</v>
      </c>
      <c r="J18" s="12">
        <v>496</v>
      </c>
      <c r="K18" s="12">
        <v>138</v>
      </c>
      <c r="L18" s="12">
        <v>141</v>
      </c>
      <c r="M18" s="12">
        <v>0</v>
      </c>
      <c r="N18" s="12"/>
      <c r="O18" s="12"/>
      <c r="P18" s="12"/>
      <c r="Q18" s="12"/>
      <c r="R18" s="12"/>
      <c r="S18" s="12"/>
    </row>
    <row r="19" spans="1:19" ht="27" customHeight="1" x14ac:dyDescent="0.25">
      <c r="A19" s="12">
        <v>6</v>
      </c>
      <c r="B19" s="12" t="s">
        <v>4</v>
      </c>
      <c r="C19" s="16" t="s">
        <v>27</v>
      </c>
      <c r="D19" s="12">
        <v>82624</v>
      </c>
      <c r="E19" s="12">
        <v>65315</v>
      </c>
      <c r="F19" s="12">
        <v>17309</v>
      </c>
      <c r="G19" s="12">
        <v>17520</v>
      </c>
      <c r="H19" s="12">
        <v>13130</v>
      </c>
      <c r="I19" s="12">
        <v>4390</v>
      </c>
      <c r="J19" s="12">
        <v>5238</v>
      </c>
      <c r="K19" s="12">
        <v>1751</v>
      </c>
      <c r="L19" s="12">
        <v>1327</v>
      </c>
      <c r="M19" s="12">
        <v>444</v>
      </c>
      <c r="N19" s="12"/>
      <c r="O19" s="12"/>
      <c r="P19" s="12"/>
      <c r="Q19" s="12"/>
      <c r="R19" s="12"/>
      <c r="S19" s="12"/>
    </row>
    <row r="20" spans="1:19" ht="27" customHeight="1" x14ac:dyDescent="0.25">
      <c r="A20" s="12">
        <v>7</v>
      </c>
      <c r="B20" s="12" t="s">
        <v>28</v>
      </c>
      <c r="C20" s="16" t="s">
        <v>155</v>
      </c>
      <c r="D20" s="12">
        <v>29794</v>
      </c>
      <c r="E20" s="12">
        <v>19011</v>
      </c>
      <c r="F20" s="12">
        <v>10783</v>
      </c>
      <c r="G20" s="12">
        <v>2280</v>
      </c>
      <c r="H20" s="12">
        <v>2160</v>
      </c>
      <c r="I20" s="12">
        <v>120</v>
      </c>
      <c r="J20" s="12">
        <v>864</v>
      </c>
      <c r="K20" s="12">
        <v>48</v>
      </c>
      <c r="L20" s="12">
        <v>216</v>
      </c>
      <c r="M20" s="12">
        <v>12</v>
      </c>
      <c r="N20" s="12"/>
      <c r="O20" s="12"/>
      <c r="P20" s="12"/>
      <c r="Q20" s="12"/>
      <c r="R20" s="12"/>
      <c r="S20" s="12"/>
    </row>
    <row r="21" spans="1:19" ht="27" customHeight="1" x14ac:dyDescent="0.25">
      <c r="A21" s="12">
        <v>8</v>
      </c>
      <c r="B21" s="12" t="s">
        <v>29</v>
      </c>
      <c r="C21" s="16" t="s">
        <v>30</v>
      </c>
      <c r="D21" s="12">
        <v>12666</v>
      </c>
      <c r="E21" s="12">
        <v>7845</v>
      </c>
      <c r="F21" s="12">
        <v>4821</v>
      </c>
      <c r="G21" s="12">
        <v>1157</v>
      </c>
      <c r="H21" s="12">
        <v>939</v>
      </c>
      <c r="I21" s="12">
        <v>218</v>
      </c>
      <c r="J21" s="12">
        <v>470</v>
      </c>
      <c r="K21" s="12">
        <v>109</v>
      </c>
      <c r="L21" s="12">
        <v>0</v>
      </c>
      <c r="M21" s="12">
        <v>0</v>
      </c>
      <c r="N21" s="12"/>
      <c r="O21" s="12"/>
      <c r="P21" s="12"/>
      <c r="Q21" s="12"/>
      <c r="R21" s="12"/>
      <c r="S21" s="12"/>
    </row>
    <row r="22" spans="1:19" ht="27" customHeight="1" x14ac:dyDescent="0.25">
      <c r="A22" s="12">
        <v>9</v>
      </c>
      <c r="B22" s="12" t="s">
        <v>31</v>
      </c>
      <c r="C22" s="16" t="s">
        <v>32</v>
      </c>
      <c r="D22" s="12">
        <v>11491</v>
      </c>
      <c r="E22" s="12">
        <v>9026</v>
      </c>
      <c r="F22" s="12">
        <v>2465</v>
      </c>
      <c r="G22" s="12">
        <v>2170</v>
      </c>
      <c r="H22" s="12">
        <v>1370</v>
      </c>
      <c r="I22" s="12">
        <v>800</v>
      </c>
      <c r="J22" s="12">
        <v>517</v>
      </c>
      <c r="K22" s="12">
        <v>302</v>
      </c>
      <c r="L22" s="12">
        <v>168</v>
      </c>
      <c r="M22" s="12">
        <v>98</v>
      </c>
      <c r="N22" s="12"/>
      <c r="O22" s="12"/>
      <c r="P22" s="12"/>
      <c r="Q22" s="12"/>
      <c r="R22" s="12"/>
      <c r="S22" s="12"/>
    </row>
    <row r="23" spans="1:19" ht="27" customHeight="1" x14ac:dyDescent="0.25">
      <c r="A23" s="12">
        <v>10</v>
      </c>
      <c r="B23" s="12" t="s">
        <v>33</v>
      </c>
      <c r="C23" s="16" t="s">
        <v>34</v>
      </c>
      <c r="D23" s="12">
        <v>14086</v>
      </c>
      <c r="E23" s="12">
        <v>8856</v>
      </c>
      <c r="F23" s="12">
        <v>5230</v>
      </c>
      <c r="G23" s="12">
        <v>600</v>
      </c>
      <c r="H23" s="12">
        <v>500</v>
      </c>
      <c r="I23" s="12">
        <v>100</v>
      </c>
      <c r="J23" s="12">
        <v>227</v>
      </c>
      <c r="K23" s="12">
        <v>45</v>
      </c>
      <c r="L23" s="12">
        <v>23</v>
      </c>
      <c r="M23" s="12">
        <v>5</v>
      </c>
      <c r="N23" s="12"/>
      <c r="O23" s="12"/>
      <c r="P23" s="12"/>
      <c r="Q23" s="12"/>
      <c r="R23" s="12"/>
      <c r="S23" s="12"/>
    </row>
    <row r="24" spans="1:19" ht="27" customHeight="1" x14ac:dyDescent="0.25">
      <c r="A24" s="12">
        <v>11</v>
      </c>
      <c r="B24" s="12" t="s">
        <v>35</v>
      </c>
      <c r="C24" s="16" t="s">
        <v>36</v>
      </c>
      <c r="D24" s="12">
        <v>11495</v>
      </c>
      <c r="E24" s="12">
        <v>9026</v>
      </c>
      <c r="F24" s="12">
        <v>2469</v>
      </c>
      <c r="G24" s="12">
        <v>1100</v>
      </c>
      <c r="H24" s="12">
        <v>1100</v>
      </c>
      <c r="I24" s="12">
        <v>0</v>
      </c>
      <c r="J24" s="12">
        <v>485</v>
      </c>
      <c r="K24" s="12">
        <v>0</v>
      </c>
      <c r="L24" s="12">
        <v>65</v>
      </c>
      <c r="M24" s="12">
        <v>0</v>
      </c>
      <c r="N24" s="12"/>
      <c r="O24" s="12"/>
      <c r="P24" s="12"/>
      <c r="Q24" s="12"/>
      <c r="R24" s="12"/>
      <c r="S24" s="12"/>
    </row>
    <row r="25" spans="1:19" ht="27" customHeight="1" x14ac:dyDescent="0.25">
      <c r="A25" s="12">
        <v>12</v>
      </c>
      <c r="B25" s="12" t="s">
        <v>37</v>
      </c>
      <c r="C25" s="16" t="s">
        <v>38</v>
      </c>
      <c r="D25" s="12">
        <v>22895</v>
      </c>
      <c r="E25" s="12">
        <v>17397</v>
      </c>
      <c r="F25" s="12">
        <v>5498</v>
      </c>
      <c r="G25" s="12">
        <v>728</v>
      </c>
      <c r="H25" s="12">
        <v>530</v>
      </c>
      <c r="I25" s="12">
        <v>198</v>
      </c>
      <c r="J25" s="12">
        <v>132</v>
      </c>
      <c r="K25" s="12">
        <v>49</v>
      </c>
      <c r="L25" s="12">
        <v>133</v>
      </c>
      <c r="M25" s="12">
        <v>50</v>
      </c>
      <c r="N25" s="12"/>
      <c r="O25" s="12"/>
      <c r="P25" s="12"/>
      <c r="Q25" s="12"/>
      <c r="R25" s="12"/>
      <c r="S25" s="12"/>
    </row>
    <row r="26" spans="1:19" ht="27" customHeight="1" x14ac:dyDescent="0.25">
      <c r="A26" s="12">
        <v>13</v>
      </c>
      <c r="B26" s="12" t="s">
        <v>39</v>
      </c>
      <c r="C26" s="16" t="s">
        <v>40</v>
      </c>
      <c r="D26" s="12">
        <v>15163</v>
      </c>
      <c r="E26" s="12">
        <v>12192</v>
      </c>
      <c r="F26" s="12">
        <v>2971</v>
      </c>
      <c r="G26" s="12">
        <v>3139</v>
      </c>
      <c r="H26" s="12">
        <v>2282</v>
      </c>
      <c r="I26" s="12">
        <v>857</v>
      </c>
      <c r="J26" s="12">
        <v>780</v>
      </c>
      <c r="K26" s="12">
        <v>294</v>
      </c>
      <c r="L26" s="12">
        <v>360</v>
      </c>
      <c r="M26" s="12">
        <v>135</v>
      </c>
      <c r="N26" s="12"/>
      <c r="O26" s="12"/>
      <c r="P26" s="12"/>
      <c r="Q26" s="12"/>
      <c r="R26" s="12"/>
      <c r="S26" s="12"/>
    </row>
    <row r="27" spans="1:19" ht="27" customHeight="1" x14ac:dyDescent="0.25">
      <c r="A27" s="12">
        <v>14</v>
      </c>
      <c r="B27" s="12" t="s">
        <v>41</v>
      </c>
      <c r="C27" s="16" t="s">
        <v>42</v>
      </c>
      <c r="D27" s="12">
        <v>19777</v>
      </c>
      <c r="E27" s="12">
        <v>11645</v>
      </c>
      <c r="F27" s="12">
        <v>8132</v>
      </c>
      <c r="G27" s="12">
        <v>2447</v>
      </c>
      <c r="H27" s="12">
        <v>1950</v>
      </c>
      <c r="I27" s="12">
        <v>497</v>
      </c>
      <c r="J27" s="12">
        <v>904</v>
      </c>
      <c r="K27" s="12">
        <v>231</v>
      </c>
      <c r="L27" s="12">
        <v>70</v>
      </c>
      <c r="M27" s="12">
        <v>18</v>
      </c>
      <c r="N27" s="12"/>
      <c r="O27" s="12"/>
      <c r="P27" s="12"/>
      <c r="Q27" s="12"/>
      <c r="R27" s="12"/>
      <c r="S27" s="12"/>
    </row>
    <row r="28" spans="1:19" ht="27" customHeight="1" x14ac:dyDescent="0.25">
      <c r="A28" s="12">
        <v>15</v>
      </c>
      <c r="B28" s="12" t="s">
        <v>43</v>
      </c>
      <c r="C28" s="16" t="s">
        <v>156</v>
      </c>
      <c r="D28" s="12">
        <v>28582</v>
      </c>
      <c r="E28" s="12">
        <v>21676</v>
      </c>
      <c r="F28" s="12">
        <v>6906</v>
      </c>
      <c r="G28" s="12">
        <v>3050</v>
      </c>
      <c r="H28" s="12">
        <v>1950</v>
      </c>
      <c r="I28" s="12">
        <v>1100</v>
      </c>
      <c r="J28" s="12">
        <v>845</v>
      </c>
      <c r="K28" s="12">
        <v>477</v>
      </c>
      <c r="L28" s="12">
        <v>130</v>
      </c>
      <c r="M28" s="12">
        <v>73</v>
      </c>
      <c r="N28" s="12"/>
      <c r="O28" s="12"/>
      <c r="P28" s="12"/>
      <c r="Q28" s="12"/>
      <c r="R28" s="12"/>
      <c r="S28" s="12"/>
    </row>
    <row r="29" spans="1:19" ht="27" customHeight="1" x14ac:dyDescent="0.25">
      <c r="A29" s="12">
        <v>16</v>
      </c>
      <c r="B29" s="12" t="s">
        <v>44</v>
      </c>
      <c r="C29" s="16" t="s">
        <v>45</v>
      </c>
      <c r="D29" s="12">
        <v>52770</v>
      </c>
      <c r="E29" s="12">
        <v>39685</v>
      </c>
      <c r="F29" s="12">
        <v>13085</v>
      </c>
      <c r="G29" s="12">
        <v>7625</v>
      </c>
      <c r="H29" s="12">
        <v>4360</v>
      </c>
      <c r="I29" s="12">
        <v>3265</v>
      </c>
      <c r="J29" s="12">
        <v>1561</v>
      </c>
      <c r="K29" s="12">
        <v>1593</v>
      </c>
      <c r="L29" s="12">
        <v>318</v>
      </c>
      <c r="M29" s="12">
        <v>190</v>
      </c>
      <c r="N29" s="12"/>
      <c r="O29" s="12"/>
      <c r="P29" s="12"/>
      <c r="Q29" s="12"/>
      <c r="R29" s="12"/>
      <c r="S29" s="12"/>
    </row>
    <row r="30" spans="1:19" ht="27" customHeight="1" x14ac:dyDescent="0.25">
      <c r="A30" s="12">
        <v>17</v>
      </c>
      <c r="B30" s="12" t="s">
        <v>46</v>
      </c>
      <c r="C30" s="16" t="s">
        <v>47</v>
      </c>
      <c r="D30" s="12">
        <v>8956</v>
      </c>
      <c r="E30" s="12">
        <v>5724</v>
      </c>
      <c r="F30" s="12">
        <v>3232</v>
      </c>
      <c r="G30" s="12">
        <v>1387</v>
      </c>
      <c r="H30" s="12">
        <v>900</v>
      </c>
      <c r="I30" s="12">
        <v>487</v>
      </c>
      <c r="J30" s="12">
        <v>333</v>
      </c>
      <c r="K30" s="12">
        <v>181</v>
      </c>
      <c r="L30" s="12">
        <v>116</v>
      </c>
      <c r="M30" s="12">
        <v>63</v>
      </c>
      <c r="N30" s="12"/>
      <c r="O30" s="12"/>
      <c r="P30" s="12"/>
      <c r="Q30" s="12"/>
      <c r="R30" s="12"/>
      <c r="S30" s="12"/>
    </row>
    <row r="31" spans="1:19" ht="27" customHeight="1" x14ac:dyDescent="0.25">
      <c r="A31" s="12">
        <v>18</v>
      </c>
      <c r="B31" s="12" t="s">
        <v>48</v>
      </c>
      <c r="C31" s="16" t="s">
        <v>157</v>
      </c>
      <c r="D31" s="12">
        <v>7118</v>
      </c>
      <c r="E31" s="12">
        <v>5842</v>
      </c>
      <c r="F31" s="12">
        <v>1276</v>
      </c>
      <c r="G31" s="12">
        <v>741</v>
      </c>
      <c r="H31" s="12">
        <v>646</v>
      </c>
      <c r="I31" s="12">
        <v>95</v>
      </c>
      <c r="J31" s="12">
        <v>76</v>
      </c>
      <c r="K31" s="12">
        <v>12</v>
      </c>
      <c r="L31" s="12">
        <v>246</v>
      </c>
      <c r="M31" s="12">
        <v>36</v>
      </c>
      <c r="N31" s="12"/>
      <c r="O31" s="12"/>
      <c r="P31" s="12"/>
      <c r="Q31" s="12"/>
      <c r="R31" s="12"/>
      <c r="S31" s="12"/>
    </row>
    <row r="32" spans="1:19" ht="27" customHeight="1" x14ac:dyDescent="0.25">
      <c r="A32" s="12">
        <v>19</v>
      </c>
      <c r="B32" s="12" t="s">
        <v>49</v>
      </c>
      <c r="C32" s="16" t="s">
        <v>50</v>
      </c>
      <c r="D32" s="12">
        <v>36786</v>
      </c>
      <c r="E32" s="12">
        <v>24023</v>
      </c>
      <c r="F32" s="12">
        <v>12763</v>
      </c>
      <c r="G32" s="12">
        <v>6686</v>
      </c>
      <c r="H32" s="12">
        <v>4973</v>
      </c>
      <c r="I32" s="12">
        <v>1713</v>
      </c>
      <c r="J32" s="12">
        <v>1980</v>
      </c>
      <c r="K32" s="12">
        <v>683</v>
      </c>
      <c r="L32" s="12">
        <v>506</v>
      </c>
      <c r="M32" s="12">
        <v>174</v>
      </c>
      <c r="N32" s="12"/>
      <c r="O32" s="17"/>
      <c r="P32" s="17"/>
      <c r="Q32" s="12"/>
      <c r="R32" s="17"/>
      <c r="S32" s="17"/>
    </row>
    <row r="33" spans="1:19" ht="27" customHeight="1" x14ac:dyDescent="0.25">
      <c r="A33" s="12">
        <v>20</v>
      </c>
      <c r="B33" s="12" t="s">
        <v>51</v>
      </c>
      <c r="C33" s="16" t="s">
        <v>52</v>
      </c>
      <c r="D33" s="12">
        <v>32540</v>
      </c>
      <c r="E33" s="12">
        <v>20505</v>
      </c>
      <c r="F33" s="12">
        <v>12035</v>
      </c>
      <c r="G33" s="12">
        <v>1802</v>
      </c>
      <c r="H33" s="12">
        <v>435</v>
      </c>
      <c r="I33" s="12">
        <v>1367</v>
      </c>
      <c r="J33" s="12">
        <v>200</v>
      </c>
      <c r="K33" s="12">
        <v>630</v>
      </c>
      <c r="L33" s="12">
        <v>17</v>
      </c>
      <c r="M33" s="12">
        <v>54</v>
      </c>
      <c r="N33" s="12"/>
      <c r="O33" s="12"/>
      <c r="P33" s="12"/>
      <c r="Q33" s="12"/>
      <c r="R33" s="12"/>
      <c r="S33" s="12"/>
    </row>
    <row r="34" spans="1:19" ht="27" customHeight="1" x14ac:dyDescent="0.25">
      <c r="A34" s="12">
        <v>21</v>
      </c>
      <c r="B34" s="12" t="s">
        <v>53</v>
      </c>
      <c r="C34" s="16" t="s">
        <v>229</v>
      </c>
      <c r="D34" s="12">
        <v>7624</v>
      </c>
      <c r="E34" s="12">
        <v>4859</v>
      </c>
      <c r="F34" s="12">
        <v>2765</v>
      </c>
      <c r="G34" s="12">
        <v>1610</v>
      </c>
      <c r="H34" s="12">
        <v>1264</v>
      </c>
      <c r="I34" s="12">
        <v>346</v>
      </c>
      <c r="J34" s="12">
        <v>631</v>
      </c>
      <c r="K34" s="12">
        <v>173</v>
      </c>
      <c r="L34" s="12">
        <v>0</v>
      </c>
      <c r="M34" s="12">
        <v>0</v>
      </c>
      <c r="N34" s="12"/>
      <c r="O34" s="12"/>
      <c r="P34" s="12"/>
      <c r="Q34" s="12"/>
      <c r="R34" s="12"/>
      <c r="S34" s="12"/>
    </row>
    <row r="35" spans="1:19" ht="27" customHeight="1" x14ac:dyDescent="0.25">
      <c r="A35" s="12">
        <v>22</v>
      </c>
      <c r="B35" s="12" t="s">
        <v>6</v>
      </c>
      <c r="C35" s="16" t="s">
        <v>230</v>
      </c>
      <c r="D35" s="12">
        <v>73198</v>
      </c>
      <c r="E35" s="12">
        <v>69864</v>
      </c>
      <c r="F35" s="12">
        <v>3334</v>
      </c>
      <c r="G35" s="12"/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19661</v>
      </c>
      <c r="O35" s="12">
        <v>19661</v>
      </c>
      <c r="P35" s="12"/>
      <c r="Q35" s="12"/>
      <c r="R35" s="12"/>
      <c r="S35" s="12"/>
    </row>
    <row r="36" spans="1:19" ht="27" customHeight="1" x14ac:dyDescent="0.25">
      <c r="A36" s="12">
        <v>23</v>
      </c>
      <c r="B36" s="12" t="s">
        <v>5</v>
      </c>
      <c r="C36" s="16" t="s">
        <v>231</v>
      </c>
      <c r="D36" s="12">
        <v>56484</v>
      </c>
      <c r="E36" s="12">
        <v>43855</v>
      </c>
      <c r="F36" s="12">
        <v>12629</v>
      </c>
      <c r="G36" s="12">
        <v>2304</v>
      </c>
      <c r="H36" s="12">
        <v>1995</v>
      </c>
      <c r="I36" s="12">
        <v>309</v>
      </c>
      <c r="J36" s="12">
        <v>451</v>
      </c>
      <c r="K36" s="12">
        <v>155</v>
      </c>
      <c r="L36" s="12">
        <v>1093</v>
      </c>
      <c r="M36" s="12">
        <v>0</v>
      </c>
      <c r="N36" s="12"/>
      <c r="O36" s="12"/>
      <c r="P36" s="12"/>
      <c r="Q36" s="12"/>
      <c r="R36" s="12"/>
      <c r="S36" s="12"/>
    </row>
    <row r="37" spans="1:19" ht="27" customHeight="1" x14ac:dyDescent="0.25">
      <c r="A37" s="12">
        <v>24</v>
      </c>
      <c r="B37" s="12" t="s">
        <v>54</v>
      </c>
      <c r="C37" s="16" t="s">
        <v>232</v>
      </c>
      <c r="D37" s="12">
        <v>28775</v>
      </c>
      <c r="E37" s="12">
        <v>0</v>
      </c>
      <c r="F37" s="12">
        <v>28775</v>
      </c>
      <c r="G37" s="12"/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14691</v>
      </c>
      <c r="O37" s="12"/>
      <c r="P37" s="12">
        <v>14691</v>
      </c>
      <c r="Q37" s="12"/>
      <c r="R37" s="12"/>
      <c r="S37" s="12"/>
    </row>
    <row r="38" spans="1:19" ht="27" customHeight="1" x14ac:dyDescent="0.25">
      <c r="A38" s="12">
        <v>25</v>
      </c>
      <c r="B38" s="12" t="s">
        <v>170</v>
      </c>
      <c r="C38" s="16" t="s">
        <v>171</v>
      </c>
      <c r="D38" s="12">
        <v>11000</v>
      </c>
      <c r="E38" s="12">
        <v>9430</v>
      </c>
      <c r="F38" s="12">
        <v>1570</v>
      </c>
      <c r="G38" s="12">
        <v>11000</v>
      </c>
      <c r="H38" s="12">
        <v>9430</v>
      </c>
      <c r="I38" s="12">
        <v>1570</v>
      </c>
      <c r="J38" s="12">
        <v>3583</v>
      </c>
      <c r="K38" s="12">
        <v>597</v>
      </c>
      <c r="L38" s="12">
        <v>1132</v>
      </c>
      <c r="M38" s="12">
        <v>188</v>
      </c>
      <c r="N38" s="12"/>
      <c r="O38" s="17"/>
      <c r="P38" s="17"/>
      <c r="Q38" s="12"/>
      <c r="R38" s="17"/>
      <c r="S38" s="17"/>
    </row>
    <row r="39" spans="1:19" ht="27" customHeight="1" x14ac:dyDescent="0.25">
      <c r="A39" s="12">
        <v>26</v>
      </c>
      <c r="B39" s="12" t="s">
        <v>55</v>
      </c>
      <c r="C39" s="16" t="s">
        <v>233</v>
      </c>
      <c r="D39" s="12">
        <v>3272</v>
      </c>
      <c r="E39" s="12">
        <v>3272</v>
      </c>
      <c r="F39" s="12">
        <v>0</v>
      </c>
      <c r="G39" s="12"/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/>
      <c r="O39" s="12"/>
      <c r="P39" s="12"/>
      <c r="Q39" s="12"/>
      <c r="R39" s="12"/>
      <c r="S39" s="12"/>
    </row>
    <row r="40" spans="1:19" ht="27" customHeight="1" x14ac:dyDescent="0.25">
      <c r="A40" s="12">
        <v>27</v>
      </c>
      <c r="B40" s="12" t="s">
        <v>56</v>
      </c>
      <c r="C40" s="16" t="s">
        <v>57</v>
      </c>
      <c r="D40" s="12">
        <v>44599</v>
      </c>
      <c r="E40" s="12">
        <v>37399</v>
      </c>
      <c r="F40" s="12">
        <v>7200</v>
      </c>
      <c r="G40" s="12">
        <v>6270</v>
      </c>
      <c r="H40" s="12">
        <v>5450</v>
      </c>
      <c r="I40" s="12">
        <v>820</v>
      </c>
      <c r="J40" s="12">
        <v>2102</v>
      </c>
      <c r="K40" s="12">
        <v>316</v>
      </c>
      <c r="L40" s="12">
        <v>623</v>
      </c>
      <c r="M40" s="12">
        <v>94</v>
      </c>
      <c r="N40" s="12"/>
      <c r="O40" s="12"/>
      <c r="P40" s="12"/>
      <c r="Q40" s="12"/>
      <c r="R40" s="12"/>
      <c r="S40" s="12"/>
    </row>
    <row r="41" spans="1:19" ht="27" customHeight="1" x14ac:dyDescent="0.25">
      <c r="A41" s="12">
        <v>28</v>
      </c>
      <c r="B41" s="12" t="s">
        <v>58</v>
      </c>
      <c r="C41" s="16" t="s">
        <v>59</v>
      </c>
      <c r="D41" s="12">
        <v>65882</v>
      </c>
      <c r="E41" s="12">
        <v>41908</v>
      </c>
      <c r="F41" s="12">
        <v>23974</v>
      </c>
      <c r="G41" s="12">
        <v>6851</v>
      </c>
      <c r="H41" s="12">
        <v>3180</v>
      </c>
      <c r="I41" s="12">
        <v>3671</v>
      </c>
      <c r="J41" s="12">
        <v>1180</v>
      </c>
      <c r="K41" s="12">
        <v>1364</v>
      </c>
      <c r="L41" s="12">
        <v>409</v>
      </c>
      <c r="M41" s="12">
        <v>472</v>
      </c>
      <c r="N41" s="12"/>
      <c r="O41" s="12"/>
      <c r="P41" s="12"/>
      <c r="Q41" s="12"/>
      <c r="R41" s="12"/>
      <c r="S41" s="12"/>
    </row>
    <row r="42" spans="1:19" ht="27" customHeight="1" x14ac:dyDescent="0.25">
      <c r="A42" s="12">
        <v>29</v>
      </c>
      <c r="B42" s="12" t="s">
        <v>60</v>
      </c>
      <c r="C42" s="16" t="s">
        <v>61</v>
      </c>
      <c r="D42" s="12">
        <v>13035</v>
      </c>
      <c r="E42" s="12">
        <v>12620</v>
      </c>
      <c r="F42" s="12">
        <v>415</v>
      </c>
      <c r="G42" s="12"/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/>
      <c r="O42" s="12"/>
      <c r="P42" s="12"/>
      <c r="Q42" s="12"/>
      <c r="R42" s="12"/>
      <c r="S42" s="12"/>
    </row>
    <row r="43" spans="1:19" ht="27" customHeight="1" x14ac:dyDescent="0.25">
      <c r="A43" s="12">
        <v>30</v>
      </c>
      <c r="B43" s="12" t="s">
        <v>62</v>
      </c>
      <c r="C43" s="16" t="s">
        <v>63</v>
      </c>
      <c r="D43" s="12">
        <v>43575</v>
      </c>
      <c r="E43" s="12">
        <v>31891</v>
      </c>
      <c r="F43" s="12">
        <v>11684</v>
      </c>
      <c r="G43" s="12">
        <v>6181</v>
      </c>
      <c r="H43" s="12">
        <v>3875</v>
      </c>
      <c r="I43" s="12">
        <v>2306</v>
      </c>
      <c r="J43" s="12">
        <v>1036</v>
      </c>
      <c r="K43" s="12">
        <v>617</v>
      </c>
      <c r="L43" s="12">
        <v>901</v>
      </c>
      <c r="M43" s="12">
        <v>536</v>
      </c>
      <c r="N43" s="12"/>
      <c r="O43" s="12"/>
      <c r="P43" s="12"/>
      <c r="Q43" s="12"/>
      <c r="R43" s="12"/>
      <c r="S43" s="12"/>
    </row>
    <row r="44" spans="1:19" ht="27" customHeight="1" x14ac:dyDescent="0.25">
      <c r="A44" s="12">
        <v>31</v>
      </c>
      <c r="B44" s="12" t="s">
        <v>64</v>
      </c>
      <c r="C44" s="16" t="s">
        <v>65</v>
      </c>
      <c r="D44" s="12">
        <v>16630</v>
      </c>
      <c r="E44" s="12">
        <v>14613</v>
      </c>
      <c r="F44" s="12">
        <v>2017</v>
      </c>
      <c r="G44" s="12">
        <v>1108</v>
      </c>
      <c r="H44" s="12">
        <v>992</v>
      </c>
      <c r="I44" s="12">
        <v>116</v>
      </c>
      <c r="J44" s="12">
        <v>340</v>
      </c>
      <c r="K44" s="12">
        <v>34</v>
      </c>
      <c r="L44" s="12">
        <v>156</v>
      </c>
      <c r="M44" s="12">
        <v>24</v>
      </c>
      <c r="N44" s="12"/>
      <c r="O44" s="12"/>
      <c r="P44" s="12"/>
      <c r="Q44" s="12"/>
      <c r="R44" s="12"/>
      <c r="S44" s="12"/>
    </row>
    <row r="45" spans="1:19" ht="27" customHeight="1" x14ac:dyDescent="0.25">
      <c r="A45" s="12">
        <v>32</v>
      </c>
      <c r="B45" s="12" t="s">
        <v>66</v>
      </c>
      <c r="C45" s="16" t="s">
        <v>158</v>
      </c>
      <c r="D45" s="12">
        <v>41084</v>
      </c>
      <c r="E45" s="12">
        <v>28935</v>
      </c>
      <c r="F45" s="12">
        <v>12149</v>
      </c>
      <c r="G45" s="12">
        <v>5600</v>
      </c>
      <c r="H45" s="12">
        <v>3800</v>
      </c>
      <c r="I45" s="12">
        <v>1800</v>
      </c>
      <c r="J45" s="12">
        <v>1491</v>
      </c>
      <c r="K45" s="12">
        <v>706</v>
      </c>
      <c r="L45" s="12">
        <v>409</v>
      </c>
      <c r="M45" s="12">
        <v>194</v>
      </c>
      <c r="N45" s="12"/>
      <c r="O45" s="12"/>
      <c r="P45" s="12"/>
      <c r="Q45" s="12"/>
      <c r="R45" s="12"/>
      <c r="S45" s="12"/>
    </row>
    <row r="46" spans="1:19" ht="27" customHeight="1" x14ac:dyDescent="0.25">
      <c r="A46" s="12">
        <v>33</v>
      </c>
      <c r="B46" s="13" t="s">
        <v>67</v>
      </c>
      <c r="C46" s="16" t="s">
        <v>159</v>
      </c>
      <c r="D46" s="12">
        <v>15222</v>
      </c>
      <c r="E46" s="12">
        <v>9524</v>
      </c>
      <c r="F46" s="12">
        <v>5698</v>
      </c>
      <c r="G46" s="12">
        <v>1198</v>
      </c>
      <c r="H46" s="12">
        <v>870</v>
      </c>
      <c r="I46" s="12">
        <v>328</v>
      </c>
      <c r="J46" s="12">
        <v>201</v>
      </c>
      <c r="K46" s="12">
        <v>76</v>
      </c>
      <c r="L46" s="12">
        <v>234</v>
      </c>
      <c r="M46" s="12">
        <v>88</v>
      </c>
      <c r="N46" s="12"/>
      <c r="O46" s="12"/>
      <c r="P46" s="12"/>
      <c r="Q46" s="12"/>
      <c r="R46" s="12"/>
      <c r="S46" s="12"/>
    </row>
    <row r="47" spans="1:19" ht="27" customHeight="1" x14ac:dyDescent="0.25">
      <c r="A47" s="12">
        <v>34</v>
      </c>
      <c r="B47" s="12" t="s">
        <v>68</v>
      </c>
      <c r="C47" s="16" t="s">
        <v>160</v>
      </c>
      <c r="D47" s="12">
        <v>9647</v>
      </c>
      <c r="E47" s="12">
        <v>7241</v>
      </c>
      <c r="F47" s="12">
        <v>2406</v>
      </c>
      <c r="G47" s="12">
        <v>5</v>
      </c>
      <c r="H47" s="12">
        <v>5</v>
      </c>
      <c r="I47" s="12">
        <v>0</v>
      </c>
      <c r="J47" s="12">
        <v>1</v>
      </c>
      <c r="K47" s="12">
        <v>0</v>
      </c>
      <c r="L47" s="12">
        <v>2</v>
      </c>
      <c r="M47" s="12">
        <v>0</v>
      </c>
      <c r="N47" s="12"/>
      <c r="O47" s="12"/>
      <c r="P47" s="12"/>
      <c r="Q47" s="12"/>
      <c r="R47" s="17"/>
      <c r="S47" s="17"/>
    </row>
    <row r="48" spans="1:19" ht="27" customHeight="1" x14ac:dyDescent="0.25">
      <c r="A48" s="12">
        <v>35</v>
      </c>
      <c r="B48" s="12" t="s">
        <v>69</v>
      </c>
      <c r="C48" s="16" t="s">
        <v>70</v>
      </c>
      <c r="D48" s="12">
        <v>16020</v>
      </c>
      <c r="E48" s="12">
        <v>13987</v>
      </c>
      <c r="F48" s="12">
        <v>2033</v>
      </c>
      <c r="G48" s="12">
        <v>828</v>
      </c>
      <c r="H48" s="12">
        <v>332</v>
      </c>
      <c r="I48" s="12">
        <v>496</v>
      </c>
      <c r="J48" s="12">
        <v>137</v>
      </c>
      <c r="K48" s="12">
        <v>205</v>
      </c>
      <c r="L48" s="12">
        <v>29</v>
      </c>
      <c r="M48" s="12">
        <v>43</v>
      </c>
      <c r="N48" s="12"/>
      <c r="O48" s="17"/>
      <c r="P48" s="17"/>
      <c r="Q48" s="12"/>
      <c r="R48" s="17"/>
      <c r="S48" s="17"/>
    </row>
    <row r="49" spans="1:19" ht="27" customHeight="1" x14ac:dyDescent="0.25">
      <c r="A49" s="12">
        <v>36</v>
      </c>
      <c r="B49" s="12" t="s">
        <v>174</v>
      </c>
      <c r="C49" s="16" t="s">
        <v>175</v>
      </c>
      <c r="D49" s="12">
        <v>7754</v>
      </c>
      <c r="E49" s="12">
        <v>5626</v>
      </c>
      <c r="F49" s="12">
        <v>2128</v>
      </c>
      <c r="G49" s="12">
        <v>28</v>
      </c>
      <c r="H49" s="12">
        <v>15</v>
      </c>
      <c r="I49" s="12">
        <v>13</v>
      </c>
      <c r="J49" s="12">
        <v>8</v>
      </c>
      <c r="K49" s="12">
        <v>1</v>
      </c>
      <c r="L49" s="12">
        <v>5</v>
      </c>
      <c r="M49" s="12">
        <v>1</v>
      </c>
      <c r="N49" s="12"/>
      <c r="O49" s="12"/>
      <c r="P49" s="12"/>
      <c r="Q49" s="12"/>
      <c r="R49" s="12"/>
      <c r="S49" s="12"/>
    </row>
    <row r="50" spans="1:19" ht="27" customHeight="1" x14ac:dyDescent="0.25">
      <c r="A50" s="12">
        <v>37</v>
      </c>
      <c r="B50" s="12" t="s">
        <v>71</v>
      </c>
      <c r="C50" s="16" t="s">
        <v>234</v>
      </c>
      <c r="D50" s="12">
        <v>825</v>
      </c>
      <c r="E50" s="12">
        <v>825</v>
      </c>
      <c r="F50" s="12">
        <v>0</v>
      </c>
      <c r="G50" s="12">
        <v>100</v>
      </c>
      <c r="H50" s="12">
        <v>100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/>
      <c r="O50" s="12"/>
      <c r="P50" s="12"/>
      <c r="Q50" s="12"/>
      <c r="R50" s="12"/>
      <c r="S50" s="12"/>
    </row>
    <row r="51" spans="1:19" ht="27" customHeight="1" x14ac:dyDescent="0.25">
      <c r="A51" s="12">
        <v>38</v>
      </c>
      <c r="B51" s="12" t="s">
        <v>72</v>
      </c>
      <c r="C51" s="16" t="s">
        <v>73</v>
      </c>
      <c r="D51" s="12">
        <v>54570</v>
      </c>
      <c r="E51" s="12">
        <v>37293</v>
      </c>
      <c r="F51" s="12">
        <v>17277</v>
      </c>
      <c r="G51" s="12">
        <v>3000</v>
      </c>
      <c r="H51" s="12">
        <v>2760</v>
      </c>
      <c r="I51" s="12">
        <v>240</v>
      </c>
      <c r="J51" s="12">
        <v>1173</v>
      </c>
      <c r="K51" s="12">
        <v>102</v>
      </c>
      <c r="L51" s="12">
        <v>207</v>
      </c>
      <c r="M51" s="12">
        <v>18</v>
      </c>
      <c r="N51" s="12"/>
      <c r="O51" s="12"/>
      <c r="P51" s="12"/>
      <c r="Q51" s="12"/>
      <c r="R51" s="12"/>
      <c r="S51" s="12"/>
    </row>
    <row r="52" spans="1:19" ht="27" customHeight="1" x14ac:dyDescent="0.25">
      <c r="A52" s="12">
        <v>39</v>
      </c>
      <c r="B52" s="12" t="s">
        <v>74</v>
      </c>
      <c r="C52" s="16" t="s">
        <v>161</v>
      </c>
      <c r="D52" s="12">
        <v>13957</v>
      </c>
      <c r="E52" s="12">
        <v>10470</v>
      </c>
      <c r="F52" s="12">
        <v>3487</v>
      </c>
      <c r="G52" s="12">
        <v>3108</v>
      </c>
      <c r="H52" s="12">
        <v>2664</v>
      </c>
      <c r="I52" s="12">
        <v>444</v>
      </c>
      <c r="J52" s="12">
        <v>1165</v>
      </c>
      <c r="K52" s="12">
        <v>194</v>
      </c>
      <c r="L52" s="12">
        <v>167</v>
      </c>
      <c r="M52" s="12">
        <v>28</v>
      </c>
      <c r="N52" s="12"/>
      <c r="O52" s="12"/>
      <c r="P52" s="12"/>
      <c r="Q52" s="12"/>
      <c r="R52" s="12"/>
      <c r="S52" s="12"/>
    </row>
    <row r="53" spans="1:19" ht="27" customHeight="1" x14ac:dyDescent="0.25">
      <c r="A53" s="12">
        <v>40</v>
      </c>
      <c r="B53" s="12" t="s">
        <v>75</v>
      </c>
      <c r="C53" s="16" t="s">
        <v>76</v>
      </c>
      <c r="D53" s="12">
        <v>47017</v>
      </c>
      <c r="E53" s="12">
        <v>36201</v>
      </c>
      <c r="F53" s="12">
        <v>10816</v>
      </c>
      <c r="G53" s="12">
        <v>2057</v>
      </c>
      <c r="H53" s="12">
        <v>1652</v>
      </c>
      <c r="I53" s="12">
        <v>405</v>
      </c>
      <c r="J53" s="12">
        <v>659</v>
      </c>
      <c r="K53" s="12">
        <v>162</v>
      </c>
      <c r="L53" s="12">
        <v>167</v>
      </c>
      <c r="M53" s="12">
        <v>41</v>
      </c>
      <c r="N53" s="12"/>
      <c r="O53" s="12"/>
      <c r="P53" s="12"/>
      <c r="Q53" s="12"/>
      <c r="R53" s="12"/>
      <c r="S53" s="12"/>
    </row>
    <row r="54" spans="1:19" ht="27" customHeight="1" x14ac:dyDescent="0.25">
      <c r="A54" s="12">
        <v>41</v>
      </c>
      <c r="B54" s="12" t="s">
        <v>77</v>
      </c>
      <c r="C54" s="16" t="s">
        <v>78</v>
      </c>
      <c r="D54" s="12">
        <v>10633</v>
      </c>
      <c r="E54" s="12">
        <v>7190</v>
      </c>
      <c r="F54" s="12">
        <v>3443</v>
      </c>
      <c r="G54" s="12">
        <v>1200</v>
      </c>
      <c r="H54" s="12">
        <v>600</v>
      </c>
      <c r="I54" s="12">
        <v>600</v>
      </c>
      <c r="J54" s="12">
        <v>300</v>
      </c>
      <c r="K54" s="12">
        <v>300</v>
      </c>
      <c r="L54" s="12">
        <v>0</v>
      </c>
      <c r="M54" s="12">
        <v>0</v>
      </c>
      <c r="N54" s="12"/>
      <c r="O54" s="12"/>
      <c r="P54" s="12"/>
      <c r="Q54" s="12"/>
      <c r="R54" s="12"/>
      <c r="S54" s="12"/>
    </row>
    <row r="55" spans="1:19" ht="27" customHeight="1" x14ac:dyDescent="0.25">
      <c r="A55" s="12">
        <v>42</v>
      </c>
      <c r="B55" s="12" t="s">
        <v>79</v>
      </c>
      <c r="C55" s="16" t="s">
        <v>162</v>
      </c>
      <c r="D55" s="12">
        <v>16381</v>
      </c>
      <c r="E55" s="12">
        <v>10941</v>
      </c>
      <c r="F55" s="12">
        <v>5440</v>
      </c>
      <c r="G55" s="12">
        <v>5541</v>
      </c>
      <c r="H55" s="12">
        <v>3741</v>
      </c>
      <c r="I55" s="12">
        <v>1800</v>
      </c>
      <c r="J55" s="12">
        <v>1361</v>
      </c>
      <c r="K55" s="12">
        <v>655</v>
      </c>
      <c r="L55" s="12">
        <v>510</v>
      </c>
      <c r="M55" s="12">
        <v>245</v>
      </c>
      <c r="N55" s="12"/>
      <c r="O55" s="12"/>
      <c r="P55" s="12"/>
      <c r="Q55" s="12"/>
      <c r="R55" s="12"/>
      <c r="S55" s="12"/>
    </row>
    <row r="56" spans="1:19" ht="27" customHeight="1" x14ac:dyDescent="0.25">
      <c r="A56" s="12">
        <v>43</v>
      </c>
      <c r="B56" s="12" t="s">
        <v>80</v>
      </c>
      <c r="C56" s="16" t="s">
        <v>81</v>
      </c>
      <c r="D56" s="12">
        <v>19366</v>
      </c>
      <c r="E56" s="12">
        <v>15710</v>
      </c>
      <c r="F56" s="12">
        <v>3656</v>
      </c>
      <c r="G56" s="12">
        <v>1997</v>
      </c>
      <c r="H56" s="12">
        <v>1644</v>
      </c>
      <c r="I56" s="12">
        <v>353</v>
      </c>
      <c r="J56" s="12">
        <v>410</v>
      </c>
      <c r="K56" s="12">
        <v>89</v>
      </c>
      <c r="L56" s="12">
        <v>411</v>
      </c>
      <c r="M56" s="12">
        <v>88</v>
      </c>
      <c r="N56" s="12"/>
      <c r="O56" s="12"/>
      <c r="P56" s="12"/>
      <c r="Q56" s="12"/>
      <c r="R56" s="12"/>
      <c r="S56" s="12"/>
    </row>
    <row r="57" spans="1:19" ht="27" customHeight="1" x14ac:dyDescent="0.25">
      <c r="A57" s="12">
        <v>44</v>
      </c>
      <c r="B57" s="12" t="s">
        <v>82</v>
      </c>
      <c r="C57" s="16" t="s">
        <v>83</v>
      </c>
      <c r="D57" s="12">
        <v>6630</v>
      </c>
      <c r="E57" s="12">
        <v>4575</v>
      </c>
      <c r="F57" s="12">
        <v>2055</v>
      </c>
      <c r="G57" s="12">
        <v>234</v>
      </c>
      <c r="H57" s="12">
        <v>154</v>
      </c>
      <c r="I57" s="12">
        <v>80</v>
      </c>
      <c r="J57" s="12">
        <v>62</v>
      </c>
      <c r="K57" s="12">
        <v>32</v>
      </c>
      <c r="L57" s="12">
        <v>15</v>
      </c>
      <c r="M57" s="12">
        <v>8</v>
      </c>
      <c r="N57" s="12"/>
      <c r="O57" s="12"/>
      <c r="P57" s="12"/>
      <c r="Q57" s="12"/>
      <c r="R57" s="12"/>
      <c r="S57" s="12"/>
    </row>
    <row r="58" spans="1:19" ht="27" customHeight="1" x14ac:dyDescent="0.25">
      <c r="A58" s="12">
        <v>45</v>
      </c>
      <c r="B58" s="13" t="s">
        <v>84</v>
      </c>
      <c r="C58" s="16" t="s">
        <v>85</v>
      </c>
      <c r="D58" s="12">
        <v>13223</v>
      </c>
      <c r="E58" s="12">
        <v>8220</v>
      </c>
      <c r="F58" s="12">
        <v>5003</v>
      </c>
      <c r="G58" s="12">
        <v>772</v>
      </c>
      <c r="H58" s="12">
        <v>372</v>
      </c>
      <c r="I58" s="12">
        <v>400</v>
      </c>
      <c r="J58" s="12">
        <v>103</v>
      </c>
      <c r="K58" s="12">
        <v>111</v>
      </c>
      <c r="L58" s="12">
        <v>83</v>
      </c>
      <c r="M58" s="12">
        <v>89</v>
      </c>
      <c r="N58" s="12"/>
      <c r="O58" s="12"/>
      <c r="P58" s="12"/>
      <c r="Q58" s="12"/>
      <c r="R58" s="12"/>
      <c r="S58" s="12"/>
    </row>
    <row r="59" spans="1:19" ht="27" customHeight="1" x14ac:dyDescent="0.25">
      <c r="A59" s="12">
        <v>46</v>
      </c>
      <c r="B59" s="12" t="s">
        <v>86</v>
      </c>
      <c r="C59" s="16" t="s">
        <v>163</v>
      </c>
      <c r="D59" s="12">
        <v>19794</v>
      </c>
      <c r="E59" s="12">
        <v>12689</v>
      </c>
      <c r="F59" s="12">
        <v>7105</v>
      </c>
      <c r="G59" s="12">
        <v>900</v>
      </c>
      <c r="H59" s="12">
        <v>700</v>
      </c>
      <c r="I59" s="12">
        <v>200</v>
      </c>
      <c r="J59" s="12">
        <v>227</v>
      </c>
      <c r="K59" s="12">
        <v>65</v>
      </c>
      <c r="L59" s="12">
        <v>123</v>
      </c>
      <c r="M59" s="12">
        <v>35</v>
      </c>
      <c r="N59" s="12"/>
      <c r="O59" s="12"/>
      <c r="P59" s="12"/>
      <c r="Q59" s="12"/>
      <c r="R59" s="12"/>
      <c r="S59" s="12"/>
    </row>
    <row r="60" spans="1:19" ht="27" customHeight="1" x14ac:dyDescent="0.25">
      <c r="A60" s="12">
        <v>47</v>
      </c>
      <c r="B60" s="12" t="s">
        <v>87</v>
      </c>
      <c r="C60" s="16" t="s">
        <v>88</v>
      </c>
      <c r="D60" s="12">
        <v>63723</v>
      </c>
      <c r="E60" s="12">
        <v>52936</v>
      </c>
      <c r="F60" s="12">
        <v>10787</v>
      </c>
      <c r="G60" s="12">
        <v>5400</v>
      </c>
      <c r="H60" s="12">
        <v>4150</v>
      </c>
      <c r="I60" s="12">
        <v>1250</v>
      </c>
      <c r="J60" s="12">
        <v>1828</v>
      </c>
      <c r="K60" s="12">
        <v>551</v>
      </c>
      <c r="L60" s="12">
        <v>247</v>
      </c>
      <c r="M60" s="12">
        <v>74</v>
      </c>
      <c r="N60" s="12"/>
      <c r="O60" s="17"/>
      <c r="P60" s="17"/>
      <c r="Q60" s="12"/>
      <c r="R60" s="17"/>
      <c r="S60" s="17"/>
    </row>
    <row r="61" spans="1:19" ht="27" customHeight="1" x14ac:dyDescent="0.25">
      <c r="A61" s="12">
        <v>48</v>
      </c>
      <c r="B61" s="12" t="s">
        <v>89</v>
      </c>
      <c r="C61" s="16" t="s">
        <v>164</v>
      </c>
      <c r="D61" s="12">
        <v>10787</v>
      </c>
      <c r="E61" s="12">
        <v>7529</v>
      </c>
      <c r="F61" s="12">
        <v>3258</v>
      </c>
      <c r="G61" s="12">
        <v>1088</v>
      </c>
      <c r="H61" s="12">
        <v>1008</v>
      </c>
      <c r="I61" s="12">
        <v>80</v>
      </c>
      <c r="J61" s="12">
        <v>437</v>
      </c>
      <c r="K61" s="12">
        <v>35</v>
      </c>
      <c r="L61" s="12">
        <v>67</v>
      </c>
      <c r="M61" s="12">
        <v>5</v>
      </c>
      <c r="N61" s="12"/>
      <c r="O61" s="12"/>
      <c r="P61" s="12"/>
      <c r="Q61" s="12"/>
      <c r="R61" s="12"/>
      <c r="S61" s="12"/>
    </row>
    <row r="62" spans="1:19" ht="27" customHeight="1" x14ac:dyDescent="0.25">
      <c r="A62" s="12">
        <v>49</v>
      </c>
      <c r="B62" s="12" t="s">
        <v>90</v>
      </c>
      <c r="C62" s="16" t="s">
        <v>235</v>
      </c>
      <c r="D62" s="12">
        <v>9606</v>
      </c>
      <c r="E62" s="12">
        <v>0</v>
      </c>
      <c r="F62" s="12">
        <v>9606</v>
      </c>
      <c r="G62" s="12"/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/>
      <c r="O62" s="12"/>
      <c r="P62" s="12"/>
      <c r="Q62" s="12"/>
      <c r="R62" s="12"/>
      <c r="S62" s="12"/>
    </row>
    <row r="63" spans="1:19" ht="27" customHeight="1" x14ac:dyDescent="0.25">
      <c r="A63" s="12">
        <v>50</v>
      </c>
      <c r="B63" s="12" t="s">
        <v>91</v>
      </c>
      <c r="C63" s="16" t="s">
        <v>236</v>
      </c>
      <c r="D63" s="12">
        <v>7960</v>
      </c>
      <c r="E63" s="12">
        <v>0</v>
      </c>
      <c r="F63" s="12">
        <v>7960</v>
      </c>
      <c r="G63" s="12"/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/>
      <c r="O63" s="12"/>
      <c r="P63" s="12"/>
      <c r="Q63" s="12"/>
      <c r="R63" s="12"/>
      <c r="S63" s="12"/>
    </row>
    <row r="64" spans="1:19" ht="27" customHeight="1" x14ac:dyDescent="0.25">
      <c r="A64" s="12">
        <v>51</v>
      </c>
      <c r="B64" s="12" t="s">
        <v>92</v>
      </c>
      <c r="C64" s="16" t="s">
        <v>237</v>
      </c>
      <c r="D64" s="12">
        <v>28325</v>
      </c>
      <c r="E64" s="12">
        <v>0</v>
      </c>
      <c r="F64" s="12">
        <v>28325</v>
      </c>
      <c r="G64" s="12"/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16965</v>
      </c>
      <c r="O64" s="12"/>
      <c r="P64" s="12">
        <v>16965</v>
      </c>
      <c r="Q64" s="12"/>
      <c r="R64" s="12"/>
      <c r="S64" s="12"/>
    </row>
    <row r="65" spans="1:19" ht="27" customHeight="1" x14ac:dyDescent="0.25">
      <c r="A65" s="12">
        <v>52</v>
      </c>
      <c r="B65" s="12" t="s">
        <v>93</v>
      </c>
      <c r="C65" s="16" t="s">
        <v>238</v>
      </c>
      <c r="D65" s="12">
        <v>30984</v>
      </c>
      <c r="E65" s="12">
        <v>0</v>
      </c>
      <c r="F65" s="12">
        <v>30984</v>
      </c>
      <c r="G65" s="12"/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17185</v>
      </c>
      <c r="O65" s="12"/>
      <c r="P65" s="12">
        <v>17185</v>
      </c>
      <c r="Q65" s="12"/>
      <c r="R65" s="12"/>
      <c r="S65" s="12"/>
    </row>
    <row r="66" spans="1:19" ht="27" customHeight="1" x14ac:dyDescent="0.25">
      <c r="A66" s="12">
        <v>53</v>
      </c>
      <c r="B66" s="12" t="s">
        <v>94</v>
      </c>
      <c r="C66" s="16" t="s">
        <v>239</v>
      </c>
      <c r="D66" s="12">
        <v>5292</v>
      </c>
      <c r="E66" s="12">
        <v>0</v>
      </c>
      <c r="F66" s="12">
        <v>5292</v>
      </c>
      <c r="G66" s="12">
        <v>550</v>
      </c>
      <c r="H66" s="12">
        <v>0</v>
      </c>
      <c r="I66" s="12">
        <v>550</v>
      </c>
      <c r="J66" s="12">
        <v>0</v>
      </c>
      <c r="K66" s="12">
        <v>275</v>
      </c>
      <c r="L66" s="12">
        <v>0</v>
      </c>
      <c r="M66" s="12">
        <v>0</v>
      </c>
      <c r="N66" s="12"/>
      <c r="O66" s="12"/>
      <c r="P66" s="12"/>
      <c r="Q66" s="12"/>
      <c r="R66" s="12"/>
      <c r="S66" s="12"/>
    </row>
    <row r="67" spans="1:19" ht="32.25" customHeight="1" x14ac:dyDescent="0.25">
      <c r="A67" s="12">
        <v>54</v>
      </c>
      <c r="B67" s="12" t="s">
        <v>178</v>
      </c>
      <c r="C67" s="16" t="s">
        <v>240</v>
      </c>
      <c r="D67" s="12">
        <v>9725</v>
      </c>
      <c r="E67" s="12">
        <v>0</v>
      </c>
      <c r="F67" s="12">
        <v>9725</v>
      </c>
      <c r="G67" s="12">
        <v>9725</v>
      </c>
      <c r="H67" s="12">
        <v>0</v>
      </c>
      <c r="I67" s="12">
        <v>9725</v>
      </c>
      <c r="J67" s="12">
        <v>0</v>
      </c>
      <c r="K67" s="12">
        <v>4835</v>
      </c>
      <c r="L67" s="12">
        <v>0</v>
      </c>
      <c r="M67" s="12">
        <v>28</v>
      </c>
      <c r="N67" s="12"/>
      <c r="O67" s="12"/>
      <c r="P67" s="12"/>
      <c r="Q67" s="12"/>
      <c r="R67" s="12"/>
      <c r="S67" s="12"/>
    </row>
    <row r="68" spans="1:19" ht="27" customHeight="1" x14ac:dyDescent="0.25">
      <c r="A68" s="12">
        <v>55</v>
      </c>
      <c r="B68" s="12" t="s">
        <v>95</v>
      </c>
      <c r="C68" s="16" t="s">
        <v>241</v>
      </c>
      <c r="D68" s="12">
        <v>24698</v>
      </c>
      <c r="E68" s="12">
        <v>24152</v>
      </c>
      <c r="F68" s="12">
        <v>546</v>
      </c>
      <c r="G68" s="12"/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/>
      <c r="O68" s="12"/>
      <c r="P68" s="12"/>
      <c r="Q68" s="12"/>
      <c r="R68" s="12"/>
      <c r="S68" s="12"/>
    </row>
    <row r="69" spans="1:19" ht="27" customHeight="1" x14ac:dyDescent="0.25">
      <c r="A69" s="12">
        <v>56</v>
      </c>
      <c r="B69" s="12" t="s">
        <v>96</v>
      </c>
      <c r="C69" s="16" t="s">
        <v>242</v>
      </c>
      <c r="D69" s="12">
        <v>16386</v>
      </c>
      <c r="E69" s="12">
        <v>16386</v>
      </c>
      <c r="F69" s="12">
        <v>0</v>
      </c>
      <c r="G69" s="12"/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/>
      <c r="O69" s="12"/>
      <c r="P69" s="12"/>
      <c r="Q69" s="12"/>
      <c r="R69" s="12"/>
      <c r="S69" s="12"/>
    </row>
    <row r="70" spans="1:19" ht="27" customHeight="1" x14ac:dyDescent="0.25">
      <c r="A70" s="12">
        <v>57</v>
      </c>
      <c r="B70" s="12" t="s">
        <v>97</v>
      </c>
      <c r="C70" s="16" t="s">
        <v>243</v>
      </c>
      <c r="D70" s="12">
        <v>14529</v>
      </c>
      <c r="E70" s="12">
        <v>14529</v>
      </c>
      <c r="F70" s="12">
        <v>0</v>
      </c>
      <c r="G70" s="12">
        <v>1290</v>
      </c>
      <c r="H70" s="12">
        <v>1290</v>
      </c>
      <c r="I70" s="12">
        <v>0</v>
      </c>
      <c r="J70" s="12">
        <v>619</v>
      </c>
      <c r="K70" s="12">
        <v>0</v>
      </c>
      <c r="L70" s="12">
        <v>26</v>
      </c>
      <c r="M70" s="12">
        <v>0</v>
      </c>
      <c r="N70" s="12"/>
      <c r="O70" s="12"/>
      <c r="P70" s="12"/>
      <c r="Q70" s="12"/>
      <c r="R70" s="12"/>
      <c r="S70" s="12"/>
    </row>
    <row r="71" spans="1:19" ht="27" customHeight="1" x14ac:dyDescent="0.25">
      <c r="A71" s="12">
        <v>58</v>
      </c>
      <c r="B71" s="12" t="s">
        <v>98</v>
      </c>
      <c r="C71" s="16" t="s">
        <v>244</v>
      </c>
      <c r="D71" s="12">
        <v>10952</v>
      </c>
      <c r="E71" s="12">
        <v>10952</v>
      </c>
      <c r="F71" s="12">
        <v>0</v>
      </c>
      <c r="G71" s="12"/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/>
      <c r="O71" s="12"/>
      <c r="P71" s="12"/>
      <c r="Q71" s="12"/>
      <c r="R71" s="12"/>
      <c r="S71" s="12"/>
    </row>
    <row r="72" spans="1:19" ht="27" customHeight="1" x14ac:dyDescent="0.25">
      <c r="A72" s="12">
        <v>59</v>
      </c>
      <c r="B72" s="12" t="s">
        <v>99</v>
      </c>
      <c r="C72" s="16" t="s">
        <v>245</v>
      </c>
      <c r="D72" s="12">
        <v>28691</v>
      </c>
      <c r="E72" s="12">
        <v>28691</v>
      </c>
      <c r="F72" s="12">
        <v>0</v>
      </c>
      <c r="G72" s="12"/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/>
      <c r="O72" s="12"/>
      <c r="P72" s="12"/>
      <c r="Q72" s="12"/>
      <c r="R72" s="12"/>
      <c r="S72" s="12"/>
    </row>
    <row r="73" spans="1:19" ht="27" customHeight="1" x14ac:dyDescent="0.25">
      <c r="A73" s="12">
        <v>60</v>
      </c>
      <c r="B73" s="12" t="s">
        <v>100</v>
      </c>
      <c r="C73" s="16" t="s">
        <v>246</v>
      </c>
      <c r="D73" s="12">
        <v>17702</v>
      </c>
      <c r="E73" s="12">
        <v>17702</v>
      </c>
      <c r="F73" s="12">
        <v>0</v>
      </c>
      <c r="G73" s="12"/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/>
      <c r="O73" s="12"/>
      <c r="P73" s="12"/>
      <c r="Q73" s="12"/>
      <c r="R73" s="12"/>
      <c r="S73" s="12"/>
    </row>
    <row r="74" spans="1:19" ht="27" customHeight="1" x14ac:dyDescent="0.25">
      <c r="A74" s="12">
        <v>61</v>
      </c>
      <c r="B74" s="12" t="s">
        <v>101</v>
      </c>
      <c r="C74" s="16" t="s">
        <v>247</v>
      </c>
      <c r="D74" s="12">
        <v>18229</v>
      </c>
      <c r="E74" s="12">
        <v>18229</v>
      </c>
      <c r="F74" s="12">
        <v>0</v>
      </c>
      <c r="G74" s="12"/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/>
      <c r="O74" s="12"/>
      <c r="P74" s="12"/>
      <c r="Q74" s="12"/>
      <c r="R74" s="12"/>
      <c r="S74" s="12"/>
    </row>
    <row r="75" spans="1:19" ht="27" customHeight="1" x14ac:dyDescent="0.25">
      <c r="A75" s="12">
        <v>62</v>
      </c>
      <c r="B75" s="12" t="s">
        <v>102</v>
      </c>
      <c r="C75" s="16" t="s">
        <v>248</v>
      </c>
      <c r="D75" s="12">
        <v>10955</v>
      </c>
      <c r="E75" s="12">
        <v>10955</v>
      </c>
      <c r="F75" s="12">
        <v>0</v>
      </c>
      <c r="G75" s="12"/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/>
      <c r="O75" s="12"/>
      <c r="P75" s="12"/>
      <c r="Q75" s="12"/>
      <c r="R75" s="12"/>
      <c r="S75" s="12"/>
    </row>
    <row r="76" spans="1:19" ht="27" customHeight="1" x14ac:dyDescent="0.25">
      <c r="A76" s="12">
        <v>63</v>
      </c>
      <c r="B76" s="12" t="s">
        <v>103</v>
      </c>
      <c r="C76" s="16" t="s">
        <v>249</v>
      </c>
      <c r="D76" s="12">
        <v>29191</v>
      </c>
      <c r="E76" s="12">
        <v>29191</v>
      </c>
      <c r="F76" s="12">
        <v>0</v>
      </c>
      <c r="G76" s="12"/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/>
      <c r="O76" s="12"/>
      <c r="P76" s="12"/>
      <c r="Q76" s="12"/>
      <c r="R76" s="12"/>
      <c r="S76" s="12"/>
    </row>
    <row r="77" spans="1:19" ht="27" customHeight="1" x14ac:dyDescent="0.25">
      <c r="A77" s="12">
        <v>64</v>
      </c>
      <c r="B77" s="12" t="s">
        <v>104</v>
      </c>
      <c r="C77" s="16" t="s">
        <v>250</v>
      </c>
      <c r="D77" s="12">
        <v>12562</v>
      </c>
      <c r="E77" s="12">
        <v>12562</v>
      </c>
      <c r="F77" s="12">
        <v>0</v>
      </c>
      <c r="G77" s="12"/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/>
      <c r="O77" s="12"/>
      <c r="P77" s="12"/>
      <c r="Q77" s="12"/>
      <c r="R77" s="12"/>
      <c r="S77" s="12"/>
    </row>
    <row r="78" spans="1:19" ht="27" customHeight="1" x14ac:dyDescent="0.25">
      <c r="A78" s="12">
        <v>65</v>
      </c>
      <c r="B78" s="12" t="s">
        <v>105</v>
      </c>
      <c r="C78" s="16" t="s">
        <v>251</v>
      </c>
      <c r="D78" s="12">
        <v>15570</v>
      </c>
      <c r="E78" s="12">
        <v>15570</v>
      </c>
      <c r="F78" s="12">
        <v>0</v>
      </c>
      <c r="G78" s="12"/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/>
      <c r="O78" s="12"/>
      <c r="P78" s="12"/>
      <c r="Q78" s="12"/>
      <c r="R78" s="12"/>
      <c r="S78" s="12"/>
    </row>
    <row r="79" spans="1:19" ht="33" customHeight="1" x14ac:dyDescent="0.25">
      <c r="A79" s="12">
        <v>66</v>
      </c>
      <c r="B79" s="12" t="s">
        <v>180</v>
      </c>
      <c r="C79" s="16" t="s">
        <v>252</v>
      </c>
      <c r="D79" s="12">
        <v>23001</v>
      </c>
      <c r="E79" s="12">
        <v>23001</v>
      </c>
      <c r="F79" s="12">
        <v>0</v>
      </c>
      <c r="G79" s="12">
        <v>23001</v>
      </c>
      <c r="H79" s="12">
        <v>23001</v>
      </c>
      <c r="I79" s="12">
        <v>0</v>
      </c>
      <c r="J79" s="12">
        <v>11340</v>
      </c>
      <c r="K79" s="12">
        <v>0</v>
      </c>
      <c r="L79" s="12">
        <v>161</v>
      </c>
      <c r="M79" s="12">
        <v>0</v>
      </c>
      <c r="N79" s="12"/>
      <c r="O79" s="17"/>
      <c r="P79" s="17"/>
      <c r="Q79" s="12"/>
      <c r="R79" s="17"/>
      <c r="S79" s="17"/>
    </row>
    <row r="80" spans="1:19" ht="27" customHeight="1" x14ac:dyDescent="0.25">
      <c r="A80" s="12">
        <v>67</v>
      </c>
      <c r="B80" s="12" t="s">
        <v>106</v>
      </c>
      <c r="C80" s="16" t="s">
        <v>107</v>
      </c>
      <c r="D80" s="12">
        <v>36612</v>
      </c>
      <c r="E80" s="12">
        <v>29212</v>
      </c>
      <c r="F80" s="12">
        <v>7400</v>
      </c>
      <c r="G80" s="12"/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9502</v>
      </c>
      <c r="O80" s="12">
        <v>9502</v>
      </c>
      <c r="P80" s="12"/>
      <c r="Q80" s="12"/>
      <c r="R80" s="12"/>
      <c r="S80" s="12"/>
    </row>
    <row r="81" spans="1:19" ht="27" customHeight="1" x14ac:dyDescent="0.25">
      <c r="A81" s="12">
        <v>68</v>
      </c>
      <c r="B81" s="12" t="s">
        <v>108</v>
      </c>
      <c r="C81" s="16" t="s">
        <v>253</v>
      </c>
      <c r="D81" s="12">
        <v>41360</v>
      </c>
      <c r="E81" s="12">
        <v>41360</v>
      </c>
      <c r="F81" s="12">
        <v>0</v>
      </c>
      <c r="G81" s="12"/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25100</v>
      </c>
      <c r="O81" s="12">
        <v>25100</v>
      </c>
      <c r="P81" s="12"/>
      <c r="Q81" s="12"/>
      <c r="R81" s="12"/>
      <c r="S81" s="12"/>
    </row>
    <row r="82" spans="1:19" ht="27" customHeight="1" x14ac:dyDescent="0.25">
      <c r="A82" s="12">
        <v>69</v>
      </c>
      <c r="B82" s="12" t="s">
        <v>109</v>
      </c>
      <c r="C82" s="16" t="s">
        <v>254</v>
      </c>
      <c r="D82" s="12">
        <v>13963</v>
      </c>
      <c r="E82" s="12">
        <v>13963</v>
      </c>
      <c r="F82" s="12">
        <v>0</v>
      </c>
      <c r="G82" s="12">
        <v>450</v>
      </c>
      <c r="H82" s="12">
        <v>450</v>
      </c>
      <c r="I82" s="12">
        <v>0</v>
      </c>
      <c r="J82" s="12">
        <v>90</v>
      </c>
      <c r="K82" s="12">
        <v>0</v>
      </c>
      <c r="L82" s="12">
        <v>135</v>
      </c>
      <c r="M82" s="12">
        <v>0</v>
      </c>
      <c r="N82" s="12"/>
      <c r="O82" s="12"/>
      <c r="P82" s="12"/>
      <c r="Q82" s="12"/>
      <c r="R82" s="12"/>
      <c r="S82" s="12"/>
    </row>
    <row r="83" spans="1:19" ht="27" customHeight="1" x14ac:dyDescent="0.25">
      <c r="A83" s="12">
        <v>70</v>
      </c>
      <c r="B83" s="12" t="s">
        <v>110</v>
      </c>
      <c r="C83" s="16" t="s">
        <v>255</v>
      </c>
      <c r="D83" s="12">
        <v>8283</v>
      </c>
      <c r="E83" s="12">
        <v>8283</v>
      </c>
      <c r="F83" s="12">
        <v>0</v>
      </c>
      <c r="G83" s="12"/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/>
      <c r="O83" s="12"/>
      <c r="P83" s="12"/>
      <c r="Q83" s="12"/>
      <c r="R83" s="12"/>
      <c r="S83" s="12"/>
    </row>
    <row r="84" spans="1:19" ht="27" customHeight="1" x14ac:dyDescent="0.25">
      <c r="A84" s="12">
        <v>71</v>
      </c>
      <c r="B84" s="12" t="s">
        <v>111</v>
      </c>
      <c r="C84" s="16" t="s">
        <v>256</v>
      </c>
      <c r="D84" s="12">
        <v>45228</v>
      </c>
      <c r="E84" s="12">
        <v>44151</v>
      </c>
      <c r="F84" s="12">
        <v>1077</v>
      </c>
      <c r="G84" s="12"/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27163</v>
      </c>
      <c r="O84" s="12">
        <v>27163</v>
      </c>
      <c r="P84" s="12"/>
      <c r="Q84" s="12">
        <v>14434</v>
      </c>
      <c r="R84" s="12">
        <v>13357</v>
      </c>
      <c r="S84" s="12">
        <v>1077</v>
      </c>
    </row>
    <row r="85" spans="1:19" ht="27" customHeight="1" x14ac:dyDescent="0.25">
      <c r="A85" s="12">
        <v>72</v>
      </c>
      <c r="B85" s="12" t="s">
        <v>112</v>
      </c>
      <c r="C85" s="16" t="s">
        <v>257</v>
      </c>
      <c r="D85" s="12">
        <v>49679</v>
      </c>
      <c r="E85" s="12">
        <v>49679</v>
      </c>
      <c r="F85" s="12">
        <v>0</v>
      </c>
      <c r="G85" s="12">
        <v>546</v>
      </c>
      <c r="H85" s="12">
        <v>546</v>
      </c>
      <c r="I85" s="12">
        <v>0</v>
      </c>
      <c r="J85" s="12">
        <v>224</v>
      </c>
      <c r="K85" s="12">
        <v>0</v>
      </c>
      <c r="L85" s="12">
        <v>49</v>
      </c>
      <c r="M85" s="12">
        <v>0</v>
      </c>
      <c r="N85" s="12"/>
      <c r="O85" s="12"/>
      <c r="P85" s="12"/>
      <c r="Q85" s="12"/>
      <c r="R85" s="12"/>
      <c r="S85" s="12"/>
    </row>
    <row r="86" spans="1:19" ht="27" customHeight="1" x14ac:dyDescent="0.25">
      <c r="A86" s="12">
        <v>73</v>
      </c>
      <c r="B86" s="12" t="s">
        <v>113</v>
      </c>
      <c r="C86" s="16" t="s">
        <v>258</v>
      </c>
      <c r="D86" s="12">
        <v>29361</v>
      </c>
      <c r="E86" s="12">
        <v>0</v>
      </c>
      <c r="F86" s="12">
        <v>29361</v>
      </c>
      <c r="G86" s="12"/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/>
      <c r="O86" s="12"/>
      <c r="P86" s="12"/>
      <c r="Q86" s="12"/>
      <c r="R86" s="12"/>
      <c r="S86" s="12"/>
    </row>
    <row r="87" spans="1:19" ht="27" customHeight="1" x14ac:dyDescent="0.25">
      <c r="A87" s="12">
        <v>74</v>
      </c>
      <c r="B87" s="12" t="s">
        <v>9</v>
      </c>
      <c r="C87" s="16" t="s">
        <v>259</v>
      </c>
      <c r="D87" s="12">
        <v>15702</v>
      </c>
      <c r="E87" s="12">
        <v>15359</v>
      </c>
      <c r="F87" s="12">
        <v>343</v>
      </c>
      <c r="G87" s="12">
        <v>331</v>
      </c>
      <c r="H87" s="12">
        <v>331</v>
      </c>
      <c r="I87" s="12">
        <v>0</v>
      </c>
      <c r="J87" s="12">
        <v>156</v>
      </c>
      <c r="K87" s="12">
        <v>0</v>
      </c>
      <c r="L87" s="12">
        <v>0</v>
      </c>
      <c r="M87" s="12">
        <v>0</v>
      </c>
      <c r="N87" s="12"/>
      <c r="O87" s="12"/>
      <c r="P87" s="12"/>
      <c r="Q87" s="12"/>
      <c r="R87" s="12"/>
      <c r="S87" s="12"/>
    </row>
    <row r="88" spans="1:19" ht="27" customHeight="1" x14ac:dyDescent="0.25">
      <c r="A88" s="12">
        <v>75</v>
      </c>
      <c r="B88" s="12" t="s">
        <v>115</v>
      </c>
      <c r="C88" s="16" t="s">
        <v>116</v>
      </c>
      <c r="D88" s="12">
        <v>1518</v>
      </c>
      <c r="E88" s="12">
        <v>1518</v>
      </c>
      <c r="F88" s="12">
        <v>0</v>
      </c>
      <c r="G88" s="12"/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/>
      <c r="O88" s="12"/>
      <c r="P88" s="12"/>
      <c r="Q88" s="12"/>
      <c r="R88" s="12"/>
      <c r="S88" s="12"/>
    </row>
    <row r="89" spans="1:19" ht="27" customHeight="1" x14ac:dyDescent="0.25">
      <c r="A89" s="12">
        <v>76</v>
      </c>
      <c r="B89" s="12" t="s">
        <v>117</v>
      </c>
      <c r="C89" s="16" t="s">
        <v>260</v>
      </c>
      <c r="D89" s="12">
        <v>2171</v>
      </c>
      <c r="E89" s="12">
        <v>2171</v>
      </c>
      <c r="F89" s="12">
        <v>0</v>
      </c>
      <c r="G89" s="12">
        <v>1100</v>
      </c>
      <c r="H89" s="12">
        <v>1100</v>
      </c>
      <c r="I89" s="12">
        <v>0</v>
      </c>
      <c r="J89" s="12">
        <v>550</v>
      </c>
      <c r="K89" s="12">
        <v>0</v>
      </c>
      <c r="L89" s="12">
        <v>0</v>
      </c>
      <c r="M89" s="12">
        <v>0</v>
      </c>
      <c r="N89" s="12"/>
      <c r="O89" s="12"/>
      <c r="P89" s="12"/>
      <c r="Q89" s="12"/>
      <c r="R89" s="12"/>
      <c r="S89" s="12"/>
    </row>
    <row r="90" spans="1:19" ht="27" customHeight="1" x14ac:dyDescent="0.25">
      <c r="A90" s="12">
        <v>77</v>
      </c>
      <c r="B90" s="12" t="s">
        <v>118</v>
      </c>
      <c r="C90" s="16" t="s">
        <v>261</v>
      </c>
      <c r="D90" s="12">
        <v>7670</v>
      </c>
      <c r="E90" s="12">
        <v>7670</v>
      </c>
      <c r="F90" s="12">
        <v>0</v>
      </c>
      <c r="G90" s="12">
        <v>2353</v>
      </c>
      <c r="H90" s="12">
        <v>2353</v>
      </c>
      <c r="I90" s="12">
        <v>0</v>
      </c>
      <c r="J90" s="12">
        <v>1177</v>
      </c>
      <c r="K90" s="12">
        <v>0</v>
      </c>
      <c r="L90" s="12">
        <v>0</v>
      </c>
      <c r="M90" s="12">
        <v>0</v>
      </c>
      <c r="N90" s="12"/>
      <c r="O90" s="12"/>
      <c r="P90" s="12"/>
      <c r="Q90" s="12"/>
      <c r="R90" s="12"/>
      <c r="S90" s="12"/>
    </row>
    <row r="91" spans="1:19" ht="27" customHeight="1" x14ac:dyDescent="0.25">
      <c r="A91" s="12">
        <v>78</v>
      </c>
      <c r="B91" s="12" t="s">
        <v>119</v>
      </c>
      <c r="C91" s="16" t="s">
        <v>120</v>
      </c>
      <c r="D91" s="12">
        <v>9034</v>
      </c>
      <c r="E91" s="12">
        <v>6748</v>
      </c>
      <c r="F91" s="12">
        <v>2286</v>
      </c>
      <c r="G91" s="12">
        <v>3226</v>
      </c>
      <c r="H91" s="12">
        <v>2600</v>
      </c>
      <c r="I91" s="12">
        <v>626</v>
      </c>
      <c r="J91" s="12">
        <v>1083</v>
      </c>
      <c r="K91" s="12">
        <v>261</v>
      </c>
      <c r="L91" s="12">
        <v>217</v>
      </c>
      <c r="M91" s="12">
        <v>52</v>
      </c>
      <c r="N91" s="12"/>
      <c r="O91" s="12"/>
      <c r="P91" s="12"/>
      <c r="Q91" s="12"/>
      <c r="R91" s="12"/>
      <c r="S91" s="12"/>
    </row>
    <row r="92" spans="1:19" ht="27" customHeight="1" x14ac:dyDescent="0.25">
      <c r="A92" s="12">
        <v>79</v>
      </c>
      <c r="B92" s="12" t="s">
        <v>121</v>
      </c>
      <c r="C92" s="16" t="s">
        <v>122</v>
      </c>
      <c r="D92" s="12">
        <v>9444</v>
      </c>
      <c r="E92" s="12">
        <v>6745</v>
      </c>
      <c r="F92" s="12">
        <v>2699</v>
      </c>
      <c r="G92" s="12">
        <v>28</v>
      </c>
      <c r="H92" s="12">
        <v>20</v>
      </c>
      <c r="I92" s="12">
        <v>8</v>
      </c>
      <c r="J92" s="12">
        <v>8</v>
      </c>
      <c r="K92" s="12">
        <v>4</v>
      </c>
      <c r="L92" s="12">
        <v>2</v>
      </c>
      <c r="M92" s="12">
        <v>0</v>
      </c>
      <c r="N92" s="12"/>
      <c r="O92" s="12"/>
      <c r="P92" s="12"/>
      <c r="Q92" s="12"/>
      <c r="R92" s="12"/>
      <c r="S92" s="12"/>
    </row>
    <row r="93" spans="1:19" ht="27" customHeight="1" x14ac:dyDescent="0.25">
      <c r="A93" s="12">
        <v>80</v>
      </c>
      <c r="B93" s="12" t="s">
        <v>123</v>
      </c>
      <c r="C93" s="16" t="s">
        <v>124</v>
      </c>
      <c r="D93" s="12">
        <v>25024</v>
      </c>
      <c r="E93" s="12">
        <v>14547</v>
      </c>
      <c r="F93" s="12">
        <v>10477</v>
      </c>
      <c r="G93" s="12">
        <v>6650</v>
      </c>
      <c r="H93" s="12">
        <v>4300</v>
      </c>
      <c r="I93" s="12">
        <v>2350</v>
      </c>
      <c r="J93" s="12">
        <v>1601</v>
      </c>
      <c r="K93" s="12">
        <v>875</v>
      </c>
      <c r="L93" s="12">
        <v>549</v>
      </c>
      <c r="M93" s="12">
        <v>300</v>
      </c>
      <c r="N93" s="12"/>
      <c r="O93" s="12"/>
      <c r="P93" s="12"/>
      <c r="Q93" s="12"/>
      <c r="R93" s="12"/>
      <c r="S93" s="12"/>
    </row>
    <row r="94" spans="1:19" ht="27" customHeight="1" x14ac:dyDescent="0.25">
      <c r="A94" s="12">
        <v>81</v>
      </c>
      <c r="B94" s="12" t="s">
        <v>125</v>
      </c>
      <c r="C94" s="16" t="s">
        <v>126</v>
      </c>
      <c r="D94" s="12">
        <v>11223</v>
      </c>
      <c r="E94" s="12">
        <v>6655</v>
      </c>
      <c r="F94" s="12">
        <v>4568</v>
      </c>
      <c r="G94" s="12">
        <v>585</v>
      </c>
      <c r="H94" s="12">
        <v>540</v>
      </c>
      <c r="I94" s="12">
        <v>45</v>
      </c>
      <c r="J94" s="12">
        <v>234</v>
      </c>
      <c r="K94" s="12">
        <v>20</v>
      </c>
      <c r="L94" s="12">
        <v>36</v>
      </c>
      <c r="M94" s="12">
        <v>3</v>
      </c>
      <c r="N94" s="12"/>
      <c r="O94" s="12"/>
      <c r="P94" s="12"/>
      <c r="Q94" s="12"/>
      <c r="R94" s="12"/>
      <c r="S94" s="12"/>
    </row>
    <row r="95" spans="1:19" ht="27" customHeight="1" x14ac:dyDescent="0.25">
      <c r="A95" s="12">
        <v>82</v>
      </c>
      <c r="B95" s="12" t="s">
        <v>127</v>
      </c>
      <c r="C95" s="16" t="s">
        <v>128</v>
      </c>
      <c r="D95" s="12">
        <v>13876</v>
      </c>
      <c r="E95" s="12">
        <v>9269</v>
      </c>
      <c r="F95" s="12">
        <v>4607</v>
      </c>
      <c r="G95" s="12">
        <v>1569</v>
      </c>
      <c r="H95" s="12">
        <v>1404</v>
      </c>
      <c r="I95" s="12">
        <v>165</v>
      </c>
      <c r="J95" s="12">
        <v>585</v>
      </c>
      <c r="K95" s="12">
        <v>83</v>
      </c>
      <c r="L95" s="12">
        <v>117</v>
      </c>
      <c r="M95" s="12">
        <v>0</v>
      </c>
      <c r="N95" s="12"/>
      <c r="O95" s="12"/>
      <c r="P95" s="12"/>
      <c r="Q95" s="12"/>
      <c r="R95" s="12"/>
      <c r="S95" s="12"/>
    </row>
    <row r="96" spans="1:19" ht="27" customHeight="1" x14ac:dyDescent="0.25">
      <c r="A96" s="12">
        <v>83</v>
      </c>
      <c r="B96" s="12" t="s">
        <v>129</v>
      </c>
      <c r="C96" s="16" t="s">
        <v>130</v>
      </c>
      <c r="D96" s="12">
        <v>28176</v>
      </c>
      <c r="E96" s="12">
        <v>17356</v>
      </c>
      <c r="F96" s="12">
        <v>10820</v>
      </c>
      <c r="G96" s="12">
        <v>2200</v>
      </c>
      <c r="H96" s="12">
        <v>1700</v>
      </c>
      <c r="I96" s="12">
        <v>500</v>
      </c>
      <c r="J96" s="12">
        <v>650</v>
      </c>
      <c r="K96" s="12">
        <v>191</v>
      </c>
      <c r="L96" s="12">
        <v>200</v>
      </c>
      <c r="M96" s="12">
        <v>59</v>
      </c>
      <c r="N96" s="12"/>
      <c r="O96" s="12"/>
      <c r="P96" s="12"/>
      <c r="Q96" s="12"/>
      <c r="R96" s="12"/>
      <c r="S96" s="12"/>
    </row>
    <row r="97" spans="1:19" ht="27" customHeight="1" x14ac:dyDescent="0.25">
      <c r="A97" s="12">
        <v>84</v>
      </c>
      <c r="B97" s="12" t="s">
        <v>131</v>
      </c>
      <c r="C97" s="16" t="s">
        <v>132</v>
      </c>
      <c r="D97" s="12">
        <v>23844</v>
      </c>
      <c r="E97" s="12">
        <v>14968</v>
      </c>
      <c r="F97" s="12">
        <v>8876</v>
      </c>
      <c r="G97" s="12">
        <v>2200</v>
      </c>
      <c r="H97" s="12">
        <v>1400</v>
      </c>
      <c r="I97" s="12">
        <v>800</v>
      </c>
      <c r="J97" s="12">
        <v>377</v>
      </c>
      <c r="K97" s="12">
        <v>215</v>
      </c>
      <c r="L97" s="12">
        <v>323</v>
      </c>
      <c r="M97" s="12">
        <v>185</v>
      </c>
      <c r="N97" s="12"/>
      <c r="O97" s="12"/>
      <c r="P97" s="12"/>
      <c r="Q97" s="12"/>
      <c r="R97" s="12"/>
      <c r="S97" s="12"/>
    </row>
    <row r="98" spans="1:19" ht="27" customHeight="1" x14ac:dyDescent="0.25">
      <c r="A98" s="12">
        <v>85</v>
      </c>
      <c r="B98" s="12" t="s">
        <v>133</v>
      </c>
      <c r="C98" s="16" t="s">
        <v>134</v>
      </c>
      <c r="D98" s="12">
        <v>8432</v>
      </c>
      <c r="E98" s="12">
        <v>5607</v>
      </c>
      <c r="F98" s="12">
        <v>2825</v>
      </c>
      <c r="G98" s="12">
        <v>240</v>
      </c>
      <c r="H98" s="12">
        <v>160</v>
      </c>
      <c r="I98" s="12">
        <v>80</v>
      </c>
      <c r="J98" s="12">
        <v>3</v>
      </c>
      <c r="K98" s="12">
        <v>2</v>
      </c>
      <c r="L98" s="12">
        <v>77</v>
      </c>
      <c r="M98" s="12">
        <v>38</v>
      </c>
      <c r="N98" s="12"/>
      <c r="O98" s="12"/>
      <c r="P98" s="12"/>
      <c r="Q98" s="12"/>
      <c r="R98" s="12"/>
      <c r="S98" s="12"/>
    </row>
    <row r="99" spans="1:19" ht="27" customHeight="1" x14ac:dyDescent="0.25">
      <c r="A99" s="12">
        <v>86</v>
      </c>
      <c r="B99" s="12" t="s">
        <v>135</v>
      </c>
      <c r="C99" s="16" t="s">
        <v>136</v>
      </c>
      <c r="D99" s="12">
        <v>13104</v>
      </c>
      <c r="E99" s="12">
        <v>8313</v>
      </c>
      <c r="F99" s="12">
        <v>4791</v>
      </c>
      <c r="G99" s="12"/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/>
      <c r="O99" s="12"/>
      <c r="P99" s="12"/>
      <c r="Q99" s="12"/>
      <c r="R99" s="12"/>
      <c r="S99" s="12"/>
    </row>
    <row r="100" spans="1:19" ht="27" customHeight="1" x14ac:dyDescent="0.25">
      <c r="A100" s="12">
        <v>87</v>
      </c>
      <c r="B100" s="12" t="s">
        <v>137</v>
      </c>
      <c r="C100" s="16" t="s">
        <v>138</v>
      </c>
      <c r="D100" s="12">
        <v>12870</v>
      </c>
      <c r="E100" s="12">
        <v>8538</v>
      </c>
      <c r="F100" s="12">
        <v>4332</v>
      </c>
      <c r="G100" s="12">
        <v>1400</v>
      </c>
      <c r="H100" s="12">
        <v>1000</v>
      </c>
      <c r="I100" s="12">
        <v>400</v>
      </c>
      <c r="J100" s="12">
        <v>333</v>
      </c>
      <c r="K100" s="12">
        <v>133</v>
      </c>
      <c r="L100" s="12">
        <v>167</v>
      </c>
      <c r="M100" s="12">
        <v>67</v>
      </c>
      <c r="N100" s="12"/>
      <c r="O100" s="12"/>
      <c r="P100" s="12"/>
      <c r="Q100" s="12"/>
      <c r="R100" s="12"/>
      <c r="S100" s="12"/>
    </row>
    <row r="101" spans="1:19" ht="27" customHeight="1" x14ac:dyDescent="0.25">
      <c r="A101" s="12">
        <v>88</v>
      </c>
      <c r="B101" s="12" t="s">
        <v>139</v>
      </c>
      <c r="C101" s="16" t="s">
        <v>140</v>
      </c>
      <c r="D101" s="12">
        <v>14790</v>
      </c>
      <c r="E101" s="12">
        <v>10506</v>
      </c>
      <c r="F101" s="12">
        <v>4284</v>
      </c>
      <c r="G101" s="12">
        <v>1202</v>
      </c>
      <c r="H101" s="12">
        <v>1002</v>
      </c>
      <c r="I101" s="12">
        <v>200</v>
      </c>
      <c r="J101" s="12">
        <v>322</v>
      </c>
      <c r="K101" s="12">
        <v>64</v>
      </c>
      <c r="L101" s="12">
        <v>179</v>
      </c>
      <c r="M101" s="12">
        <v>36</v>
      </c>
      <c r="N101" s="12"/>
      <c r="O101" s="12"/>
      <c r="P101" s="12"/>
      <c r="Q101" s="12"/>
      <c r="R101" s="12"/>
      <c r="S101" s="12"/>
    </row>
    <row r="102" spans="1:19" ht="27" customHeight="1" x14ac:dyDescent="0.25">
      <c r="A102" s="12">
        <v>89</v>
      </c>
      <c r="B102" s="12" t="s">
        <v>141</v>
      </c>
      <c r="C102" s="16" t="s">
        <v>142</v>
      </c>
      <c r="D102" s="12">
        <v>9771</v>
      </c>
      <c r="E102" s="12">
        <v>6597</v>
      </c>
      <c r="F102" s="12">
        <v>3174</v>
      </c>
      <c r="G102" s="12">
        <v>42</v>
      </c>
      <c r="H102" s="12">
        <v>36</v>
      </c>
      <c r="I102" s="12">
        <v>6</v>
      </c>
      <c r="J102" s="12">
        <v>13</v>
      </c>
      <c r="K102" s="12">
        <v>3</v>
      </c>
      <c r="L102" s="12">
        <v>5</v>
      </c>
      <c r="M102" s="12">
        <v>0</v>
      </c>
      <c r="N102" s="12"/>
      <c r="O102" s="12"/>
      <c r="P102" s="12"/>
      <c r="Q102" s="12"/>
      <c r="R102" s="12"/>
      <c r="S102" s="12"/>
    </row>
    <row r="103" spans="1:19" ht="27" customHeight="1" x14ac:dyDescent="0.25">
      <c r="A103" s="12">
        <v>90</v>
      </c>
      <c r="B103" s="12" t="s">
        <v>143</v>
      </c>
      <c r="C103" s="16" t="s">
        <v>144</v>
      </c>
      <c r="D103" s="12">
        <v>14508</v>
      </c>
      <c r="E103" s="12">
        <v>8915</v>
      </c>
      <c r="F103" s="12">
        <v>5593</v>
      </c>
      <c r="G103" s="12">
        <v>3937</v>
      </c>
      <c r="H103" s="12">
        <v>2137</v>
      </c>
      <c r="I103" s="12">
        <v>1800</v>
      </c>
      <c r="J103" s="12">
        <v>713</v>
      </c>
      <c r="K103" s="12">
        <v>600</v>
      </c>
      <c r="L103" s="12">
        <v>356</v>
      </c>
      <c r="M103" s="12">
        <v>300</v>
      </c>
      <c r="N103" s="12"/>
      <c r="O103" s="12"/>
      <c r="P103" s="12"/>
      <c r="Q103" s="12"/>
      <c r="R103" s="12"/>
      <c r="S103" s="12"/>
    </row>
    <row r="104" spans="1:19" ht="27" customHeight="1" x14ac:dyDescent="0.25">
      <c r="A104" s="12">
        <v>91</v>
      </c>
      <c r="B104" s="12" t="s">
        <v>145</v>
      </c>
      <c r="C104" s="16" t="s">
        <v>146</v>
      </c>
      <c r="D104" s="12">
        <v>24598</v>
      </c>
      <c r="E104" s="12">
        <v>16161</v>
      </c>
      <c r="F104" s="12">
        <v>8437</v>
      </c>
      <c r="G104" s="12">
        <v>270</v>
      </c>
      <c r="H104" s="12">
        <v>200</v>
      </c>
      <c r="I104" s="12">
        <v>70</v>
      </c>
      <c r="J104" s="12">
        <v>66</v>
      </c>
      <c r="K104" s="12">
        <v>23</v>
      </c>
      <c r="L104" s="12">
        <v>34</v>
      </c>
      <c r="M104" s="12">
        <v>12</v>
      </c>
      <c r="N104" s="12"/>
      <c r="O104" s="12"/>
      <c r="P104" s="12"/>
      <c r="Q104" s="12"/>
      <c r="R104" s="12"/>
      <c r="S104" s="12"/>
    </row>
    <row r="105" spans="1:19" ht="27" customHeight="1" x14ac:dyDescent="0.25">
      <c r="A105" s="12">
        <v>92</v>
      </c>
      <c r="B105" s="12" t="s">
        <v>147</v>
      </c>
      <c r="C105" s="16" t="s">
        <v>165</v>
      </c>
      <c r="D105" s="12">
        <v>11344</v>
      </c>
      <c r="E105" s="12">
        <v>7592</v>
      </c>
      <c r="F105" s="12">
        <v>3752</v>
      </c>
      <c r="G105" s="12">
        <v>400</v>
      </c>
      <c r="H105" s="12">
        <v>300</v>
      </c>
      <c r="I105" s="12">
        <v>100</v>
      </c>
      <c r="J105" s="12">
        <v>95</v>
      </c>
      <c r="K105" s="12">
        <v>32</v>
      </c>
      <c r="L105" s="12">
        <v>55</v>
      </c>
      <c r="M105" s="12">
        <v>18</v>
      </c>
      <c r="N105" s="12"/>
      <c r="O105" s="12"/>
      <c r="P105" s="12"/>
      <c r="Q105" s="12"/>
      <c r="R105" s="12"/>
      <c r="S105" s="12"/>
    </row>
    <row r="106" spans="1:19" ht="27" customHeight="1" x14ac:dyDescent="0.25">
      <c r="A106" s="12">
        <v>93</v>
      </c>
      <c r="B106" s="13" t="s">
        <v>14</v>
      </c>
      <c r="C106" s="16" t="s">
        <v>13</v>
      </c>
      <c r="D106" s="12">
        <v>500</v>
      </c>
      <c r="E106" s="12">
        <v>500</v>
      </c>
      <c r="F106" s="12">
        <v>0</v>
      </c>
      <c r="G106" s="12"/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/>
      <c r="O106" s="12"/>
      <c r="P106" s="12"/>
      <c r="Q106" s="12"/>
      <c r="R106" s="12"/>
      <c r="S106" s="12"/>
    </row>
    <row r="107" spans="1:19" ht="27" customHeight="1" x14ac:dyDescent="0.25">
      <c r="A107" s="12">
        <v>94</v>
      </c>
      <c r="B107" s="12" t="s">
        <v>10</v>
      </c>
      <c r="C107" s="16" t="s">
        <v>7</v>
      </c>
      <c r="D107" s="12">
        <v>36809</v>
      </c>
      <c r="E107" s="12">
        <v>0</v>
      </c>
      <c r="F107" s="12">
        <v>36809</v>
      </c>
      <c r="G107" s="12"/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24233</v>
      </c>
      <c r="O107" s="12"/>
      <c r="P107" s="12">
        <v>24233</v>
      </c>
      <c r="Q107" s="12"/>
      <c r="R107" s="12"/>
      <c r="S107" s="12"/>
    </row>
    <row r="108" spans="1:19" ht="27" customHeight="1" x14ac:dyDescent="0.25">
      <c r="A108" s="12">
        <v>95</v>
      </c>
      <c r="B108" s="12" t="s">
        <v>196</v>
      </c>
      <c r="C108" s="16" t="s">
        <v>262</v>
      </c>
      <c r="D108" s="12">
        <v>12711</v>
      </c>
      <c r="E108" s="12">
        <v>11311</v>
      </c>
      <c r="F108" s="12">
        <v>1400</v>
      </c>
      <c r="G108" s="12"/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/>
      <c r="O108" s="12"/>
      <c r="P108" s="12"/>
      <c r="Q108" s="12">
        <v>12711</v>
      </c>
      <c r="R108" s="12">
        <v>11311</v>
      </c>
      <c r="S108" s="12">
        <v>1400</v>
      </c>
    </row>
    <row r="109" spans="1:19" ht="27" customHeight="1" x14ac:dyDescent="0.25">
      <c r="A109" s="12">
        <v>96</v>
      </c>
      <c r="B109" s="12" t="s">
        <v>12</v>
      </c>
      <c r="C109" s="16" t="s">
        <v>2</v>
      </c>
      <c r="D109" s="12">
        <v>29207</v>
      </c>
      <c r="E109" s="12">
        <v>14693</v>
      </c>
      <c r="F109" s="12">
        <v>14514</v>
      </c>
      <c r="G109" s="12"/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/>
      <c r="O109" s="12"/>
      <c r="P109" s="12"/>
      <c r="Q109" s="12"/>
      <c r="R109" s="12"/>
      <c r="S109" s="12"/>
    </row>
    <row r="110" spans="1:19" ht="27" customHeight="1" x14ac:dyDescent="0.25">
      <c r="A110" s="12">
        <v>97</v>
      </c>
      <c r="B110" s="12" t="s">
        <v>3</v>
      </c>
      <c r="C110" s="16" t="s">
        <v>199</v>
      </c>
      <c r="D110" s="12">
        <v>83469</v>
      </c>
      <c r="E110" s="12">
        <v>73335</v>
      </c>
      <c r="F110" s="12">
        <v>10134</v>
      </c>
      <c r="G110" s="12">
        <v>4050</v>
      </c>
      <c r="H110" s="12">
        <v>3000</v>
      </c>
      <c r="I110" s="12">
        <v>1050</v>
      </c>
      <c r="J110" s="12">
        <v>1500</v>
      </c>
      <c r="K110" s="12">
        <v>525</v>
      </c>
      <c r="L110" s="12">
        <v>0</v>
      </c>
      <c r="M110" s="12">
        <v>0</v>
      </c>
      <c r="N110" s="12">
        <v>23062</v>
      </c>
      <c r="O110" s="12">
        <v>23062</v>
      </c>
      <c r="P110" s="12"/>
      <c r="Q110" s="12"/>
      <c r="R110" s="12"/>
      <c r="S110" s="12"/>
    </row>
    <row r="111" spans="1:19" ht="27" customHeight="1" x14ac:dyDescent="0.25">
      <c r="A111" s="18">
        <v>98</v>
      </c>
      <c r="B111" s="18" t="s">
        <v>11</v>
      </c>
      <c r="C111" s="19" t="s">
        <v>8</v>
      </c>
      <c r="D111" s="18">
        <v>2010</v>
      </c>
      <c r="E111" s="18">
        <v>900</v>
      </c>
      <c r="F111" s="18">
        <v>1110</v>
      </c>
      <c r="G111" s="18"/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/>
      <c r="O111" s="18"/>
      <c r="P111" s="18"/>
      <c r="Q111" s="18"/>
      <c r="R111" s="18"/>
      <c r="S111" s="18"/>
    </row>
    <row r="112" spans="1:19" ht="27" customHeight="1" x14ac:dyDescent="0.25">
      <c r="A112" s="20"/>
      <c r="B112" s="20"/>
      <c r="C112" s="21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</row>
    <row r="115" spans="15:15" x14ac:dyDescent="0.25">
      <c r="O115" s="23"/>
    </row>
  </sheetData>
  <mergeCells count="24">
    <mergeCell ref="Q6:S6"/>
    <mergeCell ref="J7:K8"/>
    <mergeCell ref="L7:M8"/>
    <mergeCell ref="A13:C13"/>
    <mergeCell ref="G6:G9"/>
    <mergeCell ref="H6:I8"/>
    <mergeCell ref="A11:C11"/>
    <mergeCell ref="A12:C12"/>
    <mergeCell ref="A2:S2"/>
    <mergeCell ref="A4:A9"/>
    <mergeCell ref="B4:B9"/>
    <mergeCell ref="C4:C9"/>
    <mergeCell ref="D4:F4"/>
    <mergeCell ref="G4:S4"/>
    <mergeCell ref="D5:D9"/>
    <mergeCell ref="E5:F8"/>
    <mergeCell ref="G5:M5"/>
    <mergeCell ref="N5:S5"/>
    <mergeCell ref="R7:S8"/>
    <mergeCell ref="J6:M6"/>
    <mergeCell ref="N6:P6"/>
    <mergeCell ref="N7:N9"/>
    <mergeCell ref="O7:P8"/>
    <mergeCell ref="Q7:Q9"/>
  </mergeCells>
  <conditionalFormatting sqref="C1 C3:C4 C135:C1048576 C10:S10 C12:C13 N11:S12 E12:M12 C11:M11 C113:C133">
    <cfRule type="containsText" dxfId="0" priority="1" operator="containsText" text="агид">
      <formula>NOT(ISERROR(SEARCH("агид",C1)))</formula>
    </cfRule>
  </conditionalFormatting>
  <pageMargins left="0.19685039370078741" right="0.19685039370078741" top="0.59055118110236227" bottom="0" header="0.31496062992125984" footer="0.31496062992125984"/>
  <pageSetup paperSize="9" scale="60" fitToHeight="4" orientation="landscape" r:id="rId1"/>
  <rowBreaks count="1" manualBreakCount="1">
    <brk id="61" max="3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H159"/>
  <sheetViews>
    <sheetView zoomScale="85" zoomScaleNormal="85" zoomScaleSheetLayoutView="130" workbookViewId="0">
      <pane xSplit="3" ySplit="13" topLeftCell="D134" activePane="bottomRight" state="frozen"/>
      <selection activeCell="G157" sqref="G157"/>
      <selection pane="topRight" activeCell="G157" sqref="G157"/>
      <selection pane="bottomLeft" activeCell="G157" sqref="G157"/>
      <selection pane="bottomRight" activeCell="L151" sqref="L151"/>
    </sheetView>
  </sheetViews>
  <sheetFormatPr defaultRowHeight="12.75" x14ac:dyDescent="0.2"/>
  <cols>
    <col min="1" max="1" width="4.28515625" style="24" customWidth="1"/>
    <col min="2" max="2" width="6.42578125" style="24" customWidth="1"/>
    <col min="3" max="3" width="30" style="24" customWidth="1"/>
    <col min="4" max="4" width="9.7109375" style="24" customWidth="1"/>
    <col min="5" max="5" width="11" style="24" customWidth="1"/>
    <col min="6" max="6" width="9.5703125" style="24" customWidth="1"/>
    <col min="7" max="8" width="8.140625" style="62" customWidth="1"/>
    <col min="9" max="9" width="7.85546875" style="62" customWidth="1"/>
    <col min="10" max="10" width="6.7109375" style="62" customWidth="1"/>
    <col min="11" max="11" width="9.5703125" style="62" customWidth="1"/>
    <col min="12" max="12" width="10.28515625" style="62" customWidth="1"/>
    <col min="13" max="13" width="10.140625" style="62" customWidth="1"/>
    <col min="14" max="14" width="11.28515625" style="62" customWidth="1"/>
    <col min="15" max="15" width="8.140625" style="62" customWidth="1"/>
    <col min="16" max="21" width="11.5703125" style="62" customWidth="1"/>
    <col min="22" max="22" width="8.28515625" style="62" customWidth="1"/>
    <col min="23" max="23" width="7.28515625" style="62" customWidth="1"/>
    <col min="24" max="24" width="10.140625" style="62" customWidth="1"/>
    <col min="25" max="25" width="9.5703125" style="62" customWidth="1"/>
    <col min="26" max="26" width="8.7109375" style="62" customWidth="1"/>
    <col min="27" max="27" width="12.28515625" style="62" customWidth="1"/>
    <col min="28" max="32" width="9.85546875" style="62" customWidth="1"/>
    <col min="33" max="33" width="12.7109375" style="62" customWidth="1"/>
    <col min="34" max="34" width="12.140625" style="24" customWidth="1"/>
    <col min="35" max="16384" width="9.140625" style="24"/>
  </cols>
  <sheetData>
    <row r="1" spans="1:34" ht="24.75" customHeight="1" x14ac:dyDescent="0.2">
      <c r="A1" s="642" t="s">
        <v>263</v>
      </c>
      <c r="B1" s="642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</row>
    <row r="2" spans="1:34" ht="9.75" customHeight="1" x14ac:dyDescent="0.2">
      <c r="A2" s="25"/>
      <c r="B2" s="25"/>
      <c r="C2" s="25"/>
      <c r="D2" s="26"/>
      <c r="E2" s="26"/>
      <c r="F2" s="26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</row>
    <row r="3" spans="1:34" s="28" customFormat="1" ht="12.75" customHeight="1" x14ac:dyDescent="0.2">
      <c r="A3" s="644" t="s">
        <v>0</v>
      </c>
      <c r="B3" s="644" t="s">
        <v>203</v>
      </c>
      <c r="C3" s="644" t="s">
        <v>204</v>
      </c>
      <c r="D3" s="647" t="s">
        <v>264</v>
      </c>
      <c r="E3" s="647"/>
      <c r="F3" s="647"/>
      <c r="G3" s="648" t="s">
        <v>265</v>
      </c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  <c r="Y3" s="648"/>
      <c r="Z3" s="648"/>
      <c r="AA3" s="648"/>
      <c r="AB3" s="648"/>
      <c r="AC3" s="648"/>
      <c r="AD3" s="648"/>
      <c r="AE3" s="648"/>
      <c r="AF3" s="648"/>
      <c r="AG3" s="648"/>
      <c r="AH3" s="648"/>
    </row>
    <row r="4" spans="1:34" s="28" customFormat="1" ht="15.75" customHeight="1" x14ac:dyDescent="0.2">
      <c r="A4" s="645"/>
      <c r="B4" s="645"/>
      <c r="C4" s="645"/>
      <c r="D4" s="644" t="s">
        <v>266</v>
      </c>
      <c r="E4" s="649" t="s">
        <v>16</v>
      </c>
      <c r="F4" s="650"/>
      <c r="G4" s="655" t="s">
        <v>267</v>
      </c>
      <c r="H4" s="656"/>
      <c r="I4" s="655" t="s">
        <v>268</v>
      </c>
      <c r="J4" s="656"/>
      <c r="K4" s="655" t="s">
        <v>269</v>
      </c>
      <c r="L4" s="661"/>
      <c r="M4" s="661"/>
      <c r="N4" s="655" t="s">
        <v>270</v>
      </c>
      <c r="O4" s="656"/>
      <c r="P4" s="648" t="s">
        <v>271</v>
      </c>
      <c r="Q4" s="648"/>
      <c r="R4" s="648"/>
      <c r="S4" s="648"/>
      <c r="T4" s="648"/>
      <c r="U4" s="648"/>
      <c r="V4" s="655" t="s">
        <v>272</v>
      </c>
      <c r="W4" s="656"/>
      <c r="X4" s="648" t="s">
        <v>273</v>
      </c>
      <c r="Y4" s="648"/>
      <c r="Z4" s="648"/>
      <c r="AA4" s="648"/>
      <c r="AB4" s="648"/>
      <c r="AC4" s="648"/>
      <c r="AD4" s="648"/>
      <c r="AE4" s="648"/>
      <c r="AF4" s="648"/>
      <c r="AG4" s="648"/>
      <c r="AH4" s="648"/>
    </row>
    <row r="5" spans="1:34" s="28" customFormat="1" ht="15.75" customHeight="1" x14ac:dyDescent="0.2">
      <c r="A5" s="645"/>
      <c r="B5" s="645"/>
      <c r="C5" s="645"/>
      <c r="D5" s="645"/>
      <c r="E5" s="651"/>
      <c r="F5" s="652"/>
      <c r="G5" s="657"/>
      <c r="H5" s="658"/>
      <c r="I5" s="657"/>
      <c r="J5" s="658"/>
      <c r="K5" s="659"/>
      <c r="L5" s="662"/>
      <c r="M5" s="662"/>
      <c r="N5" s="657"/>
      <c r="O5" s="658"/>
      <c r="P5" s="649" t="s">
        <v>274</v>
      </c>
      <c r="Q5" s="650"/>
      <c r="R5" s="648" t="s">
        <v>213</v>
      </c>
      <c r="S5" s="648"/>
      <c r="T5" s="648"/>
      <c r="U5" s="648"/>
      <c r="V5" s="657"/>
      <c r="W5" s="658"/>
      <c r="X5" s="655" t="s">
        <v>1</v>
      </c>
      <c r="Y5" s="648" t="s">
        <v>16</v>
      </c>
      <c r="Z5" s="648"/>
      <c r="AA5" s="648"/>
      <c r="AB5" s="648"/>
      <c r="AC5" s="648"/>
      <c r="AD5" s="648"/>
      <c r="AE5" s="648"/>
      <c r="AF5" s="648"/>
      <c r="AG5" s="648"/>
      <c r="AH5" s="648"/>
    </row>
    <row r="6" spans="1:34" s="28" customFormat="1" ht="47.25" customHeight="1" x14ac:dyDescent="0.2">
      <c r="A6" s="645"/>
      <c r="B6" s="645"/>
      <c r="C6" s="645"/>
      <c r="D6" s="645"/>
      <c r="E6" s="651"/>
      <c r="F6" s="652"/>
      <c r="G6" s="657"/>
      <c r="H6" s="658"/>
      <c r="I6" s="657"/>
      <c r="J6" s="658"/>
      <c r="K6" s="648" t="s">
        <v>275</v>
      </c>
      <c r="L6" s="648" t="s">
        <v>276</v>
      </c>
      <c r="M6" s="648" t="s">
        <v>277</v>
      </c>
      <c r="N6" s="657"/>
      <c r="O6" s="658"/>
      <c r="P6" s="651"/>
      <c r="Q6" s="652"/>
      <c r="R6" s="663" t="s">
        <v>216</v>
      </c>
      <c r="S6" s="664"/>
      <c r="T6" s="663" t="s">
        <v>217</v>
      </c>
      <c r="U6" s="664"/>
      <c r="V6" s="657"/>
      <c r="W6" s="658"/>
      <c r="X6" s="659"/>
      <c r="Y6" s="648" t="s">
        <v>278</v>
      </c>
      <c r="Z6" s="648"/>
      <c r="AA6" s="675" t="s">
        <v>279</v>
      </c>
      <c r="AB6" s="676"/>
      <c r="AC6" s="676"/>
      <c r="AD6" s="676"/>
      <c r="AE6" s="676"/>
      <c r="AF6" s="677"/>
      <c r="AG6" s="655" t="s">
        <v>280</v>
      </c>
      <c r="AH6" s="656"/>
    </row>
    <row r="7" spans="1:34" s="29" customFormat="1" ht="22.5" customHeight="1" x14ac:dyDescent="0.25">
      <c r="A7" s="645"/>
      <c r="B7" s="645"/>
      <c r="C7" s="645"/>
      <c r="D7" s="645"/>
      <c r="E7" s="651"/>
      <c r="F7" s="652"/>
      <c r="G7" s="659"/>
      <c r="H7" s="660"/>
      <c r="I7" s="659"/>
      <c r="J7" s="660"/>
      <c r="K7" s="648"/>
      <c r="L7" s="648"/>
      <c r="M7" s="648"/>
      <c r="N7" s="659"/>
      <c r="O7" s="660"/>
      <c r="P7" s="651"/>
      <c r="Q7" s="652"/>
      <c r="R7" s="665"/>
      <c r="S7" s="666"/>
      <c r="T7" s="665"/>
      <c r="U7" s="666"/>
      <c r="V7" s="659"/>
      <c r="W7" s="660"/>
      <c r="X7" s="669" t="s">
        <v>281</v>
      </c>
      <c r="Y7" s="649" t="s">
        <v>281</v>
      </c>
      <c r="Z7" s="650"/>
      <c r="AA7" s="649" t="s">
        <v>274</v>
      </c>
      <c r="AB7" s="650"/>
      <c r="AC7" s="672" t="s">
        <v>213</v>
      </c>
      <c r="AD7" s="673"/>
      <c r="AE7" s="673"/>
      <c r="AF7" s="674"/>
      <c r="AG7" s="659"/>
      <c r="AH7" s="660"/>
    </row>
    <row r="8" spans="1:34" s="29" customFormat="1" ht="26.25" customHeight="1" x14ac:dyDescent="0.25">
      <c r="A8" s="645"/>
      <c r="B8" s="645"/>
      <c r="C8" s="645"/>
      <c r="D8" s="645"/>
      <c r="E8" s="653"/>
      <c r="F8" s="654"/>
      <c r="G8" s="647" t="s">
        <v>281</v>
      </c>
      <c r="H8" s="647"/>
      <c r="I8" s="647" t="s">
        <v>281</v>
      </c>
      <c r="J8" s="647"/>
      <c r="K8" s="672" t="s">
        <v>281</v>
      </c>
      <c r="L8" s="673"/>
      <c r="M8" s="674"/>
      <c r="N8" s="647" t="s">
        <v>281</v>
      </c>
      <c r="O8" s="647"/>
      <c r="P8" s="653"/>
      <c r="Q8" s="654"/>
      <c r="R8" s="667"/>
      <c r="S8" s="668"/>
      <c r="T8" s="667"/>
      <c r="U8" s="668"/>
      <c r="V8" s="647" t="s">
        <v>281</v>
      </c>
      <c r="W8" s="647"/>
      <c r="X8" s="670"/>
      <c r="Y8" s="653"/>
      <c r="Z8" s="654"/>
      <c r="AA8" s="653"/>
      <c r="AB8" s="654"/>
      <c r="AC8" s="663" t="s">
        <v>216</v>
      </c>
      <c r="AD8" s="664"/>
      <c r="AE8" s="672" t="s">
        <v>217</v>
      </c>
      <c r="AF8" s="674"/>
      <c r="AG8" s="647" t="s">
        <v>281</v>
      </c>
      <c r="AH8" s="647"/>
    </row>
    <row r="9" spans="1:34" s="28" customFormat="1" ht="19.5" customHeight="1" x14ac:dyDescent="0.2">
      <c r="A9" s="646"/>
      <c r="B9" s="646"/>
      <c r="C9" s="646"/>
      <c r="D9" s="646"/>
      <c r="E9" s="30" t="s">
        <v>218</v>
      </c>
      <c r="F9" s="30" t="s">
        <v>219</v>
      </c>
      <c r="G9" s="30" t="s">
        <v>218</v>
      </c>
      <c r="H9" s="30" t="s">
        <v>219</v>
      </c>
      <c r="I9" s="30" t="s">
        <v>218</v>
      </c>
      <c r="J9" s="30" t="s">
        <v>219</v>
      </c>
      <c r="K9" s="30" t="s">
        <v>218</v>
      </c>
      <c r="L9" s="30" t="s">
        <v>218</v>
      </c>
      <c r="M9" s="30" t="s">
        <v>218</v>
      </c>
      <c r="N9" s="30" t="s">
        <v>218</v>
      </c>
      <c r="O9" s="30" t="s">
        <v>219</v>
      </c>
      <c r="P9" s="30" t="s">
        <v>218</v>
      </c>
      <c r="Q9" s="30" t="s">
        <v>219</v>
      </c>
      <c r="R9" s="30" t="s">
        <v>218</v>
      </c>
      <c r="S9" s="30" t="s">
        <v>219</v>
      </c>
      <c r="T9" s="30" t="s">
        <v>218</v>
      </c>
      <c r="U9" s="30" t="s">
        <v>219</v>
      </c>
      <c r="V9" s="30" t="s">
        <v>218</v>
      </c>
      <c r="W9" s="30" t="s">
        <v>219</v>
      </c>
      <c r="X9" s="671"/>
      <c r="Y9" s="30" t="s">
        <v>218</v>
      </c>
      <c r="Z9" s="30" t="s">
        <v>219</v>
      </c>
      <c r="AA9" s="30" t="s">
        <v>218</v>
      </c>
      <c r="AB9" s="30" t="s">
        <v>219</v>
      </c>
      <c r="AC9" s="30" t="s">
        <v>218</v>
      </c>
      <c r="AD9" s="30" t="s">
        <v>219</v>
      </c>
      <c r="AE9" s="30" t="s">
        <v>218</v>
      </c>
      <c r="AF9" s="30" t="s">
        <v>219</v>
      </c>
      <c r="AG9" s="30" t="s">
        <v>218</v>
      </c>
      <c r="AH9" s="31" t="s">
        <v>219</v>
      </c>
    </row>
    <row r="10" spans="1:34" s="28" customFormat="1" ht="12" x14ac:dyDescent="0.2">
      <c r="A10" s="678" t="s">
        <v>1</v>
      </c>
      <c r="B10" s="678"/>
      <c r="C10" s="678"/>
      <c r="D10" s="32">
        <f>D11+D12+D13</f>
        <v>7153215</v>
      </c>
      <c r="E10" s="32">
        <f t="shared" ref="E10:AH10" si="0">E11+E12+E13</f>
        <v>5309151</v>
      </c>
      <c r="F10" s="32">
        <f t="shared" si="0"/>
        <v>1822601</v>
      </c>
      <c r="G10" s="32">
        <f t="shared" si="0"/>
        <v>19803</v>
      </c>
      <c r="H10" s="32">
        <f t="shared" si="0"/>
        <v>5</v>
      </c>
      <c r="I10" s="32">
        <f t="shared" si="0"/>
        <v>63567</v>
      </c>
      <c r="J10" s="32">
        <f t="shared" si="0"/>
        <v>22</v>
      </c>
      <c r="K10" s="32">
        <f t="shared" si="0"/>
        <v>832</v>
      </c>
      <c r="L10" s="32">
        <f t="shared" si="0"/>
        <v>832</v>
      </c>
      <c r="M10" s="32">
        <f t="shared" si="0"/>
        <v>3336</v>
      </c>
      <c r="N10" s="32">
        <f t="shared" si="0"/>
        <v>143672</v>
      </c>
      <c r="O10" s="32">
        <f t="shared" si="0"/>
        <v>21157</v>
      </c>
      <c r="P10" s="32">
        <f t="shared" si="0"/>
        <v>221750</v>
      </c>
      <c r="Q10" s="32">
        <f t="shared" si="0"/>
        <v>108305</v>
      </c>
      <c r="R10" s="32">
        <f t="shared" si="0"/>
        <v>117794</v>
      </c>
      <c r="S10" s="32">
        <f t="shared" si="0"/>
        <v>55251</v>
      </c>
      <c r="T10" s="32">
        <f t="shared" si="0"/>
        <v>8178</v>
      </c>
      <c r="U10" s="32">
        <f t="shared" si="0"/>
        <v>7643</v>
      </c>
      <c r="V10" s="32">
        <f t="shared" si="0"/>
        <v>22785</v>
      </c>
      <c r="W10" s="32">
        <f t="shared" si="0"/>
        <v>17930</v>
      </c>
      <c r="X10" s="32">
        <f t="shared" si="0"/>
        <v>6509220</v>
      </c>
      <c r="Y10" s="32">
        <f t="shared" si="0"/>
        <v>836819</v>
      </c>
      <c r="Z10" s="32">
        <f t="shared" si="0"/>
        <v>143433</v>
      </c>
      <c r="AA10" s="32">
        <f t="shared" si="0"/>
        <v>557996</v>
      </c>
      <c r="AB10" s="32">
        <f t="shared" si="0"/>
        <v>197174</v>
      </c>
      <c r="AC10" s="32">
        <f t="shared" si="0"/>
        <v>218792</v>
      </c>
      <c r="AD10" s="32">
        <f t="shared" si="0"/>
        <v>79039</v>
      </c>
      <c r="AE10" s="32">
        <f t="shared" si="0"/>
        <v>61063</v>
      </c>
      <c r="AF10" s="32">
        <f t="shared" si="0"/>
        <v>22694</v>
      </c>
      <c r="AG10" s="32">
        <f t="shared" si="0"/>
        <v>3439223</v>
      </c>
      <c r="AH10" s="32">
        <f t="shared" si="0"/>
        <v>1334575</v>
      </c>
    </row>
    <row r="11" spans="1:34" s="28" customFormat="1" ht="12" customHeight="1" x14ac:dyDescent="0.2">
      <c r="A11" s="679" t="s">
        <v>17</v>
      </c>
      <c r="B11" s="680"/>
      <c r="C11" s="681"/>
      <c r="D11" s="33">
        <v>19999</v>
      </c>
      <c r="E11" s="34"/>
      <c r="F11" s="34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5"/>
      <c r="Y11" s="30"/>
      <c r="Z11" s="30"/>
      <c r="AA11" s="30"/>
      <c r="AB11" s="30"/>
      <c r="AC11" s="30"/>
      <c r="AD11" s="30"/>
      <c r="AE11" s="30"/>
      <c r="AF11" s="30"/>
      <c r="AG11" s="30"/>
      <c r="AH11" s="31"/>
    </row>
    <row r="12" spans="1:34" s="28" customFormat="1" ht="12" customHeight="1" x14ac:dyDescent="0.2">
      <c r="A12" s="679" t="s">
        <v>282</v>
      </c>
      <c r="B12" s="680"/>
      <c r="C12" s="681"/>
      <c r="D12" s="33">
        <v>1464</v>
      </c>
      <c r="E12" s="34"/>
      <c r="F12" s="34"/>
      <c r="G12" s="30"/>
      <c r="H12" s="30"/>
      <c r="I12" s="30"/>
      <c r="J12" s="30"/>
      <c r="K12" s="30"/>
      <c r="L12" s="30"/>
      <c r="M12" s="30"/>
      <c r="N12" s="30">
        <v>1464</v>
      </c>
      <c r="O12" s="30"/>
      <c r="P12" s="30"/>
      <c r="Q12" s="30"/>
      <c r="R12" s="30"/>
      <c r="S12" s="30"/>
      <c r="T12" s="30"/>
      <c r="U12" s="30"/>
      <c r="V12" s="30"/>
      <c r="W12" s="30"/>
      <c r="X12" s="35"/>
      <c r="Y12" s="30"/>
      <c r="Z12" s="30"/>
      <c r="AA12" s="30"/>
      <c r="AB12" s="30"/>
      <c r="AC12" s="30"/>
      <c r="AD12" s="30"/>
      <c r="AE12" s="30"/>
      <c r="AF12" s="30"/>
      <c r="AG12" s="30"/>
      <c r="AH12" s="31"/>
    </row>
    <row r="13" spans="1:34" s="28" customFormat="1" ht="12" customHeight="1" x14ac:dyDescent="0.2">
      <c r="A13" s="679" t="s">
        <v>18</v>
      </c>
      <c r="B13" s="680"/>
      <c r="C13" s="681"/>
      <c r="D13" s="32">
        <f>SUM(D14:D157)</f>
        <v>7131752</v>
      </c>
      <c r="E13" s="32">
        <f t="shared" ref="E13:AH13" si="1">SUM(E14:E157)</f>
        <v>5309151</v>
      </c>
      <c r="F13" s="32">
        <f t="shared" si="1"/>
        <v>1822601</v>
      </c>
      <c r="G13" s="32">
        <f t="shared" si="1"/>
        <v>19803</v>
      </c>
      <c r="H13" s="32">
        <f t="shared" si="1"/>
        <v>5</v>
      </c>
      <c r="I13" s="32">
        <f t="shared" si="1"/>
        <v>63567</v>
      </c>
      <c r="J13" s="32">
        <f t="shared" si="1"/>
        <v>22</v>
      </c>
      <c r="K13" s="32">
        <f t="shared" si="1"/>
        <v>832</v>
      </c>
      <c r="L13" s="32">
        <f t="shared" si="1"/>
        <v>832</v>
      </c>
      <c r="M13" s="32">
        <f t="shared" si="1"/>
        <v>3336</v>
      </c>
      <c r="N13" s="32">
        <f t="shared" si="1"/>
        <v>142208</v>
      </c>
      <c r="O13" s="32">
        <f t="shared" si="1"/>
        <v>21157</v>
      </c>
      <c r="P13" s="32">
        <f t="shared" si="1"/>
        <v>221750</v>
      </c>
      <c r="Q13" s="32">
        <f t="shared" si="1"/>
        <v>108305</v>
      </c>
      <c r="R13" s="32">
        <f t="shared" si="1"/>
        <v>117794</v>
      </c>
      <c r="S13" s="32">
        <f t="shared" si="1"/>
        <v>55251</v>
      </c>
      <c r="T13" s="32">
        <f t="shared" si="1"/>
        <v>8178</v>
      </c>
      <c r="U13" s="32">
        <f t="shared" si="1"/>
        <v>7643</v>
      </c>
      <c r="V13" s="32">
        <f t="shared" si="1"/>
        <v>22785</v>
      </c>
      <c r="W13" s="32">
        <f t="shared" si="1"/>
        <v>17930</v>
      </c>
      <c r="X13" s="32">
        <f t="shared" si="1"/>
        <v>6509220</v>
      </c>
      <c r="Y13" s="32">
        <f t="shared" si="1"/>
        <v>836819</v>
      </c>
      <c r="Z13" s="32">
        <f t="shared" si="1"/>
        <v>143433</v>
      </c>
      <c r="AA13" s="32">
        <f t="shared" si="1"/>
        <v>557996</v>
      </c>
      <c r="AB13" s="32">
        <f t="shared" si="1"/>
        <v>197174</v>
      </c>
      <c r="AC13" s="32">
        <f t="shared" si="1"/>
        <v>218792</v>
      </c>
      <c r="AD13" s="32">
        <f t="shared" si="1"/>
        <v>79039</v>
      </c>
      <c r="AE13" s="32">
        <f t="shared" si="1"/>
        <v>61063</v>
      </c>
      <c r="AF13" s="32">
        <f t="shared" si="1"/>
        <v>22694</v>
      </c>
      <c r="AG13" s="32">
        <f t="shared" si="1"/>
        <v>3439223</v>
      </c>
      <c r="AH13" s="32">
        <f t="shared" si="1"/>
        <v>1334575</v>
      </c>
    </row>
    <row r="14" spans="1:34" ht="15.75" customHeight="1" x14ac:dyDescent="0.2">
      <c r="A14" s="36">
        <v>1</v>
      </c>
      <c r="B14" s="37" t="s">
        <v>19</v>
      </c>
      <c r="C14" s="38" t="s">
        <v>20</v>
      </c>
      <c r="D14" s="39">
        <f t="shared" ref="D14:D81" si="2">E14+F14</f>
        <v>31988</v>
      </c>
      <c r="E14" s="39">
        <f>G14+I14+K14+L14+M14+N14+P14+V14+Y14+AA14+AG14</f>
        <v>23269</v>
      </c>
      <c r="F14" s="39">
        <f t="shared" ref="F14:F81" si="3">H14+J14+O14+Q14+W14+Z14+AB14+AH14</f>
        <v>8719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31988</v>
      </c>
      <c r="Y14" s="39">
        <v>4395</v>
      </c>
      <c r="Z14" s="39">
        <v>329</v>
      </c>
      <c r="AA14" s="39">
        <v>2442</v>
      </c>
      <c r="AB14" s="39">
        <v>373</v>
      </c>
      <c r="AC14" s="39">
        <v>1221</v>
      </c>
      <c r="AD14" s="39">
        <v>187</v>
      </c>
      <c r="AE14" s="39">
        <v>0</v>
      </c>
      <c r="AF14" s="39">
        <v>0</v>
      </c>
      <c r="AG14" s="39">
        <v>16432</v>
      </c>
      <c r="AH14" s="39">
        <v>8017</v>
      </c>
    </row>
    <row r="15" spans="1:34" ht="15.75" customHeight="1" x14ac:dyDescent="0.2">
      <c r="A15" s="36">
        <v>2</v>
      </c>
      <c r="B15" s="37" t="s">
        <v>21</v>
      </c>
      <c r="C15" s="38" t="s">
        <v>153</v>
      </c>
      <c r="D15" s="39">
        <f t="shared" si="2"/>
        <v>32703</v>
      </c>
      <c r="E15" s="39">
        <f t="shared" ref="E15:E82" si="4">G15+I15+K15+L15+M15+N15+P15+V15+Y15+AA15+AG15</f>
        <v>26280</v>
      </c>
      <c r="F15" s="39">
        <f t="shared" si="3"/>
        <v>6423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40">
        <v>32703</v>
      </c>
      <c r="Y15" s="39">
        <v>2370</v>
      </c>
      <c r="Z15" s="39">
        <v>180</v>
      </c>
      <c r="AA15" s="39">
        <v>4438</v>
      </c>
      <c r="AB15" s="39">
        <v>1080</v>
      </c>
      <c r="AC15" s="39">
        <v>2219</v>
      </c>
      <c r="AD15" s="39">
        <v>540</v>
      </c>
      <c r="AE15" s="39">
        <v>0</v>
      </c>
      <c r="AF15" s="39">
        <v>0</v>
      </c>
      <c r="AG15" s="39">
        <v>19472</v>
      </c>
      <c r="AH15" s="39">
        <v>5163</v>
      </c>
    </row>
    <row r="16" spans="1:34" ht="13.5" customHeight="1" x14ac:dyDescent="0.2">
      <c r="A16" s="36">
        <v>3</v>
      </c>
      <c r="B16" s="37" t="s">
        <v>22</v>
      </c>
      <c r="C16" s="38" t="s">
        <v>23</v>
      </c>
      <c r="D16" s="39">
        <f t="shared" si="2"/>
        <v>99845</v>
      </c>
      <c r="E16" s="39">
        <f t="shared" si="4"/>
        <v>74781</v>
      </c>
      <c r="F16" s="39">
        <f t="shared" si="3"/>
        <v>25064</v>
      </c>
      <c r="G16" s="39">
        <v>3465</v>
      </c>
      <c r="H16" s="39">
        <v>5</v>
      </c>
      <c r="I16" s="39">
        <v>316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96059</v>
      </c>
      <c r="Y16" s="39">
        <v>12726</v>
      </c>
      <c r="Z16" s="39">
        <v>2462</v>
      </c>
      <c r="AA16" s="39">
        <v>13360</v>
      </c>
      <c r="AB16" s="39">
        <v>6308</v>
      </c>
      <c r="AC16" s="39">
        <v>6029</v>
      </c>
      <c r="AD16" s="39">
        <v>3005</v>
      </c>
      <c r="AE16" s="39">
        <v>330</v>
      </c>
      <c r="AF16" s="39">
        <v>149</v>
      </c>
      <c r="AG16" s="39">
        <v>44914</v>
      </c>
      <c r="AH16" s="39">
        <v>16289</v>
      </c>
    </row>
    <row r="17" spans="1:34" ht="13.5" customHeight="1" x14ac:dyDescent="0.2">
      <c r="A17" s="36">
        <v>4</v>
      </c>
      <c r="B17" s="37" t="s">
        <v>24</v>
      </c>
      <c r="C17" s="1" t="s">
        <v>154</v>
      </c>
      <c r="D17" s="39">
        <f t="shared" si="2"/>
        <v>36037</v>
      </c>
      <c r="E17" s="39">
        <f t="shared" si="4"/>
        <v>29872</v>
      </c>
      <c r="F17" s="39">
        <f t="shared" si="3"/>
        <v>6165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36037</v>
      </c>
      <c r="Y17" s="39">
        <v>2488</v>
      </c>
      <c r="Z17" s="39">
        <v>223</v>
      </c>
      <c r="AA17" s="39">
        <v>4280</v>
      </c>
      <c r="AB17" s="39">
        <v>1497</v>
      </c>
      <c r="AC17" s="39">
        <v>1569</v>
      </c>
      <c r="AD17" s="39">
        <v>549</v>
      </c>
      <c r="AE17" s="39">
        <v>571</v>
      </c>
      <c r="AF17" s="39">
        <v>200</v>
      </c>
      <c r="AG17" s="39">
        <v>23104</v>
      </c>
      <c r="AH17" s="39">
        <v>4445</v>
      </c>
    </row>
    <row r="18" spans="1:34" ht="13.5" customHeight="1" x14ac:dyDescent="0.2">
      <c r="A18" s="36">
        <v>5</v>
      </c>
      <c r="B18" s="37" t="s">
        <v>25</v>
      </c>
      <c r="C18" s="38" t="s">
        <v>26</v>
      </c>
      <c r="D18" s="39">
        <f t="shared" si="2"/>
        <v>38683</v>
      </c>
      <c r="E18" s="39">
        <f t="shared" si="4"/>
        <v>29128</v>
      </c>
      <c r="F18" s="39">
        <f t="shared" si="3"/>
        <v>9555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40">
        <v>38683</v>
      </c>
      <c r="Y18" s="39">
        <v>2035</v>
      </c>
      <c r="Z18" s="39">
        <v>585</v>
      </c>
      <c r="AA18" s="39">
        <v>5493</v>
      </c>
      <c r="AB18" s="39">
        <v>1680</v>
      </c>
      <c r="AC18" s="39">
        <v>2248</v>
      </c>
      <c r="AD18" s="39">
        <v>840</v>
      </c>
      <c r="AE18" s="39">
        <v>349</v>
      </c>
      <c r="AF18" s="39">
        <v>150</v>
      </c>
      <c r="AG18" s="39">
        <v>21600</v>
      </c>
      <c r="AH18" s="39">
        <v>7290</v>
      </c>
    </row>
    <row r="19" spans="1:34" ht="13.5" customHeight="1" x14ac:dyDescent="0.2">
      <c r="A19" s="36">
        <v>6</v>
      </c>
      <c r="B19" s="37" t="s">
        <v>4</v>
      </c>
      <c r="C19" s="2" t="s">
        <v>27</v>
      </c>
      <c r="D19" s="39">
        <f t="shared" si="2"/>
        <v>274223</v>
      </c>
      <c r="E19" s="39">
        <f t="shared" si="4"/>
        <v>201740</v>
      </c>
      <c r="F19" s="39">
        <f t="shared" si="3"/>
        <v>72483</v>
      </c>
      <c r="G19" s="39">
        <v>0</v>
      </c>
      <c r="H19" s="39">
        <v>0</v>
      </c>
      <c r="I19" s="39">
        <v>6399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40">
        <v>267824</v>
      </c>
      <c r="Y19" s="39">
        <v>35088</v>
      </c>
      <c r="Z19" s="39">
        <v>2827</v>
      </c>
      <c r="AA19" s="39">
        <v>23357</v>
      </c>
      <c r="AB19" s="39">
        <v>7675</v>
      </c>
      <c r="AC19" s="39">
        <v>9317</v>
      </c>
      <c r="AD19" s="39">
        <v>2581</v>
      </c>
      <c r="AE19" s="39">
        <v>2361</v>
      </c>
      <c r="AF19" s="39">
        <v>857</v>
      </c>
      <c r="AG19" s="39">
        <v>136896</v>
      </c>
      <c r="AH19" s="39">
        <v>61981</v>
      </c>
    </row>
    <row r="20" spans="1:34" ht="13.5" customHeight="1" x14ac:dyDescent="0.2">
      <c r="A20" s="36">
        <v>7</v>
      </c>
      <c r="B20" s="37" t="s">
        <v>28</v>
      </c>
      <c r="C20" s="38" t="s">
        <v>155</v>
      </c>
      <c r="D20" s="39">
        <f t="shared" si="2"/>
        <v>97110</v>
      </c>
      <c r="E20" s="39">
        <f t="shared" si="4"/>
        <v>68995</v>
      </c>
      <c r="F20" s="39">
        <f t="shared" si="3"/>
        <v>28115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40">
        <v>97110</v>
      </c>
      <c r="Y20" s="39">
        <v>9594</v>
      </c>
      <c r="Z20" s="39">
        <v>1688</v>
      </c>
      <c r="AA20" s="39">
        <v>18467</v>
      </c>
      <c r="AB20" s="39">
        <v>1850</v>
      </c>
      <c r="AC20" s="39">
        <v>7386</v>
      </c>
      <c r="AD20" s="39">
        <v>740</v>
      </c>
      <c r="AE20" s="39">
        <v>1847</v>
      </c>
      <c r="AF20" s="39">
        <v>185</v>
      </c>
      <c r="AG20" s="39">
        <v>40934</v>
      </c>
      <c r="AH20" s="39">
        <v>24577</v>
      </c>
    </row>
    <row r="21" spans="1:34" ht="13.5" customHeight="1" x14ac:dyDescent="0.2">
      <c r="A21" s="36">
        <v>8</v>
      </c>
      <c r="B21" s="37" t="s">
        <v>29</v>
      </c>
      <c r="C21" s="41" t="s">
        <v>30</v>
      </c>
      <c r="D21" s="39">
        <f t="shared" si="2"/>
        <v>40861</v>
      </c>
      <c r="E21" s="39">
        <f t="shared" si="4"/>
        <v>30177</v>
      </c>
      <c r="F21" s="39">
        <f t="shared" si="3"/>
        <v>10684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40">
        <v>40861</v>
      </c>
      <c r="Y21" s="39">
        <v>2601</v>
      </c>
      <c r="Z21" s="39">
        <v>500</v>
      </c>
      <c r="AA21" s="39">
        <v>9738</v>
      </c>
      <c r="AB21" s="39">
        <v>1564</v>
      </c>
      <c r="AC21" s="39">
        <v>4869</v>
      </c>
      <c r="AD21" s="39">
        <v>782</v>
      </c>
      <c r="AE21" s="39">
        <v>0</v>
      </c>
      <c r="AF21" s="39">
        <v>0</v>
      </c>
      <c r="AG21" s="39">
        <v>17838</v>
      </c>
      <c r="AH21" s="39">
        <v>8620</v>
      </c>
    </row>
    <row r="22" spans="1:34" ht="13.5" customHeight="1" x14ac:dyDescent="0.2">
      <c r="A22" s="36">
        <v>9</v>
      </c>
      <c r="B22" s="37" t="s">
        <v>31</v>
      </c>
      <c r="C22" s="41" t="s">
        <v>32</v>
      </c>
      <c r="D22" s="39">
        <f t="shared" si="2"/>
        <v>37060</v>
      </c>
      <c r="E22" s="39">
        <f t="shared" si="4"/>
        <v>28228</v>
      </c>
      <c r="F22" s="39">
        <f t="shared" si="3"/>
        <v>8832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37060</v>
      </c>
      <c r="Y22" s="39">
        <v>3510</v>
      </c>
      <c r="Z22" s="39">
        <v>170</v>
      </c>
      <c r="AA22" s="39">
        <v>4888</v>
      </c>
      <c r="AB22" s="39">
        <v>760</v>
      </c>
      <c r="AC22" s="39">
        <v>1845</v>
      </c>
      <c r="AD22" s="39">
        <v>287</v>
      </c>
      <c r="AE22" s="39">
        <v>599</v>
      </c>
      <c r="AF22" s="39">
        <v>93</v>
      </c>
      <c r="AG22" s="39">
        <v>19830</v>
      </c>
      <c r="AH22" s="39">
        <v>7902</v>
      </c>
    </row>
    <row r="23" spans="1:34" ht="13.5" customHeight="1" x14ac:dyDescent="0.2">
      <c r="A23" s="36">
        <v>10</v>
      </c>
      <c r="B23" s="37" t="s">
        <v>33</v>
      </c>
      <c r="C23" s="38" t="s">
        <v>34</v>
      </c>
      <c r="D23" s="39">
        <f t="shared" si="2"/>
        <v>45416</v>
      </c>
      <c r="E23" s="39">
        <f t="shared" si="4"/>
        <v>31099</v>
      </c>
      <c r="F23" s="39">
        <f t="shared" si="3"/>
        <v>14317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45416</v>
      </c>
      <c r="Y23" s="39">
        <v>5657</v>
      </c>
      <c r="Z23" s="39">
        <v>242</v>
      </c>
      <c r="AA23" s="39">
        <v>4692</v>
      </c>
      <c r="AB23" s="39">
        <v>883</v>
      </c>
      <c r="AC23" s="39">
        <v>2133</v>
      </c>
      <c r="AD23" s="39">
        <v>402</v>
      </c>
      <c r="AE23" s="39">
        <v>213</v>
      </c>
      <c r="AF23" s="39">
        <v>40</v>
      </c>
      <c r="AG23" s="39">
        <v>20750</v>
      </c>
      <c r="AH23" s="39">
        <v>13192</v>
      </c>
    </row>
    <row r="24" spans="1:34" ht="13.5" customHeight="1" x14ac:dyDescent="0.2">
      <c r="A24" s="36">
        <v>11</v>
      </c>
      <c r="B24" s="37" t="s">
        <v>35</v>
      </c>
      <c r="C24" s="3" t="s">
        <v>36</v>
      </c>
      <c r="D24" s="39">
        <f t="shared" si="2"/>
        <v>37093</v>
      </c>
      <c r="E24" s="39">
        <f t="shared" si="4"/>
        <v>30654</v>
      </c>
      <c r="F24" s="39">
        <f t="shared" si="3"/>
        <v>6439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37093</v>
      </c>
      <c r="Y24" s="39">
        <v>3830</v>
      </c>
      <c r="Z24" s="39">
        <v>345</v>
      </c>
      <c r="AA24" s="39">
        <v>3200</v>
      </c>
      <c r="AB24" s="39">
        <v>1020</v>
      </c>
      <c r="AC24" s="39">
        <v>1412</v>
      </c>
      <c r="AD24" s="39">
        <v>450</v>
      </c>
      <c r="AE24" s="39">
        <v>188</v>
      </c>
      <c r="AF24" s="39">
        <v>60</v>
      </c>
      <c r="AG24" s="39">
        <v>23624</v>
      </c>
      <c r="AH24" s="39">
        <v>5074</v>
      </c>
    </row>
    <row r="25" spans="1:34" ht="13.5" customHeight="1" x14ac:dyDescent="0.2">
      <c r="A25" s="36">
        <v>12</v>
      </c>
      <c r="B25" s="37" t="s">
        <v>37</v>
      </c>
      <c r="C25" s="42" t="s">
        <v>38</v>
      </c>
      <c r="D25" s="39">
        <f t="shared" si="2"/>
        <v>73854</v>
      </c>
      <c r="E25" s="39">
        <f t="shared" si="4"/>
        <v>54004</v>
      </c>
      <c r="F25" s="39">
        <f t="shared" si="3"/>
        <v>19850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73854</v>
      </c>
      <c r="Y25" s="39">
        <v>7050</v>
      </c>
      <c r="Z25" s="39">
        <v>250</v>
      </c>
      <c r="AA25" s="39">
        <v>12552</v>
      </c>
      <c r="AB25" s="39">
        <v>4500</v>
      </c>
      <c r="AC25" s="39">
        <v>3138</v>
      </c>
      <c r="AD25" s="39">
        <v>1125</v>
      </c>
      <c r="AE25" s="39">
        <v>3138</v>
      </c>
      <c r="AF25" s="39">
        <v>1125</v>
      </c>
      <c r="AG25" s="39">
        <v>34402</v>
      </c>
      <c r="AH25" s="39">
        <v>15100</v>
      </c>
    </row>
    <row r="26" spans="1:34" ht="13.5" customHeight="1" x14ac:dyDescent="0.2">
      <c r="A26" s="36">
        <v>13</v>
      </c>
      <c r="B26" s="37" t="s">
        <v>166</v>
      </c>
      <c r="C26" s="38" t="s">
        <v>283</v>
      </c>
      <c r="D26" s="39">
        <f t="shared" si="2"/>
        <v>50</v>
      </c>
      <c r="E26" s="39">
        <f t="shared" si="4"/>
        <v>50</v>
      </c>
      <c r="F26" s="39">
        <f t="shared" si="3"/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45</v>
      </c>
      <c r="O26" s="39">
        <v>0</v>
      </c>
      <c r="P26" s="39">
        <v>5</v>
      </c>
      <c r="Q26" s="39">
        <v>0</v>
      </c>
      <c r="R26" s="39">
        <v>3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ht="13.5" customHeight="1" x14ac:dyDescent="0.2">
      <c r="A27" s="36">
        <v>14</v>
      </c>
      <c r="B27" s="37" t="s">
        <v>167</v>
      </c>
      <c r="C27" s="41" t="s">
        <v>284</v>
      </c>
      <c r="D27" s="39">
        <f t="shared" si="2"/>
        <v>0</v>
      </c>
      <c r="E27" s="39">
        <f t="shared" si="4"/>
        <v>0</v>
      </c>
      <c r="F27" s="39">
        <f t="shared" si="3"/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ht="13.5" customHeight="1" x14ac:dyDescent="0.2">
      <c r="A28" s="36">
        <v>15</v>
      </c>
      <c r="B28" s="37" t="s">
        <v>39</v>
      </c>
      <c r="C28" s="1" t="s">
        <v>40</v>
      </c>
      <c r="D28" s="39">
        <f t="shared" si="2"/>
        <v>48943</v>
      </c>
      <c r="E28" s="39">
        <f t="shared" si="4"/>
        <v>34584</v>
      </c>
      <c r="F28" s="39">
        <f t="shared" si="3"/>
        <v>14359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40">
        <v>48943</v>
      </c>
      <c r="Y28" s="39">
        <v>2685</v>
      </c>
      <c r="Z28" s="39">
        <v>551</v>
      </c>
      <c r="AA28" s="39">
        <v>5552</v>
      </c>
      <c r="AB28" s="39">
        <v>1790</v>
      </c>
      <c r="AC28" s="39">
        <v>1899</v>
      </c>
      <c r="AD28" s="39">
        <v>612</v>
      </c>
      <c r="AE28" s="39">
        <v>877</v>
      </c>
      <c r="AF28" s="39">
        <v>283</v>
      </c>
      <c r="AG28" s="39">
        <v>26347</v>
      </c>
      <c r="AH28" s="39">
        <v>12018</v>
      </c>
    </row>
    <row r="29" spans="1:34" ht="13.5" customHeight="1" x14ac:dyDescent="0.2">
      <c r="A29" s="36">
        <v>16</v>
      </c>
      <c r="B29" s="37" t="s">
        <v>41</v>
      </c>
      <c r="C29" s="38" t="s">
        <v>42</v>
      </c>
      <c r="D29" s="39">
        <f t="shared" si="2"/>
        <v>69517</v>
      </c>
      <c r="E29" s="39">
        <f t="shared" si="4"/>
        <v>50561</v>
      </c>
      <c r="F29" s="39">
        <f t="shared" si="3"/>
        <v>18956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40">
        <v>69517</v>
      </c>
      <c r="Y29" s="39">
        <v>3695</v>
      </c>
      <c r="Z29" s="39">
        <v>315</v>
      </c>
      <c r="AA29" s="39">
        <v>4720</v>
      </c>
      <c r="AB29" s="39">
        <v>455</v>
      </c>
      <c r="AC29" s="39">
        <v>2191</v>
      </c>
      <c r="AD29" s="39">
        <v>212</v>
      </c>
      <c r="AE29" s="39">
        <v>169</v>
      </c>
      <c r="AF29" s="39">
        <v>16</v>
      </c>
      <c r="AG29" s="39">
        <v>42146</v>
      </c>
      <c r="AH29" s="39">
        <v>18186</v>
      </c>
    </row>
    <row r="30" spans="1:34" ht="13.5" customHeight="1" x14ac:dyDescent="0.2">
      <c r="A30" s="36">
        <v>17</v>
      </c>
      <c r="B30" s="37" t="s">
        <v>43</v>
      </c>
      <c r="C30" s="38" t="s">
        <v>156</v>
      </c>
      <c r="D30" s="39">
        <f t="shared" si="2"/>
        <v>92293</v>
      </c>
      <c r="E30" s="39">
        <f t="shared" si="4"/>
        <v>63051</v>
      </c>
      <c r="F30" s="39">
        <f t="shared" si="3"/>
        <v>29242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92293</v>
      </c>
      <c r="Y30" s="39">
        <v>8640</v>
      </c>
      <c r="Z30" s="39">
        <v>400</v>
      </c>
      <c r="AA30" s="39">
        <v>13881</v>
      </c>
      <c r="AB30" s="39">
        <v>5203</v>
      </c>
      <c r="AC30" s="39">
        <v>6015</v>
      </c>
      <c r="AD30" s="39">
        <v>2255</v>
      </c>
      <c r="AE30" s="39">
        <v>925</v>
      </c>
      <c r="AF30" s="39">
        <v>347</v>
      </c>
      <c r="AG30" s="39">
        <v>40530</v>
      </c>
      <c r="AH30" s="39">
        <v>23639</v>
      </c>
    </row>
    <row r="31" spans="1:34" ht="13.5" customHeight="1" x14ac:dyDescent="0.2">
      <c r="A31" s="36">
        <v>18</v>
      </c>
      <c r="B31" s="37" t="s">
        <v>44</v>
      </c>
      <c r="C31" s="1" t="s">
        <v>45</v>
      </c>
      <c r="D31" s="39">
        <f t="shared" si="2"/>
        <v>174941</v>
      </c>
      <c r="E31" s="39">
        <f t="shared" si="4"/>
        <v>126816</v>
      </c>
      <c r="F31" s="39">
        <f t="shared" si="3"/>
        <v>48125</v>
      </c>
      <c r="G31" s="39">
        <v>0</v>
      </c>
      <c r="H31" s="39">
        <v>0</v>
      </c>
      <c r="I31" s="39">
        <v>5509</v>
      </c>
      <c r="J31" s="39">
        <v>10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169422</v>
      </c>
      <c r="Y31" s="39">
        <v>19238</v>
      </c>
      <c r="Z31" s="39">
        <v>1815</v>
      </c>
      <c r="AA31" s="39">
        <v>22013</v>
      </c>
      <c r="AB31" s="39">
        <v>9650</v>
      </c>
      <c r="AC31" s="39">
        <v>9593</v>
      </c>
      <c r="AD31" s="39">
        <v>4771</v>
      </c>
      <c r="AE31" s="39">
        <v>1411</v>
      </c>
      <c r="AF31" s="39">
        <v>554</v>
      </c>
      <c r="AG31" s="39">
        <v>80056</v>
      </c>
      <c r="AH31" s="39">
        <v>36650</v>
      </c>
    </row>
    <row r="32" spans="1:34" ht="13.5" customHeight="1" x14ac:dyDescent="0.2">
      <c r="A32" s="36">
        <v>19</v>
      </c>
      <c r="B32" s="37" t="s">
        <v>46</v>
      </c>
      <c r="C32" s="38" t="s">
        <v>47</v>
      </c>
      <c r="D32" s="39">
        <f t="shared" si="2"/>
        <v>28938</v>
      </c>
      <c r="E32" s="39">
        <f t="shared" si="4"/>
        <v>23213</v>
      </c>
      <c r="F32" s="39">
        <f t="shared" si="3"/>
        <v>5725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40">
        <v>28938</v>
      </c>
      <c r="Y32" s="39">
        <v>4710</v>
      </c>
      <c r="Z32" s="39">
        <v>195</v>
      </c>
      <c r="AA32" s="39">
        <v>4455</v>
      </c>
      <c r="AB32" s="39">
        <v>830</v>
      </c>
      <c r="AC32" s="39">
        <v>1653</v>
      </c>
      <c r="AD32" s="39">
        <v>308</v>
      </c>
      <c r="AE32" s="39">
        <v>575</v>
      </c>
      <c r="AF32" s="39">
        <v>107</v>
      </c>
      <c r="AG32" s="39">
        <v>14048</v>
      </c>
      <c r="AH32" s="39">
        <v>4700</v>
      </c>
    </row>
    <row r="33" spans="1:34" s="43" customFormat="1" ht="13.5" customHeight="1" x14ac:dyDescent="0.2">
      <c r="A33" s="36">
        <v>20</v>
      </c>
      <c r="B33" s="37" t="s">
        <v>48</v>
      </c>
      <c r="C33" s="38" t="s">
        <v>157</v>
      </c>
      <c r="D33" s="39">
        <f t="shared" si="2"/>
        <v>22968</v>
      </c>
      <c r="E33" s="39">
        <f t="shared" si="4"/>
        <v>17466</v>
      </c>
      <c r="F33" s="39">
        <f t="shared" si="3"/>
        <v>5502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40">
        <v>22968</v>
      </c>
      <c r="Y33" s="39">
        <v>2535</v>
      </c>
      <c r="Z33" s="39">
        <v>435</v>
      </c>
      <c r="AA33" s="39">
        <v>1400</v>
      </c>
      <c r="AB33" s="39">
        <v>260</v>
      </c>
      <c r="AC33" s="39">
        <v>167</v>
      </c>
      <c r="AD33" s="39">
        <v>31</v>
      </c>
      <c r="AE33" s="39">
        <v>533</v>
      </c>
      <c r="AF33" s="39">
        <v>99</v>
      </c>
      <c r="AG33" s="39">
        <v>13531</v>
      </c>
      <c r="AH33" s="39">
        <v>4807</v>
      </c>
    </row>
    <row r="34" spans="1:34" ht="13.5" customHeight="1" x14ac:dyDescent="0.2">
      <c r="A34" s="36">
        <v>21</v>
      </c>
      <c r="B34" s="37" t="s">
        <v>49</v>
      </c>
      <c r="C34" s="42" t="s">
        <v>50</v>
      </c>
      <c r="D34" s="39">
        <f t="shared" si="2"/>
        <v>117866</v>
      </c>
      <c r="E34" s="39">
        <f t="shared" si="4"/>
        <v>78246</v>
      </c>
      <c r="F34" s="39">
        <f t="shared" si="3"/>
        <v>39620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117866</v>
      </c>
      <c r="Y34" s="39">
        <v>12754</v>
      </c>
      <c r="Z34" s="39">
        <v>6971</v>
      </c>
      <c r="AA34" s="39">
        <v>17381</v>
      </c>
      <c r="AB34" s="39">
        <v>8483</v>
      </c>
      <c r="AC34" s="39">
        <v>6921</v>
      </c>
      <c r="AD34" s="39">
        <v>3379</v>
      </c>
      <c r="AE34" s="39">
        <v>1768</v>
      </c>
      <c r="AF34" s="39">
        <v>863</v>
      </c>
      <c r="AG34" s="39">
        <v>48111</v>
      </c>
      <c r="AH34" s="39">
        <v>24166</v>
      </c>
    </row>
    <row r="35" spans="1:34" ht="13.5" customHeight="1" x14ac:dyDescent="0.2">
      <c r="A35" s="36">
        <v>22</v>
      </c>
      <c r="B35" s="37" t="s">
        <v>51</v>
      </c>
      <c r="C35" s="42" t="s">
        <v>52</v>
      </c>
      <c r="D35" s="39">
        <f t="shared" si="2"/>
        <v>105465</v>
      </c>
      <c r="E35" s="39">
        <f t="shared" si="4"/>
        <v>68681</v>
      </c>
      <c r="F35" s="39">
        <f t="shared" si="3"/>
        <v>36784</v>
      </c>
      <c r="G35" s="39">
        <v>1488</v>
      </c>
      <c r="H35" s="39">
        <v>0</v>
      </c>
      <c r="I35" s="39">
        <v>2074</v>
      </c>
      <c r="J35" s="39">
        <v>5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101898</v>
      </c>
      <c r="Y35" s="39">
        <v>13846</v>
      </c>
      <c r="Z35" s="39">
        <v>2791</v>
      </c>
      <c r="AA35" s="39">
        <v>11724</v>
      </c>
      <c r="AB35" s="39">
        <v>6264</v>
      </c>
      <c r="AC35" s="39">
        <v>5398</v>
      </c>
      <c r="AD35" s="39">
        <v>2628</v>
      </c>
      <c r="AE35" s="39">
        <v>464</v>
      </c>
      <c r="AF35" s="39">
        <v>267</v>
      </c>
      <c r="AG35" s="39">
        <v>39549</v>
      </c>
      <c r="AH35" s="39">
        <v>27724</v>
      </c>
    </row>
    <row r="36" spans="1:34" ht="13.5" customHeight="1" x14ac:dyDescent="0.2">
      <c r="A36" s="36">
        <v>23</v>
      </c>
      <c r="B36" s="37" t="s">
        <v>53</v>
      </c>
      <c r="C36" s="38" t="s">
        <v>229</v>
      </c>
      <c r="D36" s="39">
        <f t="shared" si="2"/>
        <v>25239</v>
      </c>
      <c r="E36" s="39">
        <f t="shared" si="4"/>
        <v>15251</v>
      </c>
      <c r="F36" s="39">
        <f t="shared" si="3"/>
        <v>9988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40">
        <v>25239</v>
      </c>
      <c r="Y36" s="39">
        <v>3003</v>
      </c>
      <c r="Z36" s="39">
        <v>261</v>
      </c>
      <c r="AA36" s="39">
        <v>3603</v>
      </c>
      <c r="AB36" s="39">
        <v>984</v>
      </c>
      <c r="AC36" s="39">
        <v>1802</v>
      </c>
      <c r="AD36" s="39">
        <v>492</v>
      </c>
      <c r="AE36" s="39">
        <v>0</v>
      </c>
      <c r="AF36" s="39">
        <v>0</v>
      </c>
      <c r="AG36" s="39">
        <v>8645</v>
      </c>
      <c r="AH36" s="39">
        <v>8743</v>
      </c>
    </row>
    <row r="37" spans="1:34" ht="13.5" customHeight="1" x14ac:dyDescent="0.2">
      <c r="A37" s="36">
        <v>24</v>
      </c>
      <c r="B37" s="44" t="s">
        <v>316</v>
      </c>
      <c r="C37" s="38" t="s">
        <v>317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40"/>
      <c r="Y37" s="39"/>
      <c r="Z37" s="39"/>
      <c r="AA37" s="39"/>
      <c r="AB37" s="39"/>
      <c r="AC37" s="39"/>
      <c r="AD37" s="39"/>
      <c r="AE37" s="39"/>
      <c r="AF37" s="39"/>
      <c r="AG37" s="39"/>
      <c r="AH37" s="39"/>
    </row>
    <row r="38" spans="1:34" ht="24.75" customHeight="1" x14ac:dyDescent="0.2">
      <c r="A38" s="36">
        <v>25</v>
      </c>
      <c r="B38" s="44" t="s">
        <v>318</v>
      </c>
      <c r="C38" s="38" t="s">
        <v>319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40"/>
      <c r="Y38" s="39"/>
      <c r="Z38" s="39"/>
      <c r="AA38" s="39"/>
      <c r="AB38" s="39"/>
      <c r="AC38" s="39"/>
      <c r="AD38" s="39"/>
      <c r="AE38" s="39"/>
      <c r="AF38" s="39"/>
      <c r="AG38" s="39"/>
      <c r="AH38" s="39"/>
    </row>
    <row r="39" spans="1:34" ht="13.5" customHeight="1" x14ac:dyDescent="0.2">
      <c r="A39" s="36">
        <v>26</v>
      </c>
      <c r="B39" s="37" t="s">
        <v>6</v>
      </c>
      <c r="C39" s="38" t="s">
        <v>230</v>
      </c>
      <c r="D39" s="39">
        <f t="shared" si="2"/>
        <v>182169</v>
      </c>
      <c r="E39" s="39">
        <f t="shared" si="4"/>
        <v>182074</v>
      </c>
      <c r="F39" s="39">
        <f t="shared" si="3"/>
        <v>95</v>
      </c>
      <c r="G39" s="39">
        <v>0</v>
      </c>
      <c r="H39" s="39">
        <v>0</v>
      </c>
      <c r="I39" s="39">
        <v>12126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3209</v>
      </c>
      <c r="W39" s="39">
        <v>0</v>
      </c>
      <c r="X39" s="40">
        <v>166834</v>
      </c>
      <c r="Y39" s="39">
        <v>43568</v>
      </c>
      <c r="Z39" s="39">
        <v>95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123171</v>
      </c>
      <c r="AH39" s="39">
        <v>0</v>
      </c>
    </row>
    <row r="40" spans="1:34" ht="13.5" customHeight="1" x14ac:dyDescent="0.2">
      <c r="A40" s="36">
        <v>27</v>
      </c>
      <c r="B40" s="37" t="s">
        <v>5</v>
      </c>
      <c r="C40" s="38" t="s">
        <v>231</v>
      </c>
      <c r="D40" s="39">
        <f t="shared" si="2"/>
        <v>207965</v>
      </c>
      <c r="E40" s="39">
        <f t="shared" si="4"/>
        <v>155289</v>
      </c>
      <c r="F40" s="39">
        <f t="shared" si="3"/>
        <v>52676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40">
        <v>207965</v>
      </c>
      <c r="Y40" s="39">
        <v>34264</v>
      </c>
      <c r="Z40" s="39">
        <v>2046</v>
      </c>
      <c r="AA40" s="39">
        <v>4400</v>
      </c>
      <c r="AB40" s="39">
        <v>1000</v>
      </c>
      <c r="AC40" s="39">
        <v>2200</v>
      </c>
      <c r="AD40" s="39">
        <v>500</v>
      </c>
      <c r="AE40" s="39">
        <v>0</v>
      </c>
      <c r="AF40" s="39">
        <v>0</v>
      </c>
      <c r="AG40" s="39">
        <v>116625</v>
      </c>
      <c r="AH40" s="39">
        <v>49630</v>
      </c>
    </row>
    <row r="41" spans="1:34" ht="13.5" customHeight="1" x14ac:dyDescent="0.2">
      <c r="A41" s="36">
        <v>28</v>
      </c>
      <c r="B41" s="37" t="s">
        <v>54</v>
      </c>
      <c r="C41" s="38" t="s">
        <v>232</v>
      </c>
      <c r="D41" s="39">
        <f t="shared" si="2"/>
        <v>76932</v>
      </c>
      <c r="E41" s="39">
        <f t="shared" si="4"/>
        <v>0</v>
      </c>
      <c r="F41" s="39">
        <f t="shared" si="3"/>
        <v>76932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3672</v>
      </c>
      <c r="X41" s="40">
        <v>73260</v>
      </c>
      <c r="Y41" s="39">
        <v>0</v>
      </c>
      <c r="Z41" s="39">
        <v>13575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59685</v>
      </c>
    </row>
    <row r="42" spans="1:34" ht="13.5" customHeight="1" x14ac:dyDescent="0.2">
      <c r="A42" s="36">
        <v>29</v>
      </c>
      <c r="B42" s="37" t="s">
        <v>168</v>
      </c>
      <c r="C42" s="38" t="s">
        <v>169</v>
      </c>
      <c r="D42" s="39">
        <f t="shared" si="2"/>
        <v>10558</v>
      </c>
      <c r="E42" s="39">
        <f t="shared" si="4"/>
        <v>7115</v>
      </c>
      <c r="F42" s="39">
        <f t="shared" si="3"/>
        <v>3443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7115</v>
      </c>
      <c r="O42" s="39">
        <v>3443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40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ht="13.5" customHeight="1" x14ac:dyDescent="0.2">
      <c r="A43" s="36">
        <v>30</v>
      </c>
      <c r="B43" s="37" t="s">
        <v>170</v>
      </c>
      <c r="C43" s="42" t="s">
        <v>171</v>
      </c>
      <c r="D43" s="39">
        <f t="shared" si="2"/>
        <v>65442</v>
      </c>
      <c r="E43" s="39">
        <f t="shared" si="4"/>
        <v>42542</v>
      </c>
      <c r="F43" s="39">
        <f t="shared" si="3"/>
        <v>22900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42542</v>
      </c>
      <c r="Q43" s="39">
        <v>22900</v>
      </c>
      <c r="R43" s="39">
        <v>15420</v>
      </c>
      <c r="S43" s="39">
        <v>10598</v>
      </c>
      <c r="T43" s="39">
        <v>5249</v>
      </c>
      <c r="U43" s="39">
        <v>1452</v>
      </c>
      <c r="V43" s="39">
        <v>0</v>
      </c>
      <c r="W43" s="39">
        <v>0</v>
      </c>
      <c r="X43" s="40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ht="13.5" customHeight="1" x14ac:dyDescent="0.2">
      <c r="A44" s="36">
        <v>31</v>
      </c>
      <c r="B44" s="37" t="s">
        <v>320</v>
      </c>
      <c r="C44" s="42" t="s">
        <v>321</v>
      </c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40"/>
      <c r="Y44" s="39"/>
      <c r="Z44" s="39"/>
      <c r="AA44" s="39"/>
      <c r="AB44" s="39"/>
      <c r="AC44" s="39"/>
      <c r="AD44" s="39"/>
      <c r="AE44" s="39"/>
      <c r="AF44" s="39"/>
      <c r="AG44" s="39"/>
      <c r="AH44" s="39"/>
    </row>
    <row r="45" spans="1:34" s="45" customFormat="1" ht="28.5" customHeight="1" x14ac:dyDescent="0.2">
      <c r="A45" s="36">
        <v>32</v>
      </c>
      <c r="B45" s="37" t="s">
        <v>55</v>
      </c>
      <c r="C45" s="42" t="s">
        <v>285</v>
      </c>
      <c r="D45" s="39">
        <f t="shared" si="2"/>
        <v>11334</v>
      </c>
      <c r="E45" s="39">
        <f t="shared" si="4"/>
        <v>11334</v>
      </c>
      <c r="F45" s="39">
        <f t="shared" si="3"/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11334</v>
      </c>
      <c r="Y45" s="39">
        <v>2296</v>
      </c>
      <c r="Z45" s="39">
        <v>0</v>
      </c>
      <c r="AA45" s="39">
        <v>2526</v>
      </c>
      <c r="AB45" s="39">
        <v>0</v>
      </c>
      <c r="AC45" s="39">
        <v>1132</v>
      </c>
      <c r="AD45" s="39">
        <v>0</v>
      </c>
      <c r="AE45" s="39">
        <v>131</v>
      </c>
      <c r="AF45" s="39">
        <v>0</v>
      </c>
      <c r="AG45" s="39">
        <v>6512</v>
      </c>
      <c r="AH45" s="39">
        <v>0</v>
      </c>
    </row>
    <row r="46" spans="1:34" ht="13.5" customHeight="1" x14ac:dyDescent="0.2">
      <c r="A46" s="36">
        <v>33</v>
      </c>
      <c r="B46" s="37" t="s">
        <v>56</v>
      </c>
      <c r="C46" s="38" t="s">
        <v>57</v>
      </c>
      <c r="D46" s="39">
        <f t="shared" si="2"/>
        <v>149690</v>
      </c>
      <c r="E46" s="39">
        <f t="shared" si="4"/>
        <v>104911</v>
      </c>
      <c r="F46" s="39">
        <f t="shared" si="3"/>
        <v>44779</v>
      </c>
      <c r="G46" s="39">
        <v>0</v>
      </c>
      <c r="H46" s="39">
        <v>0</v>
      </c>
      <c r="I46" s="39">
        <v>4921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144769</v>
      </c>
      <c r="Y46" s="39">
        <v>23213</v>
      </c>
      <c r="Z46" s="39">
        <v>4284</v>
      </c>
      <c r="AA46" s="39">
        <v>12000</v>
      </c>
      <c r="AB46" s="39">
        <v>7400</v>
      </c>
      <c r="AC46" s="39">
        <v>4628</v>
      </c>
      <c r="AD46" s="39">
        <v>2854</v>
      </c>
      <c r="AE46" s="39">
        <v>1372</v>
      </c>
      <c r="AF46" s="39">
        <v>846</v>
      </c>
      <c r="AG46" s="39">
        <v>64777</v>
      </c>
      <c r="AH46" s="39">
        <v>33095</v>
      </c>
    </row>
    <row r="47" spans="1:34" ht="13.5" customHeight="1" x14ac:dyDescent="0.2">
      <c r="A47" s="36">
        <v>34</v>
      </c>
      <c r="B47" s="37" t="s">
        <v>58</v>
      </c>
      <c r="C47" s="38" t="s">
        <v>59</v>
      </c>
      <c r="D47" s="39">
        <f t="shared" si="2"/>
        <v>207494</v>
      </c>
      <c r="E47" s="39">
        <f t="shared" si="4"/>
        <v>144353</v>
      </c>
      <c r="F47" s="39">
        <f t="shared" si="3"/>
        <v>63141</v>
      </c>
      <c r="G47" s="39">
        <v>0</v>
      </c>
      <c r="H47" s="39">
        <v>0</v>
      </c>
      <c r="I47" s="39">
        <v>3336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204158</v>
      </c>
      <c r="Y47" s="39">
        <v>25205</v>
      </c>
      <c r="Z47" s="39">
        <v>3904</v>
      </c>
      <c r="AA47" s="39">
        <v>25351</v>
      </c>
      <c r="AB47" s="39">
        <v>16350</v>
      </c>
      <c r="AC47" s="39">
        <v>9224</v>
      </c>
      <c r="AD47" s="39">
        <v>10372</v>
      </c>
      <c r="AE47" s="39">
        <v>3698</v>
      </c>
      <c r="AF47" s="39">
        <v>1303</v>
      </c>
      <c r="AG47" s="39">
        <v>90461</v>
      </c>
      <c r="AH47" s="39">
        <v>42887</v>
      </c>
    </row>
    <row r="48" spans="1:34" ht="13.5" customHeight="1" x14ac:dyDescent="0.2">
      <c r="A48" s="36">
        <v>35</v>
      </c>
      <c r="B48" s="37" t="s">
        <v>172</v>
      </c>
      <c r="C48" s="41" t="s">
        <v>173</v>
      </c>
      <c r="D48" s="39">
        <f t="shared" si="2"/>
        <v>8493</v>
      </c>
      <c r="E48" s="39">
        <f t="shared" si="4"/>
        <v>5396</v>
      </c>
      <c r="F48" s="39">
        <f t="shared" si="3"/>
        <v>3097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5396</v>
      </c>
      <c r="O48" s="39">
        <v>3097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40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ht="13.5" customHeight="1" x14ac:dyDescent="0.2">
      <c r="A49" s="36">
        <v>36</v>
      </c>
      <c r="B49" s="37" t="s">
        <v>60</v>
      </c>
      <c r="C49" s="41" t="s">
        <v>61</v>
      </c>
      <c r="D49" s="39">
        <f t="shared" si="2"/>
        <v>41303</v>
      </c>
      <c r="E49" s="39">
        <f t="shared" si="4"/>
        <v>31569</v>
      </c>
      <c r="F49" s="39">
        <f t="shared" si="3"/>
        <v>9734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40">
        <v>41303</v>
      </c>
      <c r="Y49" s="39">
        <v>2850</v>
      </c>
      <c r="Z49" s="39">
        <v>214</v>
      </c>
      <c r="AA49" s="39">
        <v>7131</v>
      </c>
      <c r="AB49" s="39">
        <v>1600</v>
      </c>
      <c r="AC49" s="39">
        <v>2391</v>
      </c>
      <c r="AD49" s="39">
        <v>640</v>
      </c>
      <c r="AE49" s="39">
        <v>790</v>
      </c>
      <c r="AF49" s="39">
        <v>160</v>
      </c>
      <c r="AG49" s="39">
        <v>21588</v>
      </c>
      <c r="AH49" s="39">
        <v>7920</v>
      </c>
    </row>
    <row r="50" spans="1:34" ht="13.5" customHeight="1" x14ac:dyDescent="0.2">
      <c r="A50" s="36">
        <v>37</v>
      </c>
      <c r="B50" s="37" t="s">
        <v>62</v>
      </c>
      <c r="C50" s="38" t="s">
        <v>63</v>
      </c>
      <c r="D50" s="39">
        <f t="shared" si="2"/>
        <v>137993</v>
      </c>
      <c r="E50" s="39">
        <f t="shared" si="4"/>
        <v>105196</v>
      </c>
      <c r="F50" s="39">
        <f t="shared" si="3"/>
        <v>32797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40">
        <v>137993</v>
      </c>
      <c r="Y50" s="39">
        <v>17098</v>
      </c>
      <c r="Z50" s="39">
        <v>2000</v>
      </c>
      <c r="AA50" s="39">
        <v>16167</v>
      </c>
      <c r="AB50" s="39">
        <v>7493</v>
      </c>
      <c r="AC50" s="39">
        <v>7986</v>
      </c>
      <c r="AD50" s="39">
        <v>2005</v>
      </c>
      <c r="AE50" s="39">
        <v>2597</v>
      </c>
      <c r="AF50" s="39">
        <v>1742</v>
      </c>
      <c r="AG50" s="39">
        <v>71931</v>
      </c>
      <c r="AH50" s="39">
        <v>23304</v>
      </c>
    </row>
    <row r="51" spans="1:34" ht="13.5" customHeight="1" x14ac:dyDescent="0.2">
      <c r="A51" s="36">
        <v>38</v>
      </c>
      <c r="B51" s="37" t="s">
        <v>64</v>
      </c>
      <c r="C51" s="38" t="s">
        <v>65</v>
      </c>
      <c r="D51" s="39">
        <f t="shared" si="2"/>
        <v>51876</v>
      </c>
      <c r="E51" s="39">
        <f t="shared" si="4"/>
        <v>36360</v>
      </c>
      <c r="F51" s="39">
        <f t="shared" si="3"/>
        <v>15516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40">
        <v>51876</v>
      </c>
      <c r="Y51" s="39">
        <v>6551</v>
      </c>
      <c r="Z51" s="39">
        <v>1980</v>
      </c>
      <c r="AA51" s="39">
        <v>7674</v>
      </c>
      <c r="AB51" s="39">
        <v>2155</v>
      </c>
      <c r="AC51" s="39">
        <v>2292</v>
      </c>
      <c r="AD51" s="39">
        <v>624</v>
      </c>
      <c r="AE51" s="39">
        <v>1422</v>
      </c>
      <c r="AF51" s="39">
        <v>454</v>
      </c>
      <c r="AG51" s="39">
        <v>22135</v>
      </c>
      <c r="AH51" s="39">
        <v>11381</v>
      </c>
    </row>
    <row r="52" spans="1:34" ht="13.5" customHeight="1" x14ac:dyDescent="0.2">
      <c r="A52" s="36">
        <v>39</v>
      </c>
      <c r="B52" s="37" t="s">
        <v>66</v>
      </c>
      <c r="C52" s="38" t="s">
        <v>158</v>
      </c>
      <c r="D52" s="39">
        <f t="shared" si="2"/>
        <v>136801</v>
      </c>
      <c r="E52" s="39">
        <f t="shared" si="4"/>
        <v>93382</v>
      </c>
      <c r="F52" s="39">
        <f t="shared" si="3"/>
        <v>43419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40">
        <v>136801</v>
      </c>
      <c r="Y52" s="39">
        <v>9407</v>
      </c>
      <c r="Z52" s="39">
        <v>2250</v>
      </c>
      <c r="AA52" s="39">
        <v>13613</v>
      </c>
      <c r="AB52" s="39">
        <v>6544</v>
      </c>
      <c r="AC52" s="39">
        <v>5288</v>
      </c>
      <c r="AD52" s="39">
        <v>2533</v>
      </c>
      <c r="AE52" s="39">
        <v>1475</v>
      </c>
      <c r="AF52" s="39">
        <v>711</v>
      </c>
      <c r="AG52" s="39">
        <v>70362</v>
      </c>
      <c r="AH52" s="39">
        <v>34625</v>
      </c>
    </row>
    <row r="53" spans="1:34" ht="13.5" customHeight="1" x14ac:dyDescent="0.2">
      <c r="A53" s="36">
        <v>40</v>
      </c>
      <c r="B53" s="37" t="s">
        <v>67</v>
      </c>
      <c r="C53" s="38" t="s">
        <v>159</v>
      </c>
      <c r="D53" s="39">
        <f t="shared" si="2"/>
        <v>48535</v>
      </c>
      <c r="E53" s="39">
        <f t="shared" si="4"/>
        <v>25303</v>
      </c>
      <c r="F53" s="39">
        <f t="shared" si="3"/>
        <v>23232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40">
        <v>48535</v>
      </c>
      <c r="Y53" s="39">
        <v>3681</v>
      </c>
      <c r="Z53" s="39">
        <v>979</v>
      </c>
      <c r="AA53" s="39">
        <v>8118</v>
      </c>
      <c r="AB53" s="39">
        <v>1958</v>
      </c>
      <c r="AC53" s="39">
        <v>1873</v>
      </c>
      <c r="AD53" s="39">
        <v>452</v>
      </c>
      <c r="AE53" s="39">
        <v>2186</v>
      </c>
      <c r="AF53" s="39">
        <v>527</v>
      </c>
      <c r="AG53" s="39">
        <v>13504</v>
      </c>
      <c r="AH53" s="39">
        <v>20295</v>
      </c>
    </row>
    <row r="54" spans="1:34" ht="13.5" customHeight="1" x14ac:dyDescent="0.2">
      <c r="A54" s="36">
        <v>41</v>
      </c>
      <c r="B54" s="37" t="s">
        <v>68</v>
      </c>
      <c r="C54" s="42" t="s">
        <v>160</v>
      </c>
      <c r="D54" s="39">
        <f t="shared" si="2"/>
        <v>31104</v>
      </c>
      <c r="E54" s="39">
        <f t="shared" si="4"/>
        <v>28431</v>
      </c>
      <c r="F54" s="39">
        <f t="shared" si="3"/>
        <v>2673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40">
        <v>31104</v>
      </c>
      <c r="Y54" s="39">
        <v>1326</v>
      </c>
      <c r="Z54" s="39">
        <v>161</v>
      </c>
      <c r="AA54" s="39">
        <v>7437</v>
      </c>
      <c r="AB54" s="39">
        <v>1125</v>
      </c>
      <c r="AC54" s="39">
        <v>1239</v>
      </c>
      <c r="AD54" s="39">
        <v>188</v>
      </c>
      <c r="AE54" s="39">
        <v>2479</v>
      </c>
      <c r="AF54" s="39">
        <v>375</v>
      </c>
      <c r="AG54" s="39">
        <v>19668</v>
      </c>
      <c r="AH54" s="39">
        <v>1387</v>
      </c>
    </row>
    <row r="55" spans="1:34" ht="13.5" customHeight="1" x14ac:dyDescent="0.2">
      <c r="A55" s="36">
        <v>42</v>
      </c>
      <c r="B55" s="37" t="s">
        <v>69</v>
      </c>
      <c r="C55" s="42" t="s">
        <v>70</v>
      </c>
      <c r="D55" s="39">
        <f t="shared" si="2"/>
        <v>53913</v>
      </c>
      <c r="E55" s="39">
        <f t="shared" si="4"/>
        <v>41735</v>
      </c>
      <c r="F55" s="39">
        <f t="shared" si="3"/>
        <v>12178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40">
        <v>53913</v>
      </c>
      <c r="Y55" s="39">
        <v>5503</v>
      </c>
      <c r="Z55" s="39">
        <v>646</v>
      </c>
      <c r="AA55" s="39">
        <v>5966</v>
      </c>
      <c r="AB55" s="39">
        <v>2955</v>
      </c>
      <c r="AC55" s="39">
        <v>2464</v>
      </c>
      <c r="AD55" s="39">
        <v>1221</v>
      </c>
      <c r="AE55" s="39">
        <v>519</v>
      </c>
      <c r="AF55" s="39">
        <v>257</v>
      </c>
      <c r="AG55" s="39">
        <v>30266</v>
      </c>
      <c r="AH55" s="39">
        <v>8577</v>
      </c>
    </row>
    <row r="56" spans="1:34" ht="13.5" customHeight="1" x14ac:dyDescent="0.2">
      <c r="A56" s="36">
        <v>43</v>
      </c>
      <c r="B56" s="37" t="s">
        <v>174</v>
      </c>
      <c r="C56" s="42" t="s">
        <v>175</v>
      </c>
      <c r="D56" s="39">
        <f t="shared" si="2"/>
        <v>24993</v>
      </c>
      <c r="E56" s="39">
        <f t="shared" si="4"/>
        <v>18979</v>
      </c>
      <c r="F56" s="39">
        <f t="shared" si="3"/>
        <v>6014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40">
        <v>24993</v>
      </c>
      <c r="Y56" s="39">
        <v>2757</v>
      </c>
      <c r="Z56" s="39">
        <v>584</v>
      </c>
      <c r="AA56" s="39">
        <v>3532</v>
      </c>
      <c r="AB56" s="39">
        <v>396</v>
      </c>
      <c r="AC56" s="39">
        <v>1219</v>
      </c>
      <c r="AD56" s="39">
        <v>0</v>
      </c>
      <c r="AE56" s="39">
        <v>713</v>
      </c>
      <c r="AF56" s="39">
        <v>73</v>
      </c>
      <c r="AG56" s="39">
        <v>12690</v>
      </c>
      <c r="AH56" s="39">
        <v>5034</v>
      </c>
    </row>
    <row r="57" spans="1:34" ht="13.5" customHeight="1" x14ac:dyDescent="0.2">
      <c r="A57" s="36">
        <v>44</v>
      </c>
      <c r="B57" s="37" t="s">
        <v>71</v>
      </c>
      <c r="C57" s="41" t="s">
        <v>234</v>
      </c>
      <c r="D57" s="39">
        <f t="shared" si="2"/>
        <v>19587</v>
      </c>
      <c r="E57" s="39">
        <f t="shared" si="4"/>
        <v>19587</v>
      </c>
      <c r="F57" s="39">
        <f t="shared" si="3"/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40">
        <v>19587</v>
      </c>
      <c r="Y57" s="39">
        <v>1304</v>
      </c>
      <c r="Z57" s="39">
        <v>0</v>
      </c>
      <c r="AA57" s="39">
        <v>3393</v>
      </c>
      <c r="AB57" s="39">
        <v>0</v>
      </c>
      <c r="AC57" s="39">
        <v>1181</v>
      </c>
      <c r="AD57" s="39">
        <v>0</v>
      </c>
      <c r="AE57" s="39">
        <v>0</v>
      </c>
      <c r="AF57" s="39">
        <v>0</v>
      </c>
      <c r="AG57" s="39">
        <v>14890</v>
      </c>
      <c r="AH57" s="39">
        <v>0</v>
      </c>
    </row>
    <row r="58" spans="1:34" ht="13.5" customHeight="1" x14ac:dyDescent="0.2">
      <c r="A58" s="36">
        <v>45</v>
      </c>
      <c r="B58" s="37" t="s">
        <v>72</v>
      </c>
      <c r="C58" s="38" t="s">
        <v>73</v>
      </c>
      <c r="D58" s="39">
        <f t="shared" si="2"/>
        <v>187677</v>
      </c>
      <c r="E58" s="39">
        <f t="shared" si="4"/>
        <v>134218</v>
      </c>
      <c r="F58" s="39">
        <f t="shared" si="3"/>
        <v>53459</v>
      </c>
      <c r="G58" s="39">
        <v>0</v>
      </c>
      <c r="H58" s="39">
        <v>0</v>
      </c>
      <c r="I58" s="39">
        <v>6862</v>
      </c>
      <c r="J58" s="39">
        <v>7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40">
        <v>180808</v>
      </c>
      <c r="Y58" s="39">
        <v>17170</v>
      </c>
      <c r="Z58" s="39">
        <v>5770</v>
      </c>
      <c r="AA58" s="39">
        <v>20715</v>
      </c>
      <c r="AB58" s="39">
        <v>13660</v>
      </c>
      <c r="AC58" s="39">
        <v>8806</v>
      </c>
      <c r="AD58" s="39">
        <v>5808</v>
      </c>
      <c r="AE58" s="39">
        <v>1551</v>
      </c>
      <c r="AF58" s="39">
        <v>1022</v>
      </c>
      <c r="AG58" s="39">
        <v>89471</v>
      </c>
      <c r="AH58" s="39">
        <v>34022</v>
      </c>
    </row>
    <row r="59" spans="1:34" ht="13.5" customHeight="1" x14ac:dyDescent="0.2">
      <c r="A59" s="36">
        <v>46</v>
      </c>
      <c r="B59" s="37" t="s">
        <v>74</v>
      </c>
      <c r="C59" s="38" t="s">
        <v>161</v>
      </c>
      <c r="D59" s="39">
        <f t="shared" si="2"/>
        <v>45017</v>
      </c>
      <c r="E59" s="39">
        <f t="shared" si="4"/>
        <v>36674</v>
      </c>
      <c r="F59" s="39">
        <f t="shared" si="3"/>
        <v>8343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40">
        <v>45017</v>
      </c>
      <c r="Y59" s="39">
        <v>3259</v>
      </c>
      <c r="Z59" s="39">
        <v>170</v>
      </c>
      <c r="AA59" s="39">
        <v>4932</v>
      </c>
      <c r="AB59" s="39">
        <v>1344</v>
      </c>
      <c r="AC59" s="39">
        <v>2158</v>
      </c>
      <c r="AD59" s="39">
        <v>588</v>
      </c>
      <c r="AE59" s="39">
        <v>308</v>
      </c>
      <c r="AF59" s="39">
        <v>84</v>
      </c>
      <c r="AG59" s="39">
        <v>28483</v>
      </c>
      <c r="AH59" s="39">
        <v>6829</v>
      </c>
    </row>
    <row r="60" spans="1:34" ht="13.5" customHeight="1" x14ac:dyDescent="0.2">
      <c r="A60" s="36">
        <v>47</v>
      </c>
      <c r="B60" s="37" t="s">
        <v>75</v>
      </c>
      <c r="C60" s="1" t="s">
        <v>76</v>
      </c>
      <c r="D60" s="39">
        <f t="shared" si="2"/>
        <v>154453</v>
      </c>
      <c r="E60" s="39">
        <f t="shared" si="4"/>
        <v>122690</v>
      </c>
      <c r="F60" s="39">
        <f t="shared" si="3"/>
        <v>31763</v>
      </c>
      <c r="G60" s="39">
        <v>0</v>
      </c>
      <c r="H60" s="39">
        <v>0</v>
      </c>
      <c r="I60" s="39">
        <v>2629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40">
        <v>151824</v>
      </c>
      <c r="Y60" s="39">
        <v>17385</v>
      </c>
      <c r="Z60" s="39">
        <v>2214</v>
      </c>
      <c r="AA60" s="39">
        <v>10398</v>
      </c>
      <c r="AB60" s="39">
        <v>3080</v>
      </c>
      <c r="AC60" s="39">
        <v>4149</v>
      </c>
      <c r="AD60" s="39">
        <v>1229</v>
      </c>
      <c r="AE60" s="39">
        <v>1050</v>
      </c>
      <c r="AF60" s="39">
        <v>311</v>
      </c>
      <c r="AG60" s="39">
        <v>92278</v>
      </c>
      <c r="AH60" s="39">
        <v>26469</v>
      </c>
    </row>
    <row r="61" spans="1:34" ht="13.5" customHeight="1" x14ac:dyDescent="0.2">
      <c r="A61" s="36">
        <v>48</v>
      </c>
      <c r="B61" s="37" t="s">
        <v>77</v>
      </c>
      <c r="C61" s="38" t="s">
        <v>78</v>
      </c>
      <c r="D61" s="39">
        <f t="shared" si="2"/>
        <v>33830</v>
      </c>
      <c r="E61" s="39">
        <f t="shared" si="4"/>
        <v>27990</v>
      </c>
      <c r="F61" s="39">
        <f t="shared" si="3"/>
        <v>5840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40">
        <v>33830</v>
      </c>
      <c r="Y61" s="39">
        <v>1133</v>
      </c>
      <c r="Z61" s="39">
        <v>395</v>
      </c>
      <c r="AA61" s="39">
        <v>4536</v>
      </c>
      <c r="AB61" s="39">
        <v>1900</v>
      </c>
      <c r="AC61" s="39">
        <v>2036</v>
      </c>
      <c r="AD61" s="39">
        <v>950</v>
      </c>
      <c r="AE61" s="39">
        <v>0</v>
      </c>
      <c r="AF61" s="39">
        <v>0</v>
      </c>
      <c r="AG61" s="39">
        <v>22321</v>
      </c>
      <c r="AH61" s="39">
        <v>3545</v>
      </c>
    </row>
    <row r="62" spans="1:34" ht="13.5" customHeight="1" x14ac:dyDescent="0.2">
      <c r="A62" s="36">
        <v>49</v>
      </c>
      <c r="B62" s="37" t="s">
        <v>79</v>
      </c>
      <c r="C62" s="1" t="s">
        <v>162</v>
      </c>
      <c r="D62" s="39">
        <f t="shared" si="2"/>
        <v>52772</v>
      </c>
      <c r="E62" s="39">
        <f t="shared" si="4"/>
        <v>38160</v>
      </c>
      <c r="F62" s="39">
        <f t="shared" si="3"/>
        <v>14612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40">
        <v>52772</v>
      </c>
      <c r="Y62" s="39">
        <v>3281</v>
      </c>
      <c r="Z62" s="39">
        <v>535</v>
      </c>
      <c r="AA62" s="39">
        <v>7200</v>
      </c>
      <c r="AB62" s="39">
        <v>1500</v>
      </c>
      <c r="AC62" s="39">
        <v>2618</v>
      </c>
      <c r="AD62" s="39">
        <v>545</v>
      </c>
      <c r="AE62" s="39">
        <v>982</v>
      </c>
      <c r="AF62" s="39">
        <v>205</v>
      </c>
      <c r="AG62" s="39">
        <v>27679</v>
      </c>
      <c r="AH62" s="39">
        <v>12577</v>
      </c>
    </row>
    <row r="63" spans="1:34" ht="13.5" customHeight="1" x14ac:dyDescent="0.2">
      <c r="A63" s="36">
        <v>50</v>
      </c>
      <c r="B63" s="37" t="s">
        <v>80</v>
      </c>
      <c r="C63" s="38" t="s">
        <v>81</v>
      </c>
      <c r="D63" s="39">
        <f t="shared" si="2"/>
        <v>62473</v>
      </c>
      <c r="E63" s="39">
        <f t="shared" si="4"/>
        <v>41270</v>
      </c>
      <c r="F63" s="39">
        <f t="shared" si="3"/>
        <v>21203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40">
        <v>62473</v>
      </c>
      <c r="Y63" s="39">
        <v>6218</v>
      </c>
      <c r="Z63" s="39">
        <v>1229</v>
      </c>
      <c r="AA63" s="39">
        <v>5603</v>
      </c>
      <c r="AB63" s="39">
        <v>2318</v>
      </c>
      <c r="AC63" s="39">
        <v>1401</v>
      </c>
      <c r="AD63" s="39">
        <v>579</v>
      </c>
      <c r="AE63" s="39">
        <v>1401</v>
      </c>
      <c r="AF63" s="39">
        <v>580</v>
      </c>
      <c r="AG63" s="39">
        <v>29449</v>
      </c>
      <c r="AH63" s="39">
        <v>17656</v>
      </c>
    </row>
    <row r="64" spans="1:34" ht="13.5" customHeight="1" x14ac:dyDescent="0.2">
      <c r="A64" s="36">
        <v>51</v>
      </c>
      <c r="B64" s="37" t="s">
        <v>82</v>
      </c>
      <c r="C64" s="38" t="s">
        <v>83</v>
      </c>
      <c r="D64" s="39">
        <f t="shared" si="2"/>
        <v>20885</v>
      </c>
      <c r="E64" s="39">
        <f t="shared" si="4"/>
        <v>18914</v>
      </c>
      <c r="F64" s="39">
        <f t="shared" si="3"/>
        <v>1971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40">
        <v>20885</v>
      </c>
      <c r="Y64" s="39">
        <v>3167</v>
      </c>
      <c r="Z64" s="39">
        <v>181</v>
      </c>
      <c r="AA64" s="39">
        <v>2824</v>
      </c>
      <c r="AB64" s="39">
        <v>648</v>
      </c>
      <c r="AC64" s="39">
        <v>1130</v>
      </c>
      <c r="AD64" s="39">
        <v>259</v>
      </c>
      <c r="AE64" s="39">
        <v>282</v>
      </c>
      <c r="AF64" s="39">
        <v>65</v>
      </c>
      <c r="AG64" s="39">
        <v>12923</v>
      </c>
      <c r="AH64" s="39">
        <v>1142</v>
      </c>
    </row>
    <row r="65" spans="1:34" ht="13.5" customHeight="1" x14ac:dyDescent="0.2">
      <c r="A65" s="36">
        <v>52</v>
      </c>
      <c r="B65" s="37" t="s">
        <v>84</v>
      </c>
      <c r="C65" s="38" t="s">
        <v>85</v>
      </c>
      <c r="D65" s="39">
        <f t="shared" si="2"/>
        <v>42649</v>
      </c>
      <c r="E65" s="39">
        <f t="shared" si="4"/>
        <v>32536</v>
      </c>
      <c r="F65" s="39">
        <f t="shared" si="3"/>
        <v>10113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40">
        <v>42649</v>
      </c>
      <c r="Y65" s="39">
        <v>2780</v>
      </c>
      <c r="Z65" s="39">
        <v>373</v>
      </c>
      <c r="AA65" s="39">
        <v>6500</v>
      </c>
      <c r="AB65" s="39">
        <v>1500</v>
      </c>
      <c r="AC65" s="39">
        <v>1806</v>
      </c>
      <c r="AD65" s="39">
        <v>417</v>
      </c>
      <c r="AE65" s="39">
        <v>1444</v>
      </c>
      <c r="AF65" s="39">
        <v>333</v>
      </c>
      <c r="AG65" s="39">
        <v>23256</v>
      </c>
      <c r="AH65" s="39">
        <v>8240</v>
      </c>
    </row>
    <row r="66" spans="1:34" ht="13.5" customHeight="1" x14ac:dyDescent="0.2">
      <c r="A66" s="36">
        <v>53</v>
      </c>
      <c r="B66" s="37" t="s">
        <v>86</v>
      </c>
      <c r="C66" s="42" t="s">
        <v>163</v>
      </c>
      <c r="D66" s="39">
        <f t="shared" si="2"/>
        <v>63368</v>
      </c>
      <c r="E66" s="39">
        <f t="shared" si="4"/>
        <v>48911</v>
      </c>
      <c r="F66" s="39">
        <f t="shared" si="3"/>
        <v>14457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40">
        <v>63368</v>
      </c>
      <c r="Y66" s="39">
        <v>4670</v>
      </c>
      <c r="Z66" s="39">
        <v>540</v>
      </c>
      <c r="AA66" s="39">
        <v>11555</v>
      </c>
      <c r="AB66" s="39">
        <v>1300</v>
      </c>
      <c r="AC66" s="39">
        <v>3755</v>
      </c>
      <c r="AD66" s="39">
        <v>422</v>
      </c>
      <c r="AE66" s="39">
        <v>2022</v>
      </c>
      <c r="AF66" s="39">
        <v>228</v>
      </c>
      <c r="AG66" s="39">
        <v>32686</v>
      </c>
      <c r="AH66" s="39">
        <v>12617</v>
      </c>
    </row>
    <row r="67" spans="1:34" ht="13.5" customHeight="1" x14ac:dyDescent="0.2">
      <c r="A67" s="36">
        <v>54</v>
      </c>
      <c r="B67" s="37" t="s">
        <v>87</v>
      </c>
      <c r="C67" s="42" t="s">
        <v>88</v>
      </c>
      <c r="D67" s="39">
        <f t="shared" si="2"/>
        <v>216322</v>
      </c>
      <c r="E67" s="39">
        <f t="shared" si="4"/>
        <v>159006</v>
      </c>
      <c r="F67" s="39">
        <f t="shared" si="3"/>
        <v>57316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40">
        <v>216322</v>
      </c>
      <c r="Y67" s="39">
        <v>20663</v>
      </c>
      <c r="Z67" s="39">
        <v>1847</v>
      </c>
      <c r="AA67" s="39">
        <v>18482</v>
      </c>
      <c r="AB67" s="39">
        <v>6795</v>
      </c>
      <c r="AC67" s="39">
        <v>8140</v>
      </c>
      <c r="AD67" s="39">
        <v>2994</v>
      </c>
      <c r="AE67" s="39">
        <v>1100</v>
      </c>
      <c r="AF67" s="39">
        <v>404</v>
      </c>
      <c r="AG67" s="39">
        <v>119861</v>
      </c>
      <c r="AH67" s="39">
        <v>48674</v>
      </c>
    </row>
    <row r="68" spans="1:34" ht="13.5" customHeight="1" x14ac:dyDescent="0.2">
      <c r="A68" s="36">
        <v>55</v>
      </c>
      <c r="B68" s="37" t="s">
        <v>89</v>
      </c>
      <c r="C68" s="42" t="s">
        <v>164</v>
      </c>
      <c r="D68" s="39">
        <f t="shared" si="2"/>
        <v>34792</v>
      </c>
      <c r="E68" s="39">
        <f t="shared" si="4"/>
        <v>24127</v>
      </c>
      <c r="F68" s="39">
        <f t="shared" si="3"/>
        <v>10665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40">
        <v>34792</v>
      </c>
      <c r="Y68" s="39">
        <v>1374</v>
      </c>
      <c r="Z68" s="39">
        <v>277</v>
      </c>
      <c r="AA68" s="39">
        <v>5320</v>
      </c>
      <c r="AB68" s="39">
        <v>2010</v>
      </c>
      <c r="AC68" s="39">
        <v>2305</v>
      </c>
      <c r="AD68" s="39">
        <v>871</v>
      </c>
      <c r="AE68" s="39">
        <v>355</v>
      </c>
      <c r="AF68" s="39">
        <v>134</v>
      </c>
      <c r="AG68" s="39">
        <v>17433</v>
      </c>
      <c r="AH68" s="39">
        <v>8378</v>
      </c>
    </row>
    <row r="69" spans="1:34" ht="13.5" customHeight="1" x14ac:dyDescent="0.2">
      <c r="A69" s="36">
        <v>56</v>
      </c>
      <c r="B69" s="37" t="s">
        <v>176</v>
      </c>
      <c r="C69" s="38" t="s">
        <v>286</v>
      </c>
      <c r="D69" s="39">
        <f t="shared" si="2"/>
        <v>63</v>
      </c>
      <c r="E69" s="39">
        <f t="shared" si="4"/>
        <v>63</v>
      </c>
      <c r="F69" s="39">
        <f t="shared" si="3"/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50</v>
      </c>
      <c r="O69" s="39">
        <v>0</v>
      </c>
      <c r="P69" s="39">
        <v>13</v>
      </c>
      <c r="Q69" s="39">
        <v>0</v>
      </c>
      <c r="R69" s="39">
        <v>7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40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ht="13.5" customHeight="1" x14ac:dyDescent="0.2">
      <c r="A70" s="36">
        <v>57</v>
      </c>
      <c r="B70" s="37" t="s">
        <v>322</v>
      </c>
      <c r="C70" s="38" t="s">
        <v>323</v>
      </c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40"/>
      <c r="Y70" s="39"/>
      <c r="Z70" s="39"/>
      <c r="AA70" s="39"/>
      <c r="AB70" s="39"/>
      <c r="AC70" s="39"/>
      <c r="AD70" s="39"/>
      <c r="AE70" s="39"/>
      <c r="AF70" s="39"/>
      <c r="AG70" s="39"/>
      <c r="AH70" s="39"/>
    </row>
    <row r="71" spans="1:34" s="46" customFormat="1" ht="13.5" customHeight="1" x14ac:dyDescent="0.25">
      <c r="A71" s="36">
        <v>58</v>
      </c>
      <c r="B71" s="37" t="s">
        <v>90</v>
      </c>
      <c r="C71" s="38" t="s">
        <v>287</v>
      </c>
      <c r="D71" s="39">
        <f t="shared" si="2"/>
        <v>64759</v>
      </c>
      <c r="E71" s="39">
        <f t="shared" si="4"/>
        <v>0</v>
      </c>
      <c r="F71" s="39">
        <f t="shared" si="3"/>
        <v>64759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40">
        <v>64759</v>
      </c>
      <c r="Y71" s="39">
        <v>0</v>
      </c>
      <c r="Z71" s="39">
        <v>11361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53398</v>
      </c>
    </row>
    <row r="72" spans="1:34" ht="13.5" customHeight="1" x14ac:dyDescent="0.2">
      <c r="A72" s="36">
        <v>59</v>
      </c>
      <c r="B72" s="37" t="s">
        <v>91</v>
      </c>
      <c r="C72" s="38" t="s">
        <v>288</v>
      </c>
      <c r="D72" s="39">
        <f t="shared" si="2"/>
        <v>53672</v>
      </c>
      <c r="E72" s="39">
        <f t="shared" si="4"/>
        <v>0</v>
      </c>
      <c r="F72" s="39">
        <f t="shared" si="3"/>
        <v>53672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40">
        <v>53672</v>
      </c>
      <c r="Y72" s="39">
        <v>0</v>
      </c>
      <c r="Z72" s="39">
        <v>10628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43044</v>
      </c>
    </row>
    <row r="73" spans="1:34" s="43" customFormat="1" ht="13.5" customHeight="1" x14ac:dyDescent="0.2">
      <c r="A73" s="36">
        <v>60</v>
      </c>
      <c r="B73" s="37" t="s">
        <v>92</v>
      </c>
      <c r="C73" s="38" t="s">
        <v>289</v>
      </c>
      <c r="D73" s="39">
        <f t="shared" si="2"/>
        <v>80842</v>
      </c>
      <c r="E73" s="39">
        <f t="shared" si="4"/>
        <v>0</v>
      </c>
      <c r="F73" s="39">
        <f t="shared" si="3"/>
        <v>80842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4241</v>
      </c>
      <c r="X73" s="40">
        <v>76601</v>
      </c>
      <c r="Y73" s="39">
        <v>0</v>
      </c>
      <c r="Z73" s="39">
        <v>2910</v>
      </c>
      <c r="AA73" s="39">
        <v>0</v>
      </c>
      <c r="AB73" s="39">
        <v>13813</v>
      </c>
      <c r="AC73" s="39">
        <v>0</v>
      </c>
      <c r="AD73" s="39">
        <v>3720</v>
      </c>
      <c r="AE73" s="39">
        <v>0</v>
      </c>
      <c r="AF73" s="39">
        <v>3187</v>
      </c>
      <c r="AG73" s="39">
        <v>0</v>
      </c>
      <c r="AH73" s="39">
        <v>59878</v>
      </c>
    </row>
    <row r="74" spans="1:34" ht="13.5" customHeight="1" x14ac:dyDescent="0.2">
      <c r="A74" s="36">
        <v>61</v>
      </c>
      <c r="B74" s="37" t="s">
        <v>93</v>
      </c>
      <c r="C74" s="38" t="s">
        <v>290</v>
      </c>
      <c r="D74" s="39">
        <f t="shared" si="2"/>
        <v>92317</v>
      </c>
      <c r="E74" s="39">
        <f t="shared" si="4"/>
        <v>0</v>
      </c>
      <c r="F74" s="39">
        <f t="shared" si="3"/>
        <v>92317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3958</v>
      </c>
      <c r="X74" s="40">
        <v>88359</v>
      </c>
      <c r="Y74" s="39">
        <v>0</v>
      </c>
      <c r="Z74" s="39">
        <v>20219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68140</v>
      </c>
    </row>
    <row r="75" spans="1:34" ht="13.5" customHeight="1" x14ac:dyDescent="0.2">
      <c r="A75" s="36">
        <v>62</v>
      </c>
      <c r="B75" s="37" t="s">
        <v>94</v>
      </c>
      <c r="C75" s="38" t="s">
        <v>291</v>
      </c>
      <c r="D75" s="39">
        <f t="shared" si="2"/>
        <v>35681</v>
      </c>
      <c r="E75" s="39">
        <f t="shared" si="4"/>
        <v>0</v>
      </c>
      <c r="F75" s="39">
        <f t="shared" si="3"/>
        <v>35681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40">
        <v>35681</v>
      </c>
      <c r="Y75" s="39">
        <v>0</v>
      </c>
      <c r="Z75" s="39">
        <v>5149</v>
      </c>
      <c r="AA75" s="39">
        <v>0</v>
      </c>
      <c r="AB75" s="39">
        <v>2932</v>
      </c>
      <c r="AC75" s="39">
        <v>0</v>
      </c>
      <c r="AD75" s="39">
        <v>1466</v>
      </c>
      <c r="AE75" s="39">
        <v>0</v>
      </c>
      <c r="AF75" s="39">
        <v>0</v>
      </c>
      <c r="AG75" s="39">
        <v>0</v>
      </c>
      <c r="AH75" s="39">
        <v>27600</v>
      </c>
    </row>
    <row r="76" spans="1:34" ht="13.5" customHeight="1" x14ac:dyDescent="0.2">
      <c r="A76" s="36">
        <v>63</v>
      </c>
      <c r="B76" s="37" t="s">
        <v>177</v>
      </c>
      <c r="C76" s="38" t="s">
        <v>292</v>
      </c>
      <c r="D76" s="39">
        <f t="shared" si="2"/>
        <v>25872</v>
      </c>
      <c r="E76" s="39">
        <f t="shared" si="4"/>
        <v>0</v>
      </c>
      <c r="F76" s="39">
        <f t="shared" si="3"/>
        <v>25872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25872</v>
      </c>
      <c r="R76" s="39">
        <v>0</v>
      </c>
      <c r="S76" s="39">
        <v>13205</v>
      </c>
      <c r="T76" s="39">
        <v>0</v>
      </c>
      <c r="U76" s="39">
        <v>2067</v>
      </c>
      <c r="V76" s="39">
        <v>0</v>
      </c>
      <c r="W76" s="39">
        <v>0</v>
      </c>
      <c r="X76" s="40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</row>
    <row r="77" spans="1:34" ht="13.5" customHeight="1" x14ac:dyDescent="0.2">
      <c r="A77" s="36">
        <v>64</v>
      </c>
      <c r="B77" s="37" t="s">
        <v>178</v>
      </c>
      <c r="C77" s="38" t="s">
        <v>293</v>
      </c>
      <c r="D77" s="39">
        <f t="shared" si="2"/>
        <v>41870</v>
      </c>
      <c r="E77" s="39">
        <f t="shared" si="4"/>
        <v>0</v>
      </c>
      <c r="F77" s="39">
        <f t="shared" si="3"/>
        <v>41870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41870</v>
      </c>
      <c r="R77" s="39">
        <v>0</v>
      </c>
      <c r="S77" s="39">
        <v>22998</v>
      </c>
      <c r="T77" s="39">
        <v>0</v>
      </c>
      <c r="U77" s="39">
        <v>3295</v>
      </c>
      <c r="V77" s="39">
        <v>0</v>
      </c>
      <c r="W77" s="39">
        <v>0</v>
      </c>
      <c r="X77" s="40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</row>
    <row r="78" spans="1:34" ht="13.5" customHeight="1" x14ac:dyDescent="0.2">
      <c r="A78" s="36">
        <v>65</v>
      </c>
      <c r="B78" s="37" t="s">
        <v>95</v>
      </c>
      <c r="C78" s="42" t="s">
        <v>241</v>
      </c>
      <c r="D78" s="39">
        <f t="shared" si="2"/>
        <v>95404</v>
      </c>
      <c r="E78" s="39">
        <f t="shared" si="4"/>
        <v>91946</v>
      </c>
      <c r="F78" s="39">
        <f t="shared" si="3"/>
        <v>3458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40">
        <v>95404</v>
      </c>
      <c r="Y78" s="39">
        <v>23120</v>
      </c>
      <c r="Z78" s="39">
        <v>542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68826</v>
      </c>
      <c r="AH78" s="39">
        <v>2916</v>
      </c>
    </row>
    <row r="79" spans="1:34" ht="13.5" customHeight="1" x14ac:dyDescent="0.2">
      <c r="A79" s="36">
        <v>66</v>
      </c>
      <c r="B79" s="37" t="s">
        <v>96</v>
      </c>
      <c r="C79" s="42" t="s">
        <v>242</v>
      </c>
      <c r="D79" s="39">
        <f t="shared" si="2"/>
        <v>54337</v>
      </c>
      <c r="E79" s="39">
        <f t="shared" si="4"/>
        <v>54337</v>
      </c>
      <c r="F79" s="39">
        <f t="shared" si="3"/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40">
        <v>54337</v>
      </c>
      <c r="Y79" s="39">
        <v>14074</v>
      </c>
      <c r="Z79" s="39">
        <v>0</v>
      </c>
      <c r="AA79" s="39">
        <v>62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40201</v>
      </c>
      <c r="AH79" s="39">
        <v>0</v>
      </c>
    </row>
    <row r="80" spans="1:34" ht="13.5" customHeight="1" x14ac:dyDescent="0.2">
      <c r="A80" s="36">
        <v>67</v>
      </c>
      <c r="B80" s="37" t="s">
        <v>97</v>
      </c>
      <c r="C80" s="42" t="s">
        <v>243</v>
      </c>
      <c r="D80" s="39">
        <f t="shared" si="2"/>
        <v>65829</v>
      </c>
      <c r="E80" s="39">
        <f t="shared" si="4"/>
        <v>65829</v>
      </c>
      <c r="F80" s="39">
        <f t="shared" si="3"/>
        <v>0</v>
      </c>
      <c r="G80" s="39">
        <v>240</v>
      </c>
      <c r="H80" s="39">
        <v>0</v>
      </c>
      <c r="I80" s="39">
        <v>2785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40">
        <v>62804</v>
      </c>
      <c r="Y80" s="39">
        <v>4570</v>
      </c>
      <c r="Z80" s="39">
        <v>0</v>
      </c>
      <c r="AA80" s="39">
        <v>12375</v>
      </c>
      <c r="AB80" s="39">
        <v>0</v>
      </c>
      <c r="AC80" s="39">
        <v>5940</v>
      </c>
      <c r="AD80" s="39">
        <v>0</v>
      </c>
      <c r="AE80" s="39">
        <v>248</v>
      </c>
      <c r="AF80" s="39">
        <v>0</v>
      </c>
      <c r="AG80" s="39">
        <v>45859</v>
      </c>
      <c r="AH80" s="39">
        <v>0</v>
      </c>
    </row>
    <row r="81" spans="1:34" ht="13.5" customHeight="1" x14ac:dyDescent="0.2">
      <c r="A81" s="36">
        <v>68</v>
      </c>
      <c r="B81" s="37" t="s">
        <v>98</v>
      </c>
      <c r="C81" s="42" t="s">
        <v>244</v>
      </c>
      <c r="D81" s="39">
        <f t="shared" si="2"/>
        <v>40222</v>
      </c>
      <c r="E81" s="39">
        <f t="shared" si="4"/>
        <v>40222</v>
      </c>
      <c r="F81" s="39">
        <f t="shared" si="3"/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40">
        <v>40222</v>
      </c>
      <c r="Y81" s="39">
        <v>10507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29715</v>
      </c>
      <c r="AH81" s="39">
        <v>0</v>
      </c>
    </row>
    <row r="82" spans="1:34" ht="13.5" customHeight="1" x14ac:dyDescent="0.2">
      <c r="A82" s="36">
        <v>69</v>
      </c>
      <c r="B82" s="37" t="s">
        <v>99</v>
      </c>
      <c r="C82" s="42" t="s">
        <v>245</v>
      </c>
      <c r="D82" s="39">
        <f t="shared" ref="D82:D157" si="5">E82+F82</f>
        <v>129100</v>
      </c>
      <c r="E82" s="39">
        <f t="shared" si="4"/>
        <v>129100</v>
      </c>
      <c r="F82" s="39">
        <f t="shared" ref="F82:F157" si="6">H82+J82+O82+Q82+W82+Z82+AB82+AH82</f>
        <v>0</v>
      </c>
      <c r="G82" s="39">
        <v>7378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40">
        <v>121722</v>
      </c>
      <c r="Y82" s="39">
        <v>28679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93043</v>
      </c>
      <c r="AH82" s="39">
        <v>0</v>
      </c>
    </row>
    <row r="83" spans="1:34" ht="13.5" customHeight="1" x14ac:dyDescent="0.2">
      <c r="A83" s="36">
        <v>70</v>
      </c>
      <c r="B83" s="37" t="s">
        <v>100</v>
      </c>
      <c r="C83" s="42" t="s">
        <v>246</v>
      </c>
      <c r="D83" s="39">
        <f t="shared" si="5"/>
        <v>61528</v>
      </c>
      <c r="E83" s="39">
        <f t="shared" ref="E83:E157" si="7">G83+I83+K83+L83+M83+N83+P83+V83+Y83+AA83+AG83</f>
        <v>61528</v>
      </c>
      <c r="F83" s="39">
        <f t="shared" si="6"/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40">
        <v>61528</v>
      </c>
      <c r="Y83" s="39">
        <v>20696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40832</v>
      </c>
      <c r="AH83" s="39">
        <v>0</v>
      </c>
    </row>
    <row r="84" spans="1:34" ht="13.5" customHeight="1" x14ac:dyDescent="0.2">
      <c r="A84" s="36">
        <v>71</v>
      </c>
      <c r="B84" s="37" t="s">
        <v>101</v>
      </c>
      <c r="C84" s="42" t="s">
        <v>247</v>
      </c>
      <c r="D84" s="39">
        <f t="shared" si="5"/>
        <v>63298</v>
      </c>
      <c r="E84" s="39">
        <f t="shared" si="7"/>
        <v>63298</v>
      </c>
      <c r="F84" s="39">
        <f t="shared" si="6"/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40">
        <v>63298</v>
      </c>
      <c r="Y84" s="39">
        <v>17192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G84" s="39">
        <v>46106</v>
      </c>
      <c r="AH84" s="39">
        <v>0</v>
      </c>
    </row>
    <row r="85" spans="1:34" ht="13.5" customHeight="1" x14ac:dyDescent="0.2">
      <c r="A85" s="36">
        <v>72</v>
      </c>
      <c r="B85" s="37" t="s">
        <v>102</v>
      </c>
      <c r="C85" s="42" t="s">
        <v>248</v>
      </c>
      <c r="D85" s="39">
        <f t="shared" si="5"/>
        <v>35796</v>
      </c>
      <c r="E85" s="39">
        <f t="shared" si="7"/>
        <v>35796</v>
      </c>
      <c r="F85" s="39">
        <f t="shared" si="6"/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40">
        <v>35796</v>
      </c>
      <c r="Y85" s="39">
        <v>11205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G85" s="39">
        <v>24591</v>
      </c>
      <c r="AH85" s="39">
        <v>0</v>
      </c>
    </row>
    <row r="86" spans="1:34" ht="13.5" customHeight="1" x14ac:dyDescent="0.2">
      <c r="A86" s="36">
        <v>73</v>
      </c>
      <c r="B86" s="37" t="s">
        <v>103</v>
      </c>
      <c r="C86" s="42" t="s">
        <v>249</v>
      </c>
      <c r="D86" s="39">
        <f t="shared" si="5"/>
        <v>127698</v>
      </c>
      <c r="E86" s="39">
        <f t="shared" si="7"/>
        <v>127698</v>
      </c>
      <c r="F86" s="39">
        <f t="shared" si="6"/>
        <v>0</v>
      </c>
      <c r="G86" s="39">
        <v>7027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40">
        <v>120671</v>
      </c>
      <c r="Y86" s="39">
        <v>28622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G86" s="39">
        <v>92049</v>
      </c>
      <c r="AH86" s="39">
        <v>0</v>
      </c>
    </row>
    <row r="87" spans="1:34" ht="13.5" customHeight="1" x14ac:dyDescent="0.2">
      <c r="A87" s="36">
        <v>74</v>
      </c>
      <c r="B87" s="37" t="s">
        <v>104</v>
      </c>
      <c r="C87" s="42" t="s">
        <v>250</v>
      </c>
      <c r="D87" s="39">
        <f t="shared" si="5"/>
        <v>46200</v>
      </c>
      <c r="E87" s="39">
        <f t="shared" si="7"/>
        <v>46200</v>
      </c>
      <c r="F87" s="39">
        <f t="shared" si="6"/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40">
        <v>46200</v>
      </c>
      <c r="Y87" s="39">
        <v>12727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G87" s="39">
        <v>33473</v>
      </c>
      <c r="AH87" s="39">
        <v>0</v>
      </c>
    </row>
    <row r="88" spans="1:34" ht="13.5" customHeight="1" x14ac:dyDescent="0.2">
      <c r="A88" s="36">
        <v>75</v>
      </c>
      <c r="B88" s="37" t="s">
        <v>105</v>
      </c>
      <c r="C88" s="42" t="s">
        <v>251</v>
      </c>
      <c r="D88" s="39">
        <f t="shared" si="5"/>
        <v>46456</v>
      </c>
      <c r="E88" s="39">
        <f t="shared" si="7"/>
        <v>46456</v>
      </c>
      <c r="F88" s="39">
        <f t="shared" si="6"/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46456</v>
      </c>
      <c r="Y88" s="39">
        <v>18202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G88" s="39">
        <v>28254</v>
      </c>
      <c r="AH88" s="39">
        <v>0</v>
      </c>
    </row>
    <row r="89" spans="1:34" ht="13.5" customHeight="1" x14ac:dyDescent="0.2">
      <c r="A89" s="36">
        <v>76</v>
      </c>
      <c r="B89" s="37" t="s">
        <v>179</v>
      </c>
      <c r="C89" s="42" t="s">
        <v>294</v>
      </c>
      <c r="D89" s="39">
        <f t="shared" si="5"/>
        <v>22833</v>
      </c>
      <c r="E89" s="39">
        <f t="shared" si="7"/>
        <v>22833</v>
      </c>
      <c r="F89" s="39">
        <f t="shared" si="6"/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22833</v>
      </c>
      <c r="Q89" s="39">
        <v>0</v>
      </c>
      <c r="R89" s="39">
        <v>12598</v>
      </c>
      <c r="S89" s="39">
        <v>0</v>
      </c>
      <c r="T89" s="39">
        <v>959</v>
      </c>
      <c r="U89" s="39">
        <v>0</v>
      </c>
      <c r="V89" s="39">
        <v>0</v>
      </c>
      <c r="W89" s="39">
        <v>0</v>
      </c>
      <c r="X89" s="40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G89" s="39">
        <v>0</v>
      </c>
      <c r="AH89" s="39">
        <v>0</v>
      </c>
    </row>
    <row r="90" spans="1:34" ht="13.5" customHeight="1" x14ac:dyDescent="0.2">
      <c r="A90" s="36">
        <v>77</v>
      </c>
      <c r="B90" s="37" t="s">
        <v>180</v>
      </c>
      <c r="C90" s="42" t="s">
        <v>295</v>
      </c>
      <c r="D90" s="39">
        <f t="shared" si="5"/>
        <v>24992</v>
      </c>
      <c r="E90" s="39">
        <f t="shared" si="7"/>
        <v>24992</v>
      </c>
      <c r="F90" s="39">
        <f t="shared" si="6"/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24992</v>
      </c>
      <c r="Q90" s="39">
        <v>0</v>
      </c>
      <c r="R90" s="39">
        <v>14271</v>
      </c>
      <c r="S90" s="39">
        <v>0</v>
      </c>
      <c r="T90" s="39">
        <v>148</v>
      </c>
      <c r="U90" s="39">
        <v>0</v>
      </c>
      <c r="V90" s="39">
        <v>0</v>
      </c>
      <c r="W90" s="39">
        <v>0</v>
      </c>
      <c r="X90" s="40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G90" s="39">
        <v>0</v>
      </c>
      <c r="AH90" s="39">
        <v>0</v>
      </c>
    </row>
    <row r="91" spans="1:34" ht="13.5" customHeight="1" x14ac:dyDescent="0.2">
      <c r="A91" s="36">
        <v>78</v>
      </c>
      <c r="B91" s="37" t="s">
        <v>181</v>
      </c>
      <c r="C91" s="42" t="s">
        <v>296</v>
      </c>
      <c r="D91" s="39">
        <f t="shared" si="5"/>
        <v>28891</v>
      </c>
      <c r="E91" s="39">
        <f t="shared" si="7"/>
        <v>28891</v>
      </c>
      <c r="F91" s="39">
        <f t="shared" si="6"/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28891</v>
      </c>
      <c r="Q91" s="39">
        <v>0</v>
      </c>
      <c r="R91" s="39">
        <v>16052</v>
      </c>
      <c r="S91" s="39">
        <v>0</v>
      </c>
      <c r="T91" s="39">
        <v>257</v>
      </c>
      <c r="U91" s="39">
        <v>0</v>
      </c>
      <c r="V91" s="39">
        <v>0</v>
      </c>
      <c r="W91" s="39">
        <v>0</v>
      </c>
      <c r="X91" s="40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G91" s="39">
        <v>0</v>
      </c>
      <c r="AH91" s="39">
        <v>0</v>
      </c>
    </row>
    <row r="92" spans="1:34" ht="13.5" customHeight="1" x14ac:dyDescent="0.2">
      <c r="A92" s="36">
        <v>79</v>
      </c>
      <c r="B92" s="37" t="s">
        <v>182</v>
      </c>
      <c r="C92" s="42" t="s">
        <v>297</v>
      </c>
      <c r="D92" s="39">
        <f t="shared" si="5"/>
        <v>22760</v>
      </c>
      <c r="E92" s="39">
        <f t="shared" si="7"/>
        <v>22760</v>
      </c>
      <c r="F92" s="39">
        <f t="shared" si="6"/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22760</v>
      </c>
      <c r="Q92" s="39">
        <v>0</v>
      </c>
      <c r="R92" s="39">
        <v>12425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40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G92" s="39">
        <v>0</v>
      </c>
      <c r="AH92" s="39">
        <v>0</v>
      </c>
    </row>
    <row r="93" spans="1:34" ht="13.5" customHeight="1" x14ac:dyDescent="0.2">
      <c r="A93" s="36">
        <v>80</v>
      </c>
      <c r="B93" s="37" t="s">
        <v>183</v>
      </c>
      <c r="C93" s="42" t="s">
        <v>298</v>
      </c>
      <c r="D93" s="39">
        <f t="shared" si="5"/>
        <v>32700</v>
      </c>
      <c r="E93" s="39">
        <f t="shared" si="7"/>
        <v>18100</v>
      </c>
      <c r="F93" s="39">
        <f t="shared" si="6"/>
        <v>14600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18100</v>
      </c>
      <c r="Q93" s="39">
        <v>14600</v>
      </c>
      <c r="R93" s="39">
        <v>9441</v>
      </c>
      <c r="S93" s="39">
        <v>6946</v>
      </c>
      <c r="T93" s="39">
        <v>744</v>
      </c>
      <c r="U93" s="39">
        <v>829</v>
      </c>
      <c r="V93" s="39">
        <v>0</v>
      </c>
      <c r="W93" s="39">
        <v>0</v>
      </c>
      <c r="X93" s="40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G93" s="39">
        <v>0</v>
      </c>
      <c r="AH93" s="39">
        <v>0</v>
      </c>
    </row>
    <row r="94" spans="1:34" ht="13.5" customHeight="1" x14ac:dyDescent="0.2">
      <c r="A94" s="36">
        <v>81</v>
      </c>
      <c r="B94" s="37" t="s">
        <v>184</v>
      </c>
      <c r="C94" s="41" t="s">
        <v>299</v>
      </c>
      <c r="D94" s="39">
        <f t="shared" si="5"/>
        <v>22538</v>
      </c>
      <c r="E94" s="39">
        <f t="shared" si="7"/>
        <v>22538</v>
      </c>
      <c r="F94" s="39">
        <f t="shared" si="6"/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22538</v>
      </c>
      <c r="Q94" s="39">
        <v>0</v>
      </c>
      <c r="R94" s="39">
        <v>12649</v>
      </c>
      <c r="S94" s="39">
        <v>0</v>
      </c>
      <c r="T94" s="39">
        <v>420</v>
      </c>
      <c r="U94" s="39">
        <v>0</v>
      </c>
      <c r="V94" s="39">
        <v>0</v>
      </c>
      <c r="W94" s="39">
        <v>0</v>
      </c>
      <c r="X94" s="40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G94" s="39">
        <v>0</v>
      </c>
      <c r="AH94" s="39">
        <v>0</v>
      </c>
    </row>
    <row r="95" spans="1:34" ht="13.5" customHeight="1" x14ac:dyDescent="0.2">
      <c r="A95" s="36">
        <v>82</v>
      </c>
      <c r="B95" s="37" t="s">
        <v>185</v>
      </c>
      <c r="C95" s="38" t="s">
        <v>300</v>
      </c>
      <c r="D95" s="39">
        <f t="shared" si="5"/>
        <v>20723</v>
      </c>
      <c r="E95" s="39">
        <f t="shared" si="7"/>
        <v>20723</v>
      </c>
      <c r="F95" s="39">
        <f t="shared" si="6"/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20723</v>
      </c>
      <c r="Q95" s="39">
        <v>0</v>
      </c>
      <c r="R95" s="39">
        <v>12544</v>
      </c>
      <c r="S95" s="39">
        <v>0</v>
      </c>
      <c r="T95" s="39">
        <v>401</v>
      </c>
      <c r="U95" s="39">
        <v>0</v>
      </c>
      <c r="V95" s="39">
        <v>0</v>
      </c>
      <c r="W95" s="39">
        <v>0</v>
      </c>
      <c r="X95" s="40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G95" s="39">
        <v>0</v>
      </c>
      <c r="AH95" s="39">
        <v>0</v>
      </c>
    </row>
    <row r="96" spans="1:34" ht="28.5" customHeight="1" x14ac:dyDescent="0.2">
      <c r="A96" s="36">
        <v>83</v>
      </c>
      <c r="B96" s="37" t="s">
        <v>106</v>
      </c>
      <c r="C96" s="38" t="s">
        <v>107</v>
      </c>
      <c r="D96" s="39">
        <f t="shared" si="5"/>
        <v>117098</v>
      </c>
      <c r="E96" s="39">
        <f t="shared" si="7"/>
        <v>88972</v>
      </c>
      <c r="F96" s="39">
        <f t="shared" si="6"/>
        <v>28126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1999</v>
      </c>
      <c r="W96" s="39">
        <v>0</v>
      </c>
      <c r="X96" s="40">
        <v>115099</v>
      </c>
      <c r="Y96" s="39">
        <v>16469</v>
      </c>
      <c r="Z96" s="39">
        <v>420</v>
      </c>
      <c r="AA96" s="39">
        <v>4260</v>
      </c>
      <c r="AB96" s="39">
        <v>2056</v>
      </c>
      <c r="AC96" s="39">
        <v>1420</v>
      </c>
      <c r="AD96" s="39">
        <v>389</v>
      </c>
      <c r="AE96" s="39">
        <v>710</v>
      </c>
      <c r="AF96" s="39">
        <v>417</v>
      </c>
      <c r="AG96" s="39">
        <v>66244</v>
      </c>
      <c r="AH96" s="39">
        <v>25650</v>
      </c>
    </row>
    <row r="97" spans="1:34" s="46" customFormat="1" ht="13.5" customHeight="1" x14ac:dyDescent="0.25">
      <c r="A97" s="36">
        <v>84</v>
      </c>
      <c r="B97" s="37" t="s">
        <v>108</v>
      </c>
      <c r="C97" s="38" t="s">
        <v>253</v>
      </c>
      <c r="D97" s="39">
        <f t="shared" si="5"/>
        <v>76702</v>
      </c>
      <c r="E97" s="39">
        <f t="shared" si="7"/>
        <v>76702</v>
      </c>
      <c r="F97" s="39">
        <f t="shared" si="6"/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5285</v>
      </c>
      <c r="W97" s="39">
        <v>0</v>
      </c>
      <c r="X97" s="40">
        <v>71417</v>
      </c>
      <c r="Y97" s="39">
        <v>21644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G97" s="39">
        <v>49773</v>
      </c>
      <c r="AH97" s="39">
        <v>0</v>
      </c>
    </row>
    <row r="98" spans="1:34" ht="13.5" customHeight="1" x14ac:dyDescent="0.2">
      <c r="A98" s="36">
        <v>85</v>
      </c>
      <c r="B98" s="37" t="s">
        <v>109</v>
      </c>
      <c r="C98" s="38" t="s">
        <v>254</v>
      </c>
      <c r="D98" s="39">
        <f t="shared" si="5"/>
        <v>64913</v>
      </c>
      <c r="E98" s="39">
        <f t="shared" si="7"/>
        <v>64913</v>
      </c>
      <c r="F98" s="39">
        <f t="shared" si="6"/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40">
        <v>64913</v>
      </c>
      <c r="Y98" s="39">
        <v>9098</v>
      </c>
      <c r="Z98" s="39">
        <v>0</v>
      </c>
      <c r="AA98" s="39">
        <v>3200</v>
      </c>
      <c r="AB98" s="39">
        <v>0</v>
      </c>
      <c r="AC98" s="39">
        <v>640</v>
      </c>
      <c r="AD98" s="39">
        <v>0</v>
      </c>
      <c r="AE98" s="39">
        <v>960</v>
      </c>
      <c r="AF98" s="39">
        <v>0</v>
      </c>
      <c r="AG98" s="39">
        <v>52615</v>
      </c>
      <c r="AH98" s="39">
        <v>0</v>
      </c>
    </row>
    <row r="99" spans="1:34" ht="13.5" customHeight="1" x14ac:dyDescent="0.2">
      <c r="A99" s="36">
        <v>86</v>
      </c>
      <c r="B99" s="37" t="s">
        <v>110</v>
      </c>
      <c r="C99" s="38" t="s">
        <v>255</v>
      </c>
      <c r="D99" s="39">
        <f t="shared" si="5"/>
        <v>40043</v>
      </c>
      <c r="E99" s="39">
        <f t="shared" si="7"/>
        <v>40043</v>
      </c>
      <c r="F99" s="39">
        <f t="shared" si="6"/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40">
        <v>40043</v>
      </c>
      <c r="Y99" s="39">
        <v>9415</v>
      </c>
      <c r="Z99" s="39">
        <v>0</v>
      </c>
      <c r="AA99" s="39">
        <v>1681</v>
      </c>
      <c r="AB99" s="39">
        <v>0</v>
      </c>
      <c r="AC99" s="39">
        <v>281</v>
      </c>
      <c r="AD99" s="39">
        <v>0</v>
      </c>
      <c r="AE99" s="39">
        <v>560</v>
      </c>
      <c r="AF99" s="39">
        <v>0</v>
      </c>
      <c r="AG99" s="39">
        <v>28947</v>
      </c>
      <c r="AH99" s="39">
        <v>0</v>
      </c>
    </row>
    <row r="100" spans="1:34" s="46" customFormat="1" ht="13.5" customHeight="1" x14ac:dyDescent="0.25">
      <c r="A100" s="36">
        <v>87</v>
      </c>
      <c r="B100" s="37" t="s">
        <v>111</v>
      </c>
      <c r="C100" s="38" t="s">
        <v>256</v>
      </c>
      <c r="D100" s="39">
        <f t="shared" si="5"/>
        <v>19390</v>
      </c>
      <c r="E100" s="39">
        <f t="shared" si="7"/>
        <v>19390</v>
      </c>
      <c r="F100" s="39">
        <f t="shared" si="6"/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5718</v>
      </c>
      <c r="W100" s="39">
        <v>0</v>
      </c>
      <c r="X100" s="40">
        <v>13672</v>
      </c>
      <c r="Y100" s="39">
        <v>2000</v>
      </c>
      <c r="Z100" s="39">
        <v>0</v>
      </c>
      <c r="AA100" s="39">
        <v>0</v>
      </c>
      <c r="AB100" s="39">
        <v>0</v>
      </c>
      <c r="AC100" s="39">
        <v>0</v>
      </c>
      <c r="AD100" s="39">
        <v>0</v>
      </c>
      <c r="AE100" s="39">
        <v>0</v>
      </c>
      <c r="AF100" s="39">
        <v>0</v>
      </c>
      <c r="AG100" s="39">
        <v>11672</v>
      </c>
      <c r="AH100" s="39">
        <v>0</v>
      </c>
    </row>
    <row r="101" spans="1:34" ht="13.5" customHeight="1" x14ac:dyDescent="0.2">
      <c r="A101" s="36">
        <v>88</v>
      </c>
      <c r="B101" s="37" t="s">
        <v>112</v>
      </c>
      <c r="C101" s="38" t="s">
        <v>257</v>
      </c>
      <c r="D101" s="39">
        <f t="shared" si="5"/>
        <v>234498</v>
      </c>
      <c r="E101" s="39">
        <f t="shared" si="7"/>
        <v>234498</v>
      </c>
      <c r="F101" s="39">
        <f t="shared" si="6"/>
        <v>0</v>
      </c>
      <c r="G101" s="39">
        <v>0</v>
      </c>
      <c r="H101" s="39">
        <v>0</v>
      </c>
      <c r="I101" s="39">
        <v>6817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40">
        <v>227681</v>
      </c>
      <c r="Y101" s="39">
        <v>45256</v>
      </c>
      <c r="Z101" s="39">
        <v>0</v>
      </c>
      <c r="AA101" s="39">
        <v>23655</v>
      </c>
      <c r="AB101" s="39">
        <v>0</v>
      </c>
      <c r="AC101" s="39">
        <v>9714</v>
      </c>
      <c r="AD101" s="39">
        <v>0</v>
      </c>
      <c r="AE101" s="39">
        <v>2112</v>
      </c>
      <c r="AF101" s="39">
        <v>0</v>
      </c>
      <c r="AG101" s="39">
        <v>158770</v>
      </c>
      <c r="AH101" s="39">
        <v>0</v>
      </c>
    </row>
    <row r="102" spans="1:34" ht="13.5" customHeight="1" x14ac:dyDescent="0.2">
      <c r="A102" s="36">
        <v>89</v>
      </c>
      <c r="B102" s="37" t="s">
        <v>113</v>
      </c>
      <c r="C102" s="38" t="s">
        <v>258</v>
      </c>
      <c r="D102" s="39">
        <f t="shared" si="5"/>
        <v>57761</v>
      </c>
      <c r="E102" s="39">
        <f t="shared" si="7"/>
        <v>0</v>
      </c>
      <c r="F102" s="39">
        <f t="shared" si="6"/>
        <v>57761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40">
        <v>57761</v>
      </c>
      <c r="Y102" s="39">
        <v>0</v>
      </c>
      <c r="Z102" s="39">
        <v>11225</v>
      </c>
      <c r="AA102" s="39">
        <v>0</v>
      </c>
      <c r="AB102" s="39">
        <v>0</v>
      </c>
      <c r="AC102" s="39">
        <v>0</v>
      </c>
      <c r="AD102" s="39">
        <v>0</v>
      </c>
      <c r="AE102" s="39">
        <v>0</v>
      </c>
      <c r="AF102" s="39">
        <v>0</v>
      </c>
      <c r="AG102" s="39">
        <v>0</v>
      </c>
      <c r="AH102" s="39">
        <v>46536</v>
      </c>
    </row>
    <row r="103" spans="1:34" ht="13.5" customHeight="1" x14ac:dyDescent="0.2">
      <c r="A103" s="36">
        <v>90</v>
      </c>
      <c r="B103" s="37" t="s">
        <v>9</v>
      </c>
      <c r="C103" s="38" t="s">
        <v>259</v>
      </c>
      <c r="D103" s="39">
        <f t="shared" si="5"/>
        <v>76204</v>
      </c>
      <c r="E103" s="39">
        <f t="shared" si="7"/>
        <v>76204</v>
      </c>
      <c r="F103" s="39">
        <f t="shared" si="6"/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76204</v>
      </c>
      <c r="Y103" s="39">
        <v>11089</v>
      </c>
      <c r="Z103" s="39">
        <v>0</v>
      </c>
      <c r="AA103" s="39">
        <v>8536</v>
      </c>
      <c r="AB103" s="39">
        <v>0</v>
      </c>
      <c r="AC103" s="39">
        <v>4017</v>
      </c>
      <c r="AD103" s="39">
        <v>0</v>
      </c>
      <c r="AE103" s="47">
        <v>0</v>
      </c>
      <c r="AF103" s="39">
        <v>0</v>
      </c>
      <c r="AG103" s="47">
        <v>56579</v>
      </c>
      <c r="AH103" s="39">
        <v>0</v>
      </c>
    </row>
    <row r="104" spans="1:34" ht="13.5" customHeight="1" x14ac:dyDescent="0.2">
      <c r="A104" s="36">
        <v>91</v>
      </c>
      <c r="B104" s="37" t="s">
        <v>114</v>
      </c>
      <c r="C104" s="42" t="s">
        <v>301</v>
      </c>
      <c r="D104" s="39">
        <f t="shared" si="5"/>
        <v>34571</v>
      </c>
      <c r="E104" s="39">
        <f t="shared" si="7"/>
        <v>34566</v>
      </c>
      <c r="F104" s="39">
        <f t="shared" si="6"/>
        <v>5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33728</v>
      </c>
      <c r="O104" s="39">
        <v>5</v>
      </c>
      <c r="P104" s="39">
        <v>838</v>
      </c>
      <c r="Q104" s="39">
        <v>0</v>
      </c>
      <c r="R104" s="39">
        <v>419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40">
        <v>0</v>
      </c>
      <c r="Y104" s="39">
        <v>0</v>
      </c>
      <c r="Z104" s="39">
        <v>0</v>
      </c>
      <c r="AA104" s="39">
        <v>0</v>
      </c>
      <c r="AB104" s="39">
        <v>0</v>
      </c>
      <c r="AC104" s="39">
        <v>0</v>
      </c>
      <c r="AD104" s="39">
        <v>0</v>
      </c>
      <c r="AE104" s="39">
        <v>0</v>
      </c>
      <c r="AF104" s="39">
        <v>0</v>
      </c>
      <c r="AG104" s="39">
        <v>0</v>
      </c>
      <c r="AH104" s="39">
        <v>0</v>
      </c>
    </row>
    <row r="105" spans="1:34" ht="13.5" customHeight="1" x14ac:dyDescent="0.2">
      <c r="A105" s="36">
        <v>92</v>
      </c>
      <c r="B105" s="44" t="s">
        <v>324</v>
      </c>
      <c r="C105" s="42" t="s">
        <v>325</v>
      </c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40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</row>
    <row r="106" spans="1:34" ht="24.75" customHeight="1" x14ac:dyDescent="0.2">
      <c r="A106" s="36">
        <v>93</v>
      </c>
      <c r="B106" s="37" t="s">
        <v>115</v>
      </c>
      <c r="C106" s="41" t="s">
        <v>116</v>
      </c>
      <c r="D106" s="39">
        <f t="shared" si="5"/>
        <v>18011</v>
      </c>
      <c r="E106" s="39">
        <f t="shared" si="7"/>
        <v>17961</v>
      </c>
      <c r="F106" s="39">
        <f t="shared" si="6"/>
        <v>50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40">
        <v>18011</v>
      </c>
      <c r="Y106" s="39">
        <v>2174</v>
      </c>
      <c r="Z106" s="39">
        <v>50</v>
      </c>
      <c r="AA106" s="39">
        <v>4470</v>
      </c>
      <c r="AB106" s="39">
        <v>0</v>
      </c>
      <c r="AC106" s="39">
        <v>2235</v>
      </c>
      <c r="AD106" s="39">
        <v>0</v>
      </c>
      <c r="AE106" s="39">
        <v>0</v>
      </c>
      <c r="AF106" s="39">
        <v>0</v>
      </c>
      <c r="AG106" s="39">
        <v>11317</v>
      </c>
      <c r="AH106" s="39">
        <v>0</v>
      </c>
    </row>
    <row r="107" spans="1:34" ht="13.5" customHeight="1" x14ac:dyDescent="0.2">
      <c r="A107" s="36">
        <v>94</v>
      </c>
      <c r="B107" s="37" t="s">
        <v>186</v>
      </c>
      <c r="C107" s="42" t="s">
        <v>302</v>
      </c>
      <c r="D107" s="39">
        <f t="shared" si="5"/>
        <v>1341</v>
      </c>
      <c r="E107" s="39">
        <f t="shared" si="7"/>
        <v>1231</v>
      </c>
      <c r="F107" s="39">
        <f t="shared" si="6"/>
        <v>110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720</v>
      </c>
      <c r="O107" s="39">
        <v>110</v>
      </c>
      <c r="P107" s="39">
        <v>511</v>
      </c>
      <c r="Q107" s="39">
        <v>0</v>
      </c>
      <c r="R107" s="39">
        <v>256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40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  <c r="AF107" s="39">
        <v>0</v>
      </c>
      <c r="AG107" s="39">
        <v>0</v>
      </c>
      <c r="AH107" s="39">
        <v>0</v>
      </c>
    </row>
    <row r="108" spans="1:34" ht="13.5" customHeight="1" x14ac:dyDescent="0.2">
      <c r="A108" s="36">
        <v>95</v>
      </c>
      <c r="B108" s="37" t="s">
        <v>117</v>
      </c>
      <c r="C108" s="38" t="s">
        <v>260</v>
      </c>
      <c r="D108" s="39">
        <f t="shared" si="5"/>
        <v>11295</v>
      </c>
      <c r="E108" s="39">
        <f t="shared" si="7"/>
        <v>11295</v>
      </c>
      <c r="F108" s="39">
        <f t="shared" si="6"/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40">
        <v>11295</v>
      </c>
      <c r="Y108" s="39">
        <v>1407</v>
      </c>
      <c r="Z108" s="39">
        <v>0</v>
      </c>
      <c r="AA108" s="39">
        <v>600</v>
      </c>
      <c r="AB108" s="39">
        <v>0</v>
      </c>
      <c r="AC108" s="39">
        <v>300</v>
      </c>
      <c r="AD108" s="39">
        <v>0</v>
      </c>
      <c r="AE108" s="39">
        <v>0</v>
      </c>
      <c r="AF108" s="39">
        <v>0</v>
      </c>
      <c r="AG108" s="39">
        <v>9288</v>
      </c>
      <c r="AH108" s="39">
        <v>0</v>
      </c>
    </row>
    <row r="109" spans="1:34" ht="13.5" customHeight="1" x14ac:dyDescent="0.2">
      <c r="A109" s="36">
        <v>96</v>
      </c>
      <c r="B109" s="48" t="s">
        <v>118</v>
      </c>
      <c r="C109" s="53" t="s">
        <v>261</v>
      </c>
      <c r="D109" s="39">
        <f t="shared" si="5"/>
        <v>37458</v>
      </c>
      <c r="E109" s="39">
        <f t="shared" si="7"/>
        <v>37458</v>
      </c>
      <c r="F109" s="39">
        <f t="shared" si="6"/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40">
        <v>37458</v>
      </c>
      <c r="Y109" s="39">
        <v>2541</v>
      </c>
      <c r="Z109" s="39">
        <v>0</v>
      </c>
      <c r="AA109" s="39">
        <v>5186</v>
      </c>
      <c r="AB109" s="39">
        <v>0</v>
      </c>
      <c r="AC109" s="39">
        <v>2593</v>
      </c>
      <c r="AD109" s="39">
        <v>0</v>
      </c>
      <c r="AE109" s="39">
        <v>0</v>
      </c>
      <c r="AF109" s="39">
        <v>0</v>
      </c>
      <c r="AG109" s="39">
        <v>29731</v>
      </c>
      <c r="AH109" s="39">
        <v>0</v>
      </c>
    </row>
    <row r="110" spans="1:34" s="46" customFormat="1" ht="13.5" customHeight="1" x14ac:dyDescent="0.25">
      <c r="A110" s="36">
        <v>97</v>
      </c>
      <c r="B110" s="37" t="s">
        <v>119</v>
      </c>
      <c r="C110" s="1" t="s">
        <v>120</v>
      </c>
      <c r="D110" s="39">
        <f t="shared" si="5"/>
        <v>29145</v>
      </c>
      <c r="E110" s="39">
        <f t="shared" si="7"/>
        <v>24025</v>
      </c>
      <c r="F110" s="39">
        <f t="shared" si="6"/>
        <v>5120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40">
        <v>29145</v>
      </c>
      <c r="Y110" s="39">
        <v>3823</v>
      </c>
      <c r="Z110" s="39">
        <v>450</v>
      </c>
      <c r="AA110" s="39">
        <v>3300</v>
      </c>
      <c r="AB110" s="39">
        <v>2000</v>
      </c>
      <c r="AC110" s="39">
        <v>1375</v>
      </c>
      <c r="AD110" s="39">
        <v>833</v>
      </c>
      <c r="AE110" s="39">
        <v>275</v>
      </c>
      <c r="AF110" s="39">
        <v>167</v>
      </c>
      <c r="AG110" s="39">
        <v>16902</v>
      </c>
      <c r="AH110" s="39">
        <v>2670</v>
      </c>
    </row>
    <row r="111" spans="1:34" ht="13.5" customHeight="1" x14ac:dyDescent="0.2">
      <c r="A111" s="36">
        <v>98</v>
      </c>
      <c r="B111" s="37" t="s">
        <v>121</v>
      </c>
      <c r="C111" s="38" t="s">
        <v>122</v>
      </c>
      <c r="D111" s="39">
        <f t="shared" si="5"/>
        <v>30480</v>
      </c>
      <c r="E111" s="39">
        <f t="shared" si="7"/>
        <v>22634</v>
      </c>
      <c r="F111" s="39">
        <f t="shared" si="6"/>
        <v>7846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40">
        <v>30480</v>
      </c>
      <c r="Y111" s="39">
        <v>3834</v>
      </c>
      <c r="Z111" s="39">
        <v>342</v>
      </c>
      <c r="AA111" s="39">
        <v>4448</v>
      </c>
      <c r="AB111" s="39">
        <v>660</v>
      </c>
      <c r="AC111" s="39">
        <v>1730</v>
      </c>
      <c r="AD111" s="39">
        <v>257</v>
      </c>
      <c r="AE111" s="39">
        <v>494</v>
      </c>
      <c r="AF111" s="39">
        <v>73</v>
      </c>
      <c r="AG111" s="39">
        <v>14352</v>
      </c>
      <c r="AH111" s="39">
        <v>6844</v>
      </c>
    </row>
    <row r="112" spans="1:34" ht="13.5" customHeight="1" x14ac:dyDescent="0.2">
      <c r="A112" s="36">
        <v>99</v>
      </c>
      <c r="B112" s="37" t="s">
        <v>123</v>
      </c>
      <c r="C112" s="38" t="s">
        <v>124</v>
      </c>
      <c r="D112" s="39">
        <f t="shared" si="5"/>
        <v>81328</v>
      </c>
      <c r="E112" s="39">
        <f t="shared" si="7"/>
        <v>59731</v>
      </c>
      <c r="F112" s="39">
        <f t="shared" si="6"/>
        <v>21597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40">
        <v>81328</v>
      </c>
      <c r="Y112" s="39">
        <v>5177</v>
      </c>
      <c r="Z112" s="39">
        <v>546</v>
      </c>
      <c r="AA112" s="39">
        <v>9676</v>
      </c>
      <c r="AB112" s="39">
        <v>5448</v>
      </c>
      <c r="AC112" s="39">
        <v>3603</v>
      </c>
      <c r="AD112" s="39">
        <v>2029</v>
      </c>
      <c r="AE112" s="39">
        <v>1235</v>
      </c>
      <c r="AF112" s="39">
        <v>695</v>
      </c>
      <c r="AG112" s="39">
        <v>44878</v>
      </c>
      <c r="AH112" s="39">
        <v>15603</v>
      </c>
    </row>
    <row r="113" spans="1:34" ht="13.5" customHeight="1" x14ac:dyDescent="0.2">
      <c r="A113" s="36">
        <v>100</v>
      </c>
      <c r="B113" s="37" t="s">
        <v>125</v>
      </c>
      <c r="C113" s="38" t="s">
        <v>126</v>
      </c>
      <c r="D113" s="39">
        <f t="shared" si="5"/>
        <v>36713</v>
      </c>
      <c r="E113" s="39">
        <f t="shared" si="7"/>
        <v>26027</v>
      </c>
      <c r="F113" s="39">
        <f t="shared" si="6"/>
        <v>10686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40">
        <v>36713</v>
      </c>
      <c r="Y113" s="39">
        <v>2585</v>
      </c>
      <c r="Z113" s="39">
        <v>450</v>
      </c>
      <c r="AA113" s="39">
        <v>5515</v>
      </c>
      <c r="AB113" s="39">
        <v>1000</v>
      </c>
      <c r="AC113" s="39">
        <v>2390</v>
      </c>
      <c r="AD113" s="39">
        <v>433</v>
      </c>
      <c r="AE113" s="39">
        <v>368</v>
      </c>
      <c r="AF113" s="39">
        <v>67</v>
      </c>
      <c r="AG113" s="39">
        <v>17927</v>
      </c>
      <c r="AH113" s="39">
        <v>9236</v>
      </c>
    </row>
    <row r="114" spans="1:34" ht="13.5" customHeight="1" x14ac:dyDescent="0.2">
      <c r="A114" s="36">
        <v>101</v>
      </c>
      <c r="B114" s="37" t="s">
        <v>127</v>
      </c>
      <c r="C114" s="1" t="s">
        <v>128</v>
      </c>
      <c r="D114" s="39">
        <f t="shared" si="5"/>
        <v>44739</v>
      </c>
      <c r="E114" s="39">
        <f t="shared" si="7"/>
        <v>34490</v>
      </c>
      <c r="F114" s="39">
        <f t="shared" si="6"/>
        <v>10249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40">
        <v>44739</v>
      </c>
      <c r="Y114" s="39">
        <v>3680</v>
      </c>
      <c r="Z114" s="39">
        <v>308</v>
      </c>
      <c r="AA114" s="39">
        <v>6200</v>
      </c>
      <c r="AB114" s="39">
        <v>1519</v>
      </c>
      <c r="AC114" s="39">
        <v>2584</v>
      </c>
      <c r="AD114" s="39">
        <v>760</v>
      </c>
      <c r="AE114" s="39">
        <v>516</v>
      </c>
      <c r="AF114" s="39">
        <v>0</v>
      </c>
      <c r="AG114" s="39">
        <v>24610</v>
      </c>
      <c r="AH114" s="39">
        <v>8422</v>
      </c>
    </row>
    <row r="115" spans="1:34" s="43" customFormat="1" ht="13.5" customHeight="1" x14ac:dyDescent="0.2">
      <c r="A115" s="36">
        <v>102</v>
      </c>
      <c r="B115" s="37" t="s">
        <v>129</v>
      </c>
      <c r="C115" s="38" t="s">
        <v>130</v>
      </c>
      <c r="D115" s="39">
        <f t="shared" si="5"/>
        <v>89249</v>
      </c>
      <c r="E115" s="39">
        <f t="shared" si="7"/>
        <v>68509</v>
      </c>
      <c r="F115" s="39">
        <f t="shared" si="6"/>
        <v>20740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40">
        <v>89249</v>
      </c>
      <c r="Y115" s="39">
        <v>17685</v>
      </c>
      <c r="Z115" s="39">
        <v>1420</v>
      </c>
      <c r="AA115" s="39">
        <v>6000</v>
      </c>
      <c r="AB115" s="39">
        <v>2000</v>
      </c>
      <c r="AC115" s="39">
        <v>2294</v>
      </c>
      <c r="AD115" s="39">
        <v>765</v>
      </c>
      <c r="AE115" s="39">
        <v>706</v>
      </c>
      <c r="AF115" s="39">
        <v>235</v>
      </c>
      <c r="AG115" s="39">
        <v>44824</v>
      </c>
      <c r="AH115" s="39">
        <v>17320</v>
      </c>
    </row>
    <row r="116" spans="1:34" ht="13.5" customHeight="1" x14ac:dyDescent="0.2">
      <c r="A116" s="36">
        <v>103</v>
      </c>
      <c r="B116" s="37" t="s">
        <v>131</v>
      </c>
      <c r="C116" s="38" t="s">
        <v>132</v>
      </c>
      <c r="D116" s="39">
        <f t="shared" si="5"/>
        <v>76943</v>
      </c>
      <c r="E116" s="39">
        <f t="shared" si="7"/>
        <v>50962</v>
      </c>
      <c r="F116" s="39">
        <f t="shared" si="6"/>
        <v>25981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40">
        <v>76943</v>
      </c>
      <c r="Y116" s="39">
        <v>2853</v>
      </c>
      <c r="Z116" s="39">
        <v>142</v>
      </c>
      <c r="AA116" s="39">
        <v>9028</v>
      </c>
      <c r="AB116" s="39">
        <v>4611</v>
      </c>
      <c r="AC116" s="39">
        <v>2431</v>
      </c>
      <c r="AD116" s="39">
        <v>1242</v>
      </c>
      <c r="AE116" s="39">
        <v>2083</v>
      </c>
      <c r="AF116" s="39">
        <v>1064</v>
      </c>
      <c r="AG116" s="39">
        <v>39081</v>
      </c>
      <c r="AH116" s="39">
        <v>21228</v>
      </c>
    </row>
    <row r="117" spans="1:34" ht="13.5" customHeight="1" x14ac:dyDescent="0.2">
      <c r="A117" s="36">
        <v>104</v>
      </c>
      <c r="B117" s="37" t="s">
        <v>133</v>
      </c>
      <c r="C117" s="41" t="s">
        <v>134</v>
      </c>
      <c r="D117" s="39">
        <f t="shared" si="5"/>
        <v>27212</v>
      </c>
      <c r="E117" s="39">
        <f t="shared" si="7"/>
        <v>20281</v>
      </c>
      <c r="F117" s="39">
        <f t="shared" si="6"/>
        <v>6931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40">
        <v>27212</v>
      </c>
      <c r="Y117" s="39">
        <v>2080</v>
      </c>
      <c r="Z117" s="39">
        <v>562</v>
      </c>
      <c r="AA117" s="39">
        <v>4181</v>
      </c>
      <c r="AB117" s="39">
        <v>920</v>
      </c>
      <c r="AC117" s="39">
        <v>84</v>
      </c>
      <c r="AD117" s="39">
        <v>18</v>
      </c>
      <c r="AE117" s="39">
        <v>2007</v>
      </c>
      <c r="AF117" s="39">
        <v>442</v>
      </c>
      <c r="AG117" s="39">
        <v>14020</v>
      </c>
      <c r="AH117" s="39">
        <v>5449</v>
      </c>
    </row>
    <row r="118" spans="1:34" ht="13.5" customHeight="1" x14ac:dyDescent="0.2">
      <c r="A118" s="36">
        <v>105</v>
      </c>
      <c r="B118" s="37" t="s">
        <v>135</v>
      </c>
      <c r="C118" s="38" t="s">
        <v>136</v>
      </c>
      <c r="D118" s="39">
        <f t="shared" si="5"/>
        <v>42270</v>
      </c>
      <c r="E118" s="39">
        <f t="shared" si="7"/>
        <v>32510</v>
      </c>
      <c r="F118" s="39">
        <f t="shared" si="6"/>
        <v>9760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40">
        <v>42270</v>
      </c>
      <c r="Y118" s="39">
        <v>4389</v>
      </c>
      <c r="Z118" s="39">
        <v>820</v>
      </c>
      <c r="AA118" s="39">
        <v>2665</v>
      </c>
      <c r="AB118" s="39">
        <v>720</v>
      </c>
      <c r="AC118" s="39">
        <v>1264</v>
      </c>
      <c r="AD118" s="39">
        <v>356</v>
      </c>
      <c r="AE118" s="39">
        <v>69</v>
      </c>
      <c r="AF118" s="39">
        <v>4</v>
      </c>
      <c r="AG118" s="39">
        <v>25456</v>
      </c>
      <c r="AH118" s="39">
        <v>8220</v>
      </c>
    </row>
    <row r="119" spans="1:34" ht="13.5" customHeight="1" x14ac:dyDescent="0.2">
      <c r="A119" s="36">
        <v>106</v>
      </c>
      <c r="B119" s="37" t="s">
        <v>137</v>
      </c>
      <c r="C119" s="41" t="s">
        <v>138</v>
      </c>
      <c r="D119" s="39">
        <f t="shared" si="5"/>
        <v>41540</v>
      </c>
      <c r="E119" s="39">
        <f t="shared" si="7"/>
        <v>27777</v>
      </c>
      <c r="F119" s="39">
        <f t="shared" si="6"/>
        <v>13763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41540</v>
      </c>
      <c r="Y119" s="39">
        <v>4037</v>
      </c>
      <c r="Z119" s="39">
        <v>952</v>
      </c>
      <c r="AA119" s="39">
        <v>5900</v>
      </c>
      <c r="AB119" s="39">
        <v>1350</v>
      </c>
      <c r="AC119" s="39">
        <v>1967</v>
      </c>
      <c r="AD119" s="39">
        <v>450</v>
      </c>
      <c r="AE119" s="39">
        <v>983</v>
      </c>
      <c r="AF119" s="39">
        <v>225</v>
      </c>
      <c r="AG119" s="39">
        <v>17840</v>
      </c>
      <c r="AH119" s="39">
        <v>11461</v>
      </c>
    </row>
    <row r="120" spans="1:34" ht="13.5" customHeight="1" x14ac:dyDescent="0.2">
      <c r="A120" s="36">
        <v>107</v>
      </c>
      <c r="B120" s="37" t="s">
        <v>139</v>
      </c>
      <c r="C120" s="38" t="s">
        <v>140</v>
      </c>
      <c r="D120" s="39">
        <f t="shared" si="5"/>
        <v>50206</v>
      </c>
      <c r="E120" s="39">
        <f t="shared" si="7"/>
        <v>35453</v>
      </c>
      <c r="F120" s="39">
        <f t="shared" si="6"/>
        <v>14753</v>
      </c>
      <c r="G120" s="39">
        <v>205</v>
      </c>
      <c r="H120" s="39">
        <v>0</v>
      </c>
      <c r="I120" s="39">
        <v>2253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40">
        <v>47748</v>
      </c>
      <c r="Y120" s="39">
        <v>4500</v>
      </c>
      <c r="Z120" s="39">
        <v>600</v>
      </c>
      <c r="AA120" s="39">
        <v>3649</v>
      </c>
      <c r="AB120" s="39">
        <v>1500</v>
      </c>
      <c r="AC120" s="39">
        <v>1173</v>
      </c>
      <c r="AD120" s="39">
        <v>482</v>
      </c>
      <c r="AE120" s="39">
        <v>652</v>
      </c>
      <c r="AF120" s="39">
        <v>268</v>
      </c>
      <c r="AG120" s="39">
        <v>24846</v>
      </c>
      <c r="AH120" s="39">
        <v>12653</v>
      </c>
    </row>
    <row r="121" spans="1:34" ht="13.5" customHeight="1" x14ac:dyDescent="0.2">
      <c r="A121" s="36">
        <v>108</v>
      </c>
      <c r="B121" s="36" t="s">
        <v>141</v>
      </c>
      <c r="C121" s="49" t="s">
        <v>142</v>
      </c>
      <c r="D121" s="39">
        <f t="shared" si="5"/>
        <v>31534</v>
      </c>
      <c r="E121" s="39">
        <f t="shared" si="7"/>
        <v>21510</v>
      </c>
      <c r="F121" s="39">
        <f t="shared" si="6"/>
        <v>10024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40">
        <v>31534</v>
      </c>
      <c r="Y121" s="39">
        <v>4356</v>
      </c>
      <c r="Z121" s="39">
        <v>2524</v>
      </c>
      <c r="AA121" s="39">
        <v>1200</v>
      </c>
      <c r="AB121" s="39">
        <v>800</v>
      </c>
      <c r="AC121" s="39">
        <v>450</v>
      </c>
      <c r="AD121" s="39">
        <v>300</v>
      </c>
      <c r="AE121" s="39">
        <v>150</v>
      </c>
      <c r="AF121" s="39">
        <v>100</v>
      </c>
      <c r="AG121" s="39">
        <v>15954</v>
      </c>
      <c r="AH121" s="39">
        <v>6700</v>
      </c>
    </row>
    <row r="122" spans="1:34" ht="13.5" customHeight="1" x14ac:dyDescent="0.2">
      <c r="A122" s="36">
        <v>109</v>
      </c>
      <c r="B122" s="37" t="s">
        <v>143</v>
      </c>
      <c r="C122" s="42" t="s">
        <v>144</v>
      </c>
      <c r="D122" s="39">
        <f t="shared" si="5"/>
        <v>46792</v>
      </c>
      <c r="E122" s="39">
        <f t="shared" si="7"/>
        <v>34986</v>
      </c>
      <c r="F122" s="39">
        <f t="shared" si="6"/>
        <v>11806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40">
        <v>46792</v>
      </c>
      <c r="Y122" s="39">
        <v>4760</v>
      </c>
      <c r="Z122" s="39">
        <v>496</v>
      </c>
      <c r="AA122" s="39">
        <v>3840</v>
      </c>
      <c r="AB122" s="39">
        <v>1200</v>
      </c>
      <c r="AC122" s="39">
        <v>1280</v>
      </c>
      <c r="AD122" s="39">
        <v>400</v>
      </c>
      <c r="AE122" s="39">
        <v>640</v>
      </c>
      <c r="AF122" s="39">
        <v>200</v>
      </c>
      <c r="AG122" s="39">
        <v>26386</v>
      </c>
      <c r="AH122" s="39">
        <v>10110</v>
      </c>
    </row>
    <row r="123" spans="1:34" ht="13.5" customHeight="1" x14ac:dyDescent="0.2">
      <c r="A123" s="36">
        <v>110</v>
      </c>
      <c r="B123" s="37" t="s">
        <v>145</v>
      </c>
      <c r="C123" s="42" t="s">
        <v>146</v>
      </c>
      <c r="D123" s="39">
        <f t="shared" si="5"/>
        <v>78146</v>
      </c>
      <c r="E123" s="39">
        <f t="shared" si="7"/>
        <v>60791</v>
      </c>
      <c r="F123" s="39">
        <f t="shared" si="6"/>
        <v>17355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40">
        <v>78146</v>
      </c>
      <c r="Y123" s="39">
        <v>9533</v>
      </c>
      <c r="Z123" s="39">
        <v>418</v>
      </c>
      <c r="AA123" s="39">
        <v>8755</v>
      </c>
      <c r="AB123" s="39">
        <v>1500</v>
      </c>
      <c r="AC123" s="39">
        <v>2869</v>
      </c>
      <c r="AD123" s="39">
        <v>491</v>
      </c>
      <c r="AE123" s="39">
        <v>1509</v>
      </c>
      <c r="AF123" s="39">
        <v>259</v>
      </c>
      <c r="AG123" s="39">
        <v>42503</v>
      </c>
      <c r="AH123" s="39">
        <v>15437</v>
      </c>
    </row>
    <row r="124" spans="1:34" ht="13.5" customHeight="1" x14ac:dyDescent="0.2">
      <c r="A124" s="36">
        <v>111</v>
      </c>
      <c r="B124" s="37" t="s">
        <v>147</v>
      </c>
      <c r="C124" s="42" t="s">
        <v>165</v>
      </c>
      <c r="D124" s="39">
        <f t="shared" si="5"/>
        <v>36595</v>
      </c>
      <c r="E124" s="39">
        <f t="shared" si="7"/>
        <v>28057</v>
      </c>
      <c r="F124" s="39">
        <f t="shared" si="6"/>
        <v>8538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40">
        <v>36595</v>
      </c>
      <c r="Y124" s="39">
        <v>3691</v>
      </c>
      <c r="Z124" s="39">
        <v>465</v>
      </c>
      <c r="AA124" s="39">
        <v>3250</v>
      </c>
      <c r="AB124" s="39">
        <v>450</v>
      </c>
      <c r="AC124" s="39">
        <v>1034</v>
      </c>
      <c r="AD124" s="39">
        <v>143</v>
      </c>
      <c r="AE124" s="39">
        <v>591</v>
      </c>
      <c r="AF124" s="39">
        <v>82</v>
      </c>
      <c r="AG124" s="39">
        <v>21116</v>
      </c>
      <c r="AH124" s="39">
        <v>7623</v>
      </c>
    </row>
    <row r="125" spans="1:34" ht="13.5" customHeight="1" x14ac:dyDescent="0.2">
      <c r="A125" s="36">
        <v>112</v>
      </c>
      <c r="B125" s="37" t="s">
        <v>187</v>
      </c>
      <c r="C125" s="41" t="s">
        <v>303</v>
      </c>
      <c r="D125" s="39">
        <f t="shared" si="5"/>
        <v>1722</v>
      </c>
      <c r="E125" s="39">
        <f t="shared" si="7"/>
        <v>1722</v>
      </c>
      <c r="F125" s="39">
        <f t="shared" si="6"/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1722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40">
        <v>0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  <c r="AF125" s="39">
        <v>0</v>
      </c>
      <c r="AG125" s="39">
        <v>0</v>
      </c>
      <c r="AH125" s="39">
        <v>0</v>
      </c>
    </row>
    <row r="126" spans="1:34" ht="13.5" customHeight="1" x14ac:dyDescent="0.2">
      <c r="A126" s="36">
        <v>113</v>
      </c>
      <c r="B126" s="37" t="s">
        <v>326</v>
      </c>
      <c r="C126" s="41" t="s">
        <v>327</v>
      </c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40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</row>
    <row r="127" spans="1:34" ht="13.5" customHeight="1" x14ac:dyDescent="0.2">
      <c r="A127" s="36">
        <v>114</v>
      </c>
      <c r="B127" s="37" t="s">
        <v>188</v>
      </c>
      <c r="C127" s="38" t="s">
        <v>304</v>
      </c>
      <c r="D127" s="39">
        <f t="shared" si="5"/>
        <v>416</v>
      </c>
      <c r="E127" s="39">
        <f t="shared" si="7"/>
        <v>416</v>
      </c>
      <c r="F127" s="39">
        <f t="shared" si="6"/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416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40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  <c r="AF127" s="39">
        <v>0</v>
      </c>
      <c r="AG127" s="39">
        <v>0</v>
      </c>
      <c r="AH127" s="39">
        <v>0</v>
      </c>
    </row>
    <row r="128" spans="1:34" ht="13.5" customHeight="1" x14ac:dyDescent="0.2">
      <c r="A128" s="36">
        <v>115</v>
      </c>
      <c r="B128" s="37" t="s">
        <v>189</v>
      </c>
      <c r="C128" s="42" t="s">
        <v>305</v>
      </c>
      <c r="D128" s="39">
        <f t="shared" si="5"/>
        <v>29</v>
      </c>
      <c r="E128" s="39">
        <f t="shared" si="7"/>
        <v>29</v>
      </c>
      <c r="F128" s="39">
        <f t="shared" si="6"/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29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40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0</v>
      </c>
      <c r="AF128" s="39">
        <v>0</v>
      </c>
      <c r="AG128" s="39">
        <v>0</v>
      </c>
      <c r="AH128" s="39">
        <v>0</v>
      </c>
    </row>
    <row r="129" spans="1:34" ht="13.5" customHeight="1" x14ac:dyDescent="0.2">
      <c r="A129" s="36">
        <v>116</v>
      </c>
      <c r="B129" s="37" t="s">
        <v>328</v>
      </c>
      <c r="C129" s="42" t="s">
        <v>329</v>
      </c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40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</row>
    <row r="130" spans="1:34" ht="25.5" customHeight="1" x14ac:dyDescent="0.2">
      <c r="A130" s="36">
        <v>117</v>
      </c>
      <c r="B130" s="37" t="s">
        <v>190</v>
      </c>
      <c r="C130" s="42" t="s">
        <v>306</v>
      </c>
      <c r="D130" s="39">
        <f t="shared" si="5"/>
        <v>13</v>
      </c>
      <c r="E130" s="39">
        <f t="shared" si="7"/>
        <v>13</v>
      </c>
      <c r="F130" s="39">
        <f t="shared" si="6"/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13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40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0</v>
      </c>
      <c r="AF130" s="39">
        <v>0</v>
      </c>
      <c r="AG130" s="39">
        <v>0</v>
      </c>
      <c r="AH130" s="39">
        <v>0</v>
      </c>
    </row>
    <row r="131" spans="1:34" ht="25.5" customHeight="1" x14ac:dyDescent="0.2">
      <c r="A131" s="36">
        <v>118</v>
      </c>
      <c r="B131" s="37" t="s">
        <v>330</v>
      </c>
      <c r="C131" s="42" t="s">
        <v>331</v>
      </c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40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</row>
    <row r="132" spans="1:34" ht="13.5" customHeight="1" x14ac:dyDescent="0.2">
      <c r="A132" s="36">
        <v>119</v>
      </c>
      <c r="B132" s="37" t="s">
        <v>191</v>
      </c>
      <c r="C132" s="42" t="s">
        <v>307</v>
      </c>
      <c r="D132" s="39">
        <f t="shared" si="5"/>
        <v>8236</v>
      </c>
      <c r="E132" s="39">
        <f t="shared" si="7"/>
        <v>8236</v>
      </c>
      <c r="F132" s="39">
        <f t="shared" si="6"/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8236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0</v>
      </c>
      <c r="AF132" s="39">
        <v>0</v>
      </c>
      <c r="AG132" s="39">
        <v>0</v>
      </c>
      <c r="AH132" s="39">
        <v>0</v>
      </c>
    </row>
    <row r="133" spans="1:34" ht="13.5" customHeight="1" x14ac:dyDescent="0.2">
      <c r="A133" s="36">
        <v>120</v>
      </c>
      <c r="B133" s="37" t="s">
        <v>192</v>
      </c>
      <c r="C133" s="38" t="s">
        <v>308</v>
      </c>
      <c r="D133" s="39">
        <f t="shared" si="5"/>
        <v>16</v>
      </c>
      <c r="E133" s="39">
        <f t="shared" si="7"/>
        <v>16</v>
      </c>
      <c r="F133" s="39">
        <f t="shared" si="6"/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16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40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0</v>
      </c>
      <c r="AF133" s="39">
        <v>0</v>
      </c>
      <c r="AG133" s="39">
        <v>0</v>
      </c>
      <c r="AH133" s="39">
        <v>0</v>
      </c>
    </row>
    <row r="134" spans="1:34" ht="13.5" customHeight="1" x14ac:dyDescent="0.2">
      <c r="A134" s="36">
        <v>123</v>
      </c>
      <c r="B134" s="37" t="s">
        <v>332</v>
      </c>
      <c r="C134" s="38" t="s">
        <v>333</v>
      </c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40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</row>
    <row r="135" spans="1:34" ht="13.5" customHeight="1" x14ac:dyDescent="0.2">
      <c r="A135" s="36">
        <v>124</v>
      </c>
      <c r="B135" s="37" t="s">
        <v>334</v>
      </c>
      <c r="C135" s="38" t="s">
        <v>335</v>
      </c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40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</row>
    <row r="136" spans="1:34" ht="13.5" customHeight="1" x14ac:dyDescent="0.2">
      <c r="A136" s="36">
        <v>125</v>
      </c>
      <c r="B136" s="37" t="s">
        <v>336</v>
      </c>
      <c r="C136" s="38" t="s">
        <v>337</v>
      </c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40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</row>
    <row r="137" spans="1:34" ht="13.5" customHeight="1" x14ac:dyDescent="0.2">
      <c r="A137" s="36">
        <v>121</v>
      </c>
      <c r="B137" s="37" t="s">
        <v>148</v>
      </c>
      <c r="C137" s="38" t="s">
        <v>309</v>
      </c>
      <c r="D137" s="39">
        <f t="shared" si="5"/>
        <v>74</v>
      </c>
      <c r="E137" s="39">
        <f t="shared" si="7"/>
        <v>74</v>
      </c>
      <c r="F137" s="39">
        <f t="shared" si="6"/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60</v>
      </c>
      <c r="O137" s="39">
        <v>0</v>
      </c>
      <c r="P137" s="39">
        <v>14</v>
      </c>
      <c r="Q137" s="39">
        <v>0</v>
      </c>
      <c r="R137" s="39">
        <v>7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40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0</v>
      </c>
    </row>
    <row r="138" spans="1:34" ht="13.5" customHeight="1" x14ac:dyDescent="0.2">
      <c r="A138" s="36">
        <v>127</v>
      </c>
      <c r="B138" s="37" t="s">
        <v>338</v>
      </c>
      <c r="C138" s="38" t="s">
        <v>339</v>
      </c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40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</row>
    <row r="139" spans="1:34" ht="13.5" customHeight="1" x14ac:dyDescent="0.2">
      <c r="A139" s="36">
        <v>128</v>
      </c>
      <c r="B139" s="37" t="s">
        <v>340</v>
      </c>
      <c r="C139" s="38" t="s">
        <v>341</v>
      </c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40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</row>
    <row r="140" spans="1:34" ht="13.5" customHeight="1" x14ac:dyDescent="0.2">
      <c r="A140" s="36">
        <v>122</v>
      </c>
      <c r="B140" s="37" t="s">
        <v>193</v>
      </c>
      <c r="C140" s="41" t="s">
        <v>310</v>
      </c>
      <c r="D140" s="39">
        <f t="shared" si="5"/>
        <v>760</v>
      </c>
      <c r="E140" s="39">
        <f t="shared" si="7"/>
        <v>760</v>
      </c>
      <c r="F140" s="39">
        <f t="shared" si="6"/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760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40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0</v>
      </c>
    </row>
    <row r="141" spans="1:34" ht="13.5" customHeight="1" x14ac:dyDescent="0.2">
      <c r="A141" s="36">
        <v>123</v>
      </c>
      <c r="B141" s="37" t="s">
        <v>194</v>
      </c>
      <c r="C141" s="38" t="s">
        <v>311</v>
      </c>
      <c r="D141" s="39">
        <f t="shared" si="5"/>
        <v>16</v>
      </c>
      <c r="E141" s="39">
        <f t="shared" si="7"/>
        <v>16</v>
      </c>
      <c r="F141" s="39">
        <f t="shared" si="6"/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16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40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0</v>
      </c>
    </row>
    <row r="142" spans="1:34" ht="13.5" customHeight="1" x14ac:dyDescent="0.2">
      <c r="A142" s="36">
        <v>124</v>
      </c>
      <c r="B142" s="37" t="s">
        <v>195</v>
      </c>
      <c r="C142" s="41" t="s">
        <v>312</v>
      </c>
      <c r="D142" s="39">
        <f t="shared" si="5"/>
        <v>2934</v>
      </c>
      <c r="E142" s="39">
        <f t="shared" si="7"/>
        <v>2934</v>
      </c>
      <c r="F142" s="39">
        <f t="shared" si="6"/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2934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40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0</v>
      </c>
    </row>
    <row r="143" spans="1:34" ht="13.5" customHeight="1" x14ac:dyDescent="0.2">
      <c r="A143" s="36">
        <v>125</v>
      </c>
      <c r="B143" s="37" t="s">
        <v>15</v>
      </c>
      <c r="C143" s="42" t="s">
        <v>313</v>
      </c>
      <c r="D143" s="39">
        <f t="shared" si="5"/>
        <v>297</v>
      </c>
      <c r="E143" s="39">
        <f t="shared" si="7"/>
        <v>297</v>
      </c>
      <c r="F143" s="39">
        <f t="shared" si="6"/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297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40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</row>
    <row r="144" spans="1:34" ht="13.5" customHeight="1" x14ac:dyDescent="0.2">
      <c r="A144" s="36">
        <v>134</v>
      </c>
      <c r="B144" s="37" t="s">
        <v>342</v>
      </c>
      <c r="C144" s="42" t="s">
        <v>343</v>
      </c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40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</row>
    <row r="145" spans="1:34" ht="13.5" customHeight="1" x14ac:dyDescent="0.2">
      <c r="A145" s="36">
        <v>135</v>
      </c>
      <c r="B145" s="37" t="s">
        <v>14</v>
      </c>
      <c r="C145" s="42" t="s">
        <v>13</v>
      </c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40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</row>
    <row r="146" spans="1:34" ht="13.5" customHeight="1" x14ac:dyDescent="0.2">
      <c r="A146" s="36">
        <v>126</v>
      </c>
      <c r="B146" s="37" t="s">
        <v>10</v>
      </c>
      <c r="C146" s="42" t="s">
        <v>7</v>
      </c>
      <c r="D146" s="39">
        <f t="shared" si="5"/>
        <v>6309</v>
      </c>
      <c r="E146" s="39">
        <f t="shared" si="7"/>
        <v>0</v>
      </c>
      <c r="F146" s="39">
        <f t="shared" si="6"/>
        <v>6309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250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6059</v>
      </c>
      <c r="X146" s="40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0</v>
      </c>
    </row>
    <row r="147" spans="1:34" ht="26.25" customHeight="1" x14ac:dyDescent="0.2">
      <c r="A147" s="36">
        <v>127</v>
      </c>
      <c r="B147" s="37" t="s">
        <v>196</v>
      </c>
      <c r="C147" s="38" t="s">
        <v>314</v>
      </c>
      <c r="D147" s="39">
        <f t="shared" si="5"/>
        <v>23691</v>
      </c>
      <c r="E147" s="39">
        <f t="shared" si="7"/>
        <v>20800</v>
      </c>
      <c r="F147" s="39">
        <f t="shared" si="6"/>
        <v>2891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20800</v>
      </c>
      <c r="O147" s="39">
        <v>2891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40">
        <v>0</v>
      </c>
      <c r="Y147" s="39">
        <v>0</v>
      </c>
      <c r="Z147" s="39">
        <v>0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0</v>
      </c>
    </row>
    <row r="148" spans="1:34" ht="13.5" customHeight="1" x14ac:dyDescent="0.2">
      <c r="A148" s="36">
        <v>128</v>
      </c>
      <c r="B148" s="37" t="s">
        <v>149</v>
      </c>
      <c r="C148" s="42" t="s">
        <v>150</v>
      </c>
      <c r="D148" s="39">
        <f t="shared" si="5"/>
        <v>35562</v>
      </c>
      <c r="E148" s="39">
        <f t="shared" si="7"/>
        <v>24951</v>
      </c>
      <c r="F148" s="39">
        <f t="shared" si="6"/>
        <v>10611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24951</v>
      </c>
      <c r="O148" s="39">
        <v>10611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40">
        <v>0</v>
      </c>
      <c r="Y148" s="39">
        <v>0</v>
      </c>
      <c r="Z148" s="39">
        <v>0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0</v>
      </c>
    </row>
    <row r="149" spans="1:34" ht="13.5" customHeight="1" x14ac:dyDescent="0.2">
      <c r="A149" s="36">
        <v>129</v>
      </c>
      <c r="B149" s="37" t="s">
        <v>151</v>
      </c>
      <c r="C149" s="42" t="s">
        <v>152</v>
      </c>
      <c r="D149" s="39">
        <f t="shared" si="5"/>
        <v>34983</v>
      </c>
      <c r="E149" s="39">
        <f t="shared" si="7"/>
        <v>34383</v>
      </c>
      <c r="F149" s="39">
        <f t="shared" si="6"/>
        <v>600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34383</v>
      </c>
      <c r="O149" s="39">
        <v>600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40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</row>
    <row r="150" spans="1:34" ht="13.5" customHeight="1" x14ac:dyDescent="0.2">
      <c r="A150" s="50">
        <v>140</v>
      </c>
      <c r="B150" s="51" t="s">
        <v>344</v>
      </c>
      <c r="C150" s="52" t="s">
        <v>345</v>
      </c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40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</row>
    <row r="151" spans="1:34" ht="13.5" customHeight="1" x14ac:dyDescent="0.2">
      <c r="A151" s="36">
        <v>130</v>
      </c>
      <c r="B151" s="37" t="s">
        <v>197</v>
      </c>
      <c r="C151" s="42" t="s">
        <v>198</v>
      </c>
      <c r="D151" s="39">
        <f t="shared" si="5"/>
        <v>5000</v>
      </c>
      <c r="E151" s="39">
        <f t="shared" si="7"/>
        <v>5000</v>
      </c>
      <c r="F151" s="39">
        <f t="shared" si="6"/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832</v>
      </c>
      <c r="L151" s="39">
        <v>832</v>
      </c>
      <c r="M151" s="39">
        <v>3336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0</v>
      </c>
    </row>
    <row r="152" spans="1:34" ht="13.5" customHeight="1" x14ac:dyDescent="0.2">
      <c r="A152" s="36">
        <v>142</v>
      </c>
      <c r="B152" s="37" t="s">
        <v>346</v>
      </c>
      <c r="C152" s="42" t="s">
        <v>347</v>
      </c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40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</row>
    <row r="153" spans="1:34" ht="13.5" customHeight="1" x14ac:dyDescent="0.2">
      <c r="A153" s="36">
        <v>143</v>
      </c>
      <c r="B153" s="37" t="s">
        <v>12</v>
      </c>
      <c r="C153" s="42" t="s">
        <v>2</v>
      </c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40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</row>
    <row r="154" spans="1:34" ht="13.5" customHeight="1" x14ac:dyDescent="0.2">
      <c r="A154" s="36">
        <v>131</v>
      </c>
      <c r="B154" s="37" t="s">
        <v>3</v>
      </c>
      <c r="C154" s="38" t="s">
        <v>199</v>
      </c>
      <c r="D154" s="39">
        <f t="shared" si="5"/>
        <v>210899</v>
      </c>
      <c r="E154" s="39">
        <f t="shared" si="7"/>
        <v>173509</v>
      </c>
      <c r="F154" s="39">
        <f t="shared" si="6"/>
        <v>37390</v>
      </c>
      <c r="G154" s="39">
        <v>0</v>
      </c>
      <c r="H154" s="39">
        <v>0</v>
      </c>
      <c r="I154" s="39">
        <v>7540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6574</v>
      </c>
      <c r="W154" s="39">
        <v>0</v>
      </c>
      <c r="X154" s="40">
        <v>196785</v>
      </c>
      <c r="Y154" s="39">
        <v>26576</v>
      </c>
      <c r="Z154" s="39">
        <v>650</v>
      </c>
      <c r="AA154" s="39">
        <v>9355</v>
      </c>
      <c r="AB154" s="39">
        <v>4555</v>
      </c>
      <c r="AC154" s="39">
        <v>4678</v>
      </c>
      <c r="AD154" s="39">
        <v>2278</v>
      </c>
      <c r="AE154" s="39">
        <v>0</v>
      </c>
      <c r="AF154" s="39">
        <v>0</v>
      </c>
      <c r="AG154" s="39">
        <v>123464</v>
      </c>
      <c r="AH154" s="39">
        <v>32185</v>
      </c>
    </row>
    <row r="155" spans="1:34" ht="13.5" customHeight="1" x14ac:dyDescent="0.2">
      <c r="A155" s="36">
        <v>145</v>
      </c>
      <c r="B155" s="37" t="s">
        <v>11</v>
      </c>
      <c r="C155" s="38" t="s">
        <v>8</v>
      </c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40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</row>
    <row r="156" spans="1:34" ht="13.5" customHeight="1" x14ac:dyDescent="0.2">
      <c r="A156" s="36">
        <v>132</v>
      </c>
      <c r="B156" s="37" t="s">
        <v>200</v>
      </c>
      <c r="C156" s="41" t="s">
        <v>201</v>
      </c>
      <c r="D156" s="39">
        <f t="shared" si="5"/>
        <v>20053</v>
      </c>
      <c r="E156" s="39">
        <f t="shared" si="7"/>
        <v>16990</v>
      </c>
      <c r="F156" s="39">
        <f t="shared" si="6"/>
        <v>3063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16990</v>
      </c>
      <c r="Q156" s="39">
        <v>3063</v>
      </c>
      <c r="R156" s="39">
        <v>11702</v>
      </c>
      <c r="S156" s="39">
        <v>1504</v>
      </c>
      <c r="T156" s="39">
        <v>0</v>
      </c>
      <c r="U156" s="39">
        <v>0</v>
      </c>
      <c r="V156" s="39">
        <v>0</v>
      </c>
      <c r="W156" s="39">
        <v>0</v>
      </c>
      <c r="X156" s="40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0</v>
      </c>
    </row>
    <row r="157" spans="1:34" ht="13.5" customHeight="1" x14ac:dyDescent="0.2">
      <c r="A157" s="36">
        <v>133</v>
      </c>
      <c r="B157" s="48" t="s">
        <v>202</v>
      </c>
      <c r="C157" s="53" t="s">
        <v>315</v>
      </c>
      <c r="D157" s="54">
        <f t="shared" si="5"/>
        <v>671</v>
      </c>
      <c r="E157" s="54">
        <f t="shared" si="7"/>
        <v>521</v>
      </c>
      <c r="F157" s="54">
        <f t="shared" si="6"/>
        <v>150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521</v>
      </c>
      <c r="O157" s="54">
        <v>150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5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</row>
    <row r="158" spans="1:34" ht="13.5" customHeight="1" x14ac:dyDescent="0.2">
      <c r="A158" s="56">
        <v>148</v>
      </c>
      <c r="B158" s="57" t="s">
        <v>348</v>
      </c>
      <c r="C158" s="58" t="s">
        <v>349</v>
      </c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</row>
    <row r="159" spans="1:34" s="61" customFormat="1" ht="13.5" customHeight="1" x14ac:dyDescent="0.2">
      <c r="A159" s="56"/>
      <c r="B159" s="56"/>
      <c r="C159" s="59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</row>
  </sheetData>
  <mergeCells count="43">
    <mergeCell ref="A13:C13"/>
    <mergeCell ref="G8:H8"/>
    <mergeCell ref="I8:J8"/>
    <mergeCell ref="K8:M8"/>
    <mergeCell ref="N8:O8"/>
    <mergeCell ref="AE8:AF8"/>
    <mergeCell ref="AG8:AH8"/>
    <mergeCell ref="A10:C10"/>
    <mergeCell ref="A11:C11"/>
    <mergeCell ref="A12:C12"/>
    <mergeCell ref="V8:W8"/>
    <mergeCell ref="R5:U5"/>
    <mergeCell ref="X5:X6"/>
    <mergeCell ref="Y5:AH5"/>
    <mergeCell ref="K6:K7"/>
    <mergeCell ref="L6:L7"/>
    <mergeCell ref="M6:M7"/>
    <mergeCell ref="R6:S8"/>
    <mergeCell ref="T6:U8"/>
    <mergeCell ref="Y6:Z6"/>
    <mergeCell ref="AG6:AH7"/>
    <mergeCell ref="X7:X9"/>
    <mergeCell ref="Y7:Z8"/>
    <mergeCell ref="AA7:AB8"/>
    <mergeCell ref="AC7:AF7"/>
    <mergeCell ref="AA6:AF6"/>
    <mergeCell ref="AC8:AD8"/>
    <mergeCell ref="A1:AG1"/>
    <mergeCell ref="A3:A9"/>
    <mergeCell ref="B3:B9"/>
    <mergeCell ref="C3:C9"/>
    <mergeCell ref="D3:F3"/>
    <mergeCell ref="G3:AH3"/>
    <mergeCell ref="D4:D9"/>
    <mergeCell ref="E4:F8"/>
    <mergeCell ref="G4:H7"/>
    <mergeCell ref="I4:J7"/>
    <mergeCell ref="K4:M5"/>
    <mergeCell ref="N4:O7"/>
    <mergeCell ref="P4:U4"/>
    <mergeCell ref="V4:W7"/>
    <mergeCell ref="X4:AH4"/>
    <mergeCell ref="P5:Q8"/>
  </mergeCells>
  <pageMargins left="0.19685039370078741" right="0.19685039370078741" top="0.59055118110236227" bottom="0" header="0.31496062992125984" footer="0.31496062992125984"/>
  <pageSetup paperSize="9" scale="42" fitToHeight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2"/>
  <sheetViews>
    <sheetView workbookViewId="0">
      <pane xSplit="3" ySplit="9" topLeftCell="D85" activePane="bottomRight" state="frozen"/>
      <selection activeCell="P41" sqref="P41"/>
      <selection pane="topRight" activeCell="P41" sqref="P41"/>
      <selection pane="bottomLeft" activeCell="P41" sqref="P41"/>
      <selection pane="bottomRight" activeCell="G68" sqref="G68"/>
    </sheetView>
  </sheetViews>
  <sheetFormatPr defaultRowHeight="12" x14ac:dyDescent="0.2"/>
  <cols>
    <col min="1" max="1" width="5" style="63" customWidth="1"/>
    <col min="2" max="2" width="7.7109375" style="63" customWidth="1"/>
    <col min="3" max="3" width="30.7109375" style="63" customWidth="1"/>
    <col min="4" max="4" width="12.140625" style="63" customWidth="1"/>
    <col min="5" max="5" width="9.7109375" style="63" customWidth="1"/>
    <col min="6" max="6" width="17" style="63" customWidth="1"/>
    <col min="7" max="7" width="12.42578125" style="63" customWidth="1"/>
    <col min="8" max="8" width="9.5703125" style="63" customWidth="1"/>
    <col min="9" max="10" width="10.7109375" style="63" customWidth="1"/>
    <col min="11" max="11" width="9.42578125" style="63" customWidth="1"/>
    <col min="12" max="12" width="19.28515625" style="63" customWidth="1"/>
    <col min="13" max="13" width="12.7109375" style="63" customWidth="1"/>
    <col min="14" max="14" width="11" style="63" customWidth="1"/>
    <col min="15" max="15" width="10.5703125" style="63" customWidth="1"/>
    <col min="16" max="16" width="17.140625" style="63" customWidth="1"/>
    <col min="17" max="17" width="15.5703125" style="63" customWidth="1"/>
    <col min="18" max="16384" width="9.140625" style="63"/>
  </cols>
  <sheetData>
    <row r="1" spans="1:24" ht="41.25" customHeight="1" x14ac:dyDescent="0.2">
      <c r="A1" s="686" t="s">
        <v>350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</row>
    <row r="2" spans="1:24" ht="15" customHeight="1" x14ac:dyDescent="0.2">
      <c r="A2" s="683" t="s">
        <v>0</v>
      </c>
      <c r="B2" s="687" t="s">
        <v>351</v>
      </c>
      <c r="C2" s="683" t="s">
        <v>352</v>
      </c>
      <c r="D2" s="683" t="s">
        <v>353</v>
      </c>
      <c r="E2" s="683" t="s">
        <v>16</v>
      </c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</row>
    <row r="3" spans="1:24" ht="40.5" customHeight="1" x14ac:dyDescent="0.2">
      <c r="A3" s="683"/>
      <c r="B3" s="688"/>
      <c r="C3" s="683"/>
      <c r="D3" s="683"/>
      <c r="E3" s="690" t="s">
        <v>354</v>
      </c>
      <c r="F3" s="691"/>
      <c r="G3" s="691"/>
      <c r="H3" s="682" t="s">
        <v>355</v>
      </c>
      <c r="I3" s="682"/>
      <c r="J3" s="682"/>
      <c r="K3" s="683" t="s">
        <v>356</v>
      </c>
      <c r="L3" s="683"/>
      <c r="M3" s="683"/>
      <c r="N3" s="683"/>
      <c r="O3" s="683"/>
      <c r="P3" s="683"/>
      <c r="Q3" s="683"/>
    </row>
    <row r="4" spans="1:24" ht="12.75" customHeight="1" x14ac:dyDescent="0.2">
      <c r="A4" s="683"/>
      <c r="B4" s="688"/>
      <c r="C4" s="683"/>
      <c r="D4" s="683"/>
      <c r="E4" s="683" t="s">
        <v>1</v>
      </c>
      <c r="F4" s="698" t="s">
        <v>16</v>
      </c>
      <c r="G4" s="699"/>
      <c r="H4" s="683" t="s">
        <v>1</v>
      </c>
      <c r="I4" s="698" t="s">
        <v>357</v>
      </c>
      <c r="J4" s="699"/>
      <c r="K4" s="682" t="s">
        <v>1</v>
      </c>
      <c r="L4" s="684" t="s">
        <v>16</v>
      </c>
      <c r="M4" s="684"/>
      <c r="N4" s="684"/>
      <c r="O4" s="684"/>
      <c r="P4" s="684"/>
      <c r="Q4" s="684"/>
    </row>
    <row r="5" spans="1:24" ht="84.75" customHeight="1" x14ac:dyDescent="0.2">
      <c r="A5" s="683"/>
      <c r="B5" s="689"/>
      <c r="C5" s="683"/>
      <c r="D5" s="683"/>
      <c r="E5" s="683"/>
      <c r="F5" s="64" t="s">
        <v>358</v>
      </c>
      <c r="G5" s="65" t="s">
        <v>359</v>
      </c>
      <c r="H5" s="683"/>
      <c r="I5" s="65" t="s">
        <v>360</v>
      </c>
      <c r="J5" s="65" t="s">
        <v>361</v>
      </c>
      <c r="K5" s="683"/>
      <c r="L5" s="66" t="s">
        <v>362</v>
      </c>
      <c r="M5" s="66" t="s">
        <v>363</v>
      </c>
      <c r="N5" s="66" t="s">
        <v>364</v>
      </c>
      <c r="O5" s="66" t="s">
        <v>365</v>
      </c>
      <c r="P5" s="66" t="s">
        <v>366</v>
      </c>
      <c r="Q5" s="66" t="s">
        <v>367</v>
      </c>
    </row>
    <row r="6" spans="1:24" s="70" customFormat="1" ht="12" customHeight="1" x14ac:dyDescent="0.2">
      <c r="A6" s="67">
        <v>1</v>
      </c>
      <c r="B6" s="67">
        <v>2</v>
      </c>
      <c r="C6" s="67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7">
        <v>11</v>
      </c>
      <c r="L6" s="69">
        <v>12</v>
      </c>
      <c r="M6" s="69">
        <v>13</v>
      </c>
      <c r="N6" s="69">
        <v>14</v>
      </c>
      <c r="O6" s="69">
        <v>15</v>
      </c>
      <c r="P6" s="69">
        <v>16</v>
      </c>
      <c r="Q6" s="69">
        <v>17</v>
      </c>
    </row>
    <row r="7" spans="1:24" s="70" customFormat="1" ht="12" customHeight="1" x14ac:dyDescent="0.2">
      <c r="A7" s="685" t="s">
        <v>1</v>
      </c>
      <c r="B7" s="685"/>
      <c r="C7" s="685"/>
      <c r="D7" s="71">
        <f t="shared" ref="D7" si="0">E7+H7+K7</f>
        <v>11723958</v>
      </c>
      <c r="E7" s="71">
        <f t="shared" ref="E7:E8" si="1">F7+G7</f>
        <v>1040351</v>
      </c>
      <c r="F7" s="71">
        <f>F8+F9</f>
        <v>189601</v>
      </c>
      <c r="G7" s="71">
        <f>G8+G9</f>
        <v>850750</v>
      </c>
      <c r="H7" s="71">
        <f t="shared" ref="H7:H8" si="2">I7+J7</f>
        <v>760257</v>
      </c>
      <c r="I7" s="71">
        <f>I8+I9</f>
        <v>749457</v>
      </c>
      <c r="J7" s="71">
        <f>J8+J9</f>
        <v>10800</v>
      </c>
      <c r="K7" s="72">
        <f>SUM(L7:Q7)</f>
        <v>9923350</v>
      </c>
      <c r="L7" s="73">
        <f>L8+L9</f>
        <v>189612</v>
      </c>
      <c r="M7" s="73">
        <f t="shared" ref="M7:Q7" si="3">M8+M9</f>
        <v>2457630</v>
      </c>
      <c r="N7" s="73">
        <f t="shared" si="3"/>
        <v>241966</v>
      </c>
      <c r="O7" s="73">
        <f t="shared" si="3"/>
        <v>4010793</v>
      </c>
      <c r="P7" s="73">
        <f t="shared" si="3"/>
        <v>513094</v>
      </c>
      <c r="Q7" s="73">
        <f t="shared" si="3"/>
        <v>2510255</v>
      </c>
    </row>
    <row r="8" spans="1:24" s="70" customFormat="1" ht="12" customHeight="1" x14ac:dyDescent="0.2">
      <c r="A8" s="692" t="s">
        <v>17</v>
      </c>
      <c r="B8" s="693"/>
      <c r="C8" s="694"/>
      <c r="D8" s="68">
        <f>E8+K8</f>
        <v>64471</v>
      </c>
      <c r="E8" s="68">
        <f t="shared" si="1"/>
        <v>0</v>
      </c>
      <c r="F8" s="68">
        <v>0</v>
      </c>
      <c r="G8" s="68">
        <v>0</v>
      </c>
      <c r="H8" s="68">
        <f t="shared" si="2"/>
        <v>0</v>
      </c>
      <c r="I8" s="68">
        <v>0</v>
      </c>
      <c r="J8" s="68">
        <v>0</v>
      </c>
      <c r="K8" s="67">
        <f t="shared" ref="K8" si="4">L8+M8+N8+O8+P8+Q8</f>
        <v>64471</v>
      </c>
      <c r="L8" s="69">
        <f>'[10]Профилактика Свод Пр.8-21'!L8+'[10]Прт.8-21 откл.объемов по ЗВ'!L8</f>
        <v>0</v>
      </c>
      <c r="M8" s="69">
        <f>'[10]Профилактика Свод Пр.8-21'!M8+'[10]Прт.8-21 откл.объемов по ЗВ'!M8</f>
        <v>488</v>
      </c>
      <c r="N8" s="69">
        <f>'[10]Профилактика Свод Пр.8-21'!N8+'[10]Прт.8-21 откл.объемов по ЗВ'!N8</f>
        <v>0</v>
      </c>
      <c r="O8" s="69">
        <v>63983</v>
      </c>
      <c r="P8" s="69">
        <f>'[10]Профилактика Свод Пр.8-21'!P8+'[10]Прт.8-21 откл.объемов по ЗВ'!P8</f>
        <v>0</v>
      </c>
      <c r="Q8" s="69">
        <f>'[10]Профилактика Свод Пр.8-21'!Q8+'[10]Прт.8-21 откл.объемов по ЗВ'!Q8</f>
        <v>0</v>
      </c>
    </row>
    <row r="9" spans="1:24" s="70" customFormat="1" ht="12" customHeight="1" x14ac:dyDescent="0.2">
      <c r="A9" s="695" t="s">
        <v>18</v>
      </c>
      <c r="B9" s="696"/>
      <c r="C9" s="697"/>
      <c r="D9" s="71">
        <f>E9+H9+K9</f>
        <v>11659487</v>
      </c>
      <c r="E9" s="71">
        <f>F9+G9</f>
        <v>1040351</v>
      </c>
      <c r="F9" s="71">
        <f>SUM(F10:F157)</f>
        <v>189601</v>
      </c>
      <c r="G9" s="71">
        <f t="shared" ref="G9:J9" si="5">SUM(G10:G157)</f>
        <v>850750</v>
      </c>
      <c r="H9" s="71">
        <f>I9+J9</f>
        <v>760257</v>
      </c>
      <c r="I9" s="71">
        <f t="shared" si="5"/>
        <v>749457</v>
      </c>
      <c r="J9" s="71">
        <f t="shared" si="5"/>
        <v>10800</v>
      </c>
      <c r="K9" s="72">
        <f>SUM(L9:Q9)</f>
        <v>9858879</v>
      </c>
      <c r="L9" s="73">
        <f>SUM(L10:L157)</f>
        <v>189612</v>
      </c>
      <c r="M9" s="73">
        <f t="shared" ref="M9:Q9" si="6">SUM(M10:M157)</f>
        <v>2457142</v>
      </c>
      <c r="N9" s="73">
        <f t="shared" si="6"/>
        <v>241966</v>
      </c>
      <c r="O9" s="73">
        <f t="shared" si="6"/>
        <v>3946810</v>
      </c>
      <c r="P9" s="73">
        <f t="shared" si="6"/>
        <v>513094</v>
      </c>
      <c r="Q9" s="73">
        <f t="shared" si="6"/>
        <v>2510255</v>
      </c>
    </row>
    <row r="10" spans="1:24" ht="12.75" x14ac:dyDescent="0.2">
      <c r="A10" s="75">
        <v>1</v>
      </c>
      <c r="B10" s="76" t="s">
        <v>19</v>
      </c>
      <c r="C10" s="77" t="s">
        <v>20</v>
      </c>
      <c r="D10" s="78">
        <f t="shared" ref="D10:D80" si="7">E10+H10+K10</f>
        <v>48487</v>
      </c>
      <c r="E10" s="78">
        <f>F10+G10</f>
        <v>4456</v>
      </c>
      <c r="F10" s="78">
        <v>893</v>
      </c>
      <c r="G10" s="78">
        <v>3563</v>
      </c>
      <c r="H10" s="68">
        <f t="shared" ref="H10:H73" si="8">I10+J10</f>
        <v>3603</v>
      </c>
      <c r="I10" s="78">
        <v>3528</v>
      </c>
      <c r="J10" s="78">
        <v>75</v>
      </c>
      <c r="K10" s="78">
        <f>L10+M10+N10+O10+P10+Q10</f>
        <v>40428</v>
      </c>
      <c r="L10" s="79">
        <v>893</v>
      </c>
      <c r="M10" s="79">
        <v>23367</v>
      </c>
      <c r="N10" s="79">
        <v>0</v>
      </c>
      <c r="O10" s="79">
        <v>9344</v>
      </c>
      <c r="P10" s="79">
        <v>963</v>
      </c>
      <c r="Q10" s="79">
        <v>5861</v>
      </c>
      <c r="S10" s="80"/>
      <c r="T10" s="80"/>
      <c r="V10" s="81"/>
      <c r="X10" s="74"/>
    </row>
    <row r="11" spans="1:24" ht="12.75" x14ac:dyDescent="0.2">
      <c r="A11" s="75">
        <v>2</v>
      </c>
      <c r="B11" s="76" t="s">
        <v>21</v>
      </c>
      <c r="C11" s="82" t="s">
        <v>153</v>
      </c>
      <c r="D11" s="78">
        <f t="shared" si="7"/>
        <v>51262</v>
      </c>
      <c r="E11" s="78">
        <f t="shared" ref="E11:E81" si="9">F11+G11</f>
        <v>4497</v>
      </c>
      <c r="F11" s="78">
        <v>918</v>
      </c>
      <c r="G11" s="78">
        <v>3579</v>
      </c>
      <c r="H11" s="68">
        <f t="shared" si="8"/>
        <v>3689</v>
      </c>
      <c r="I11" s="78">
        <v>3627</v>
      </c>
      <c r="J11" s="78">
        <v>62</v>
      </c>
      <c r="K11" s="78">
        <f t="shared" ref="K11:K81" si="10">L11+M11+N11+O11+P11+Q11</f>
        <v>43076</v>
      </c>
      <c r="L11" s="79">
        <v>918</v>
      </c>
      <c r="M11" s="79">
        <v>13255</v>
      </c>
      <c r="N11" s="79">
        <v>0</v>
      </c>
      <c r="O11" s="79">
        <v>18240</v>
      </c>
      <c r="P11" s="79">
        <v>2675</v>
      </c>
      <c r="Q11" s="79">
        <v>7988</v>
      </c>
      <c r="S11" s="80"/>
      <c r="T11" s="80"/>
      <c r="V11" s="81"/>
      <c r="X11" s="74"/>
    </row>
    <row r="12" spans="1:24" ht="12.75" x14ac:dyDescent="0.2">
      <c r="A12" s="75">
        <v>3</v>
      </c>
      <c r="B12" s="83" t="s">
        <v>22</v>
      </c>
      <c r="C12" s="76" t="s">
        <v>23</v>
      </c>
      <c r="D12" s="78">
        <f t="shared" si="7"/>
        <v>159818</v>
      </c>
      <c r="E12" s="78">
        <f t="shared" si="9"/>
        <v>15220</v>
      </c>
      <c r="F12" s="78">
        <v>2592</v>
      </c>
      <c r="G12" s="78">
        <v>12628</v>
      </c>
      <c r="H12" s="68">
        <f t="shared" si="8"/>
        <v>10744</v>
      </c>
      <c r="I12" s="78">
        <v>10247</v>
      </c>
      <c r="J12" s="78">
        <v>497</v>
      </c>
      <c r="K12" s="78">
        <f t="shared" si="10"/>
        <v>133854</v>
      </c>
      <c r="L12" s="79">
        <v>2592</v>
      </c>
      <c r="M12" s="79">
        <v>44235</v>
      </c>
      <c r="N12" s="79">
        <v>9422</v>
      </c>
      <c r="O12" s="79">
        <v>25170</v>
      </c>
      <c r="P12" s="79">
        <v>7632</v>
      </c>
      <c r="Q12" s="79">
        <v>44803</v>
      </c>
      <c r="S12" s="80"/>
      <c r="T12" s="80"/>
      <c r="V12" s="81"/>
      <c r="X12" s="74"/>
    </row>
    <row r="13" spans="1:24" ht="12.75" x14ac:dyDescent="0.2">
      <c r="A13" s="75">
        <v>4</v>
      </c>
      <c r="B13" s="76" t="s">
        <v>24</v>
      </c>
      <c r="C13" s="77" t="s">
        <v>368</v>
      </c>
      <c r="D13" s="78">
        <f t="shared" si="7"/>
        <v>54440</v>
      </c>
      <c r="E13" s="78">
        <f t="shared" si="9"/>
        <v>4541</v>
      </c>
      <c r="F13" s="78">
        <v>1043</v>
      </c>
      <c r="G13" s="78">
        <v>3498</v>
      </c>
      <c r="H13" s="68">
        <f t="shared" si="8"/>
        <v>4190</v>
      </c>
      <c r="I13" s="78">
        <v>4122</v>
      </c>
      <c r="J13" s="78">
        <v>68</v>
      </c>
      <c r="K13" s="78">
        <f t="shared" si="10"/>
        <v>45709</v>
      </c>
      <c r="L13" s="79">
        <v>1443</v>
      </c>
      <c r="M13" s="79">
        <v>10000</v>
      </c>
      <c r="N13" s="79">
        <v>0</v>
      </c>
      <c r="O13" s="79">
        <v>18017</v>
      </c>
      <c r="P13" s="79">
        <v>4184</v>
      </c>
      <c r="Q13" s="79">
        <v>12065</v>
      </c>
      <c r="S13" s="80"/>
      <c r="T13" s="80"/>
      <c r="V13" s="81"/>
      <c r="X13" s="74"/>
    </row>
    <row r="14" spans="1:24" ht="12.75" x14ac:dyDescent="0.2">
      <c r="A14" s="75">
        <v>5</v>
      </c>
      <c r="B14" s="76" t="s">
        <v>25</v>
      </c>
      <c r="C14" s="77" t="s">
        <v>26</v>
      </c>
      <c r="D14" s="78">
        <f t="shared" si="7"/>
        <v>59551</v>
      </c>
      <c r="E14" s="78">
        <f t="shared" si="9"/>
        <v>5642</v>
      </c>
      <c r="F14" s="78">
        <v>1065</v>
      </c>
      <c r="G14" s="78">
        <v>4577</v>
      </c>
      <c r="H14" s="68">
        <f t="shared" si="8"/>
        <v>4293</v>
      </c>
      <c r="I14" s="78">
        <v>4210</v>
      </c>
      <c r="J14" s="78">
        <v>83</v>
      </c>
      <c r="K14" s="78">
        <f t="shared" si="10"/>
        <v>49616</v>
      </c>
      <c r="L14" s="79">
        <v>1065</v>
      </c>
      <c r="M14" s="79">
        <v>16250</v>
      </c>
      <c r="N14" s="79">
        <v>0</v>
      </c>
      <c r="O14" s="79">
        <v>16124</v>
      </c>
      <c r="P14" s="79">
        <v>5968</v>
      </c>
      <c r="Q14" s="79">
        <v>10209</v>
      </c>
      <c r="S14" s="80"/>
      <c r="T14" s="80"/>
      <c r="V14" s="81"/>
      <c r="X14" s="74"/>
    </row>
    <row r="15" spans="1:24" ht="12.75" x14ac:dyDescent="0.2">
      <c r="A15" s="75">
        <v>6</v>
      </c>
      <c r="B15" s="83" t="s">
        <v>4</v>
      </c>
      <c r="C15" s="76" t="s">
        <v>27</v>
      </c>
      <c r="D15" s="78">
        <f t="shared" si="7"/>
        <v>426093</v>
      </c>
      <c r="E15" s="78">
        <f t="shared" si="9"/>
        <v>43260</v>
      </c>
      <c r="F15" s="78">
        <v>7131</v>
      </c>
      <c r="G15" s="78">
        <v>36129</v>
      </c>
      <c r="H15" s="68">
        <f t="shared" si="8"/>
        <v>28375</v>
      </c>
      <c r="I15" s="78">
        <v>28190</v>
      </c>
      <c r="J15" s="78">
        <v>185</v>
      </c>
      <c r="K15" s="78">
        <f t="shared" si="10"/>
        <v>354458</v>
      </c>
      <c r="L15" s="79">
        <v>7632</v>
      </c>
      <c r="M15" s="79">
        <v>97056</v>
      </c>
      <c r="N15" s="79">
        <v>17846</v>
      </c>
      <c r="O15" s="79">
        <v>121282</v>
      </c>
      <c r="P15" s="79">
        <v>12008</v>
      </c>
      <c r="Q15" s="79">
        <v>98634</v>
      </c>
      <c r="S15" s="80"/>
      <c r="T15" s="80"/>
      <c r="V15" s="81"/>
      <c r="X15" s="74"/>
    </row>
    <row r="16" spans="1:24" ht="12.75" x14ac:dyDescent="0.2">
      <c r="A16" s="75">
        <v>7</v>
      </c>
      <c r="B16" s="84" t="s">
        <v>28</v>
      </c>
      <c r="C16" s="84" t="s">
        <v>369</v>
      </c>
      <c r="D16" s="78">
        <f t="shared" si="7"/>
        <v>160239</v>
      </c>
      <c r="E16" s="78">
        <f t="shared" si="9"/>
        <v>14300</v>
      </c>
      <c r="F16" s="78">
        <v>2692</v>
      </c>
      <c r="G16" s="78">
        <v>11608</v>
      </c>
      <c r="H16" s="68">
        <f t="shared" si="8"/>
        <v>10785</v>
      </c>
      <c r="I16" s="78">
        <v>10641</v>
      </c>
      <c r="J16" s="78">
        <v>144</v>
      </c>
      <c r="K16" s="78">
        <f t="shared" si="10"/>
        <v>135154</v>
      </c>
      <c r="L16" s="79">
        <v>2692</v>
      </c>
      <c r="M16" s="79">
        <v>31365</v>
      </c>
      <c r="N16" s="79">
        <v>8290</v>
      </c>
      <c r="O16" s="79">
        <v>50673</v>
      </c>
      <c r="P16" s="79">
        <v>4900</v>
      </c>
      <c r="Q16" s="79">
        <v>37234</v>
      </c>
      <c r="S16" s="80"/>
      <c r="T16" s="80"/>
      <c r="V16" s="81"/>
      <c r="X16" s="74"/>
    </row>
    <row r="17" spans="1:24" ht="12.75" x14ac:dyDescent="0.2">
      <c r="A17" s="75">
        <v>8</v>
      </c>
      <c r="B17" s="83" t="s">
        <v>29</v>
      </c>
      <c r="C17" s="76" t="s">
        <v>30</v>
      </c>
      <c r="D17" s="78">
        <f t="shared" si="7"/>
        <v>61629</v>
      </c>
      <c r="E17" s="78">
        <f t="shared" si="9"/>
        <v>6001</v>
      </c>
      <c r="F17" s="78">
        <v>1116</v>
      </c>
      <c r="G17" s="78">
        <v>4885</v>
      </c>
      <c r="H17" s="68">
        <f t="shared" si="8"/>
        <v>4570</v>
      </c>
      <c r="I17" s="78">
        <v>4411</v>
      </c>
      <c r="J17" s="78">
        <v>159</v>
      </c>
      <c r="K17" s="78">
        <f t="shared" si="10"/>
        <v>51058</v>
      </c>
      <c r="L17" s="79">
        <v>1116</v>
      </c>
      <c r="M17" s="79">
        <v>17947</v>
      </c>
      <c r="N17" s="79">
        <v>0</v>
      </c>
      <c r="O17" s="79">
        <v>16516</v>
      </c>
      <c r="P17" s="79">
        <v>1778</v>
      </c>
      <c r="Q17" s="79">
        <v>13701</v>
      </c>
      <c r="S17" s="80"/>
      <c r="T17" s="80"/>
      <c r="V17" s="81"/>
      <c r="X17" s="74"/>
    </row>
    <row r="18" spans="1:24" ht="12.75" x14ac:dyDescent="0.2">
      <c r="A18" s="75">
        <v>9</v>
      </c>
      <c r="B18" s="83" t="s">
        <v>31</v>
      </c>
      <c r="C18" s="76" t="s">
        <v>32</v>
      </c>
      <c r="D18" s="78">
        <f t="shared" si="7"/>
        <v>56309</v>
      </c>
      <c r="E18" s="78">
        <f t="shared" si="9"/>
        <v>5182</v>
      </c>
      <c r="F18" s="78">
        <v>1037</v>
      </c>
      <c r="G18" s="78">
        <v>4145</v>
      </c>
      <c r="H18" s="68">
        <f t="shared" si="8"/>
        <v>4144</v>
      </c>
      <c r="I18" s="78">
        <v>4100</v>
      </c>
      <c r="J18" s="78">
        <v>44</v>
      </c>
      <c r="K18" s="78">
        <f t="shared" si="10"/>
        <v>46983</v>
      </c>
      <c r="L18" s="79">
        <v>1187</v>
      </c>
      <c r="M18" s="79">
        <v>10000</v>
      </c>
      <c r="N18" s="79">
        <v>0</v>
      </c>
      <c r="O18" s="79">
        <v>24045</v>
      </c>
      <c r="P18" s="79">
        <v>215</v>
      </c>
      <c r="Q18" s="79">
        <v>11536</v>
      </c>
      <c r="S18" s="80"/>
      <c r="T18" s="80"/>
      <c r="V18" s="81"/>
      <c r="X18" s="74"/>
    </row>
    <row r="19" spans="1:24" ht="12.75" x14ac:dyDescent="0.2">
      <c r="A19" s="75">
        <v>10</v>
      </c>
      <c r="B19" s="83" t="s">
        <v>33</v>
      </c>
      <c r="C19" s="76" t="s">
        <v>34</v>
      </c>
      <c r="D19" s="78">
        <f t="shared" si="7"/>
        <v>70249</v>
      </c>
      <c r="E19" s="78">
        <f t="shared" si="9"/>
        <v>6015</v>
      </c>
      <c r="F19" s="78">
        <v>1294</v>
      </c>
      <c r="G19" s="78">
        <v>4721</v>
      </c>
      <c r="H19" s="68">
        <f t="shared" si="8"/>
        <v>5175</v>
      </c>
      <c r="I19" s="78">
        <v>5115</v>
      </c>
      <c r="J19" s="78">
        <v>60</v>
      </c>
      <c r="K19" s="78">
        <f t="shared" si="10"/>
        <v>59059</v>
      </c>
      <c r="L19" s="79">
        <v>1294</v>
      </c>
      <c r="M19" s="79">
        <v>11616</v>
      </c>
      <c r="N19" s="79">
        <v>0</v>
      </c>
      <c r="O19" s="79">
        <v>21065</v>
      </c>
      <c r="P19" s="79">
        <v>5528</v>
      </c>
      <c r="Q19" s="79">
        <v>19556</v>
      </c>
      <c r="S19" s="80"/>
      <c r="T19" s="80"/>
      <c r="V19" s="81"/>
      <c r="X19" s="74"/>
    </row>
    <row r="20" spans="1:24" ht="12.75" x14ac:dyDescent="0.2">
      <c r="A20" s="75">
        <v>11</v>
      </c>
      <c r="B20" s="83" t="s">
        <v>35</v>
      </c>
      <c r="C20" s="76" t="s">
        <v>36</v>
      </c>
      <c r="D20" s="78">
        <f t="shared" si="7"/>
        <v>56009</v>
      </c>
      <c r="E20" s="78">
        <f t="shared" si="9"/>
        <v>5725</v>
      </c>
      <c r="F20" s="78">
        <v>997</v>
      </c>
      <c r="G20" s="78">
        <v>4728</v>
      </c>
      <c r="H20" s="68">
        <f t="shared" si="8"/>
        <v>4032</v>
      </c>
      <c r="I20" s="78">
        <v>3940</v>
      </c>
      <c r="J20" s="78">
        <v>92</v>
      </c>
      <c r="K20" s="78">
        <f t="shared" si="10"/>
        <v>46252</v>
      </c>
      <c r="L20" s="79">
        <v>997</v>
      </c>
      <c r="M20" s="79">
        <v>14143</v>
      </c>
      <c r="N20" s="79">
        <v>0</v>
      </c>
      <c r="O20" s="79">
        <v>14005</v>
      </c>
      <c r="P20" s="79">
        <v>5232</v>
      </c>
      <c r="Q20" s="79">
        <v>11875</v>
      </c>
      <c r="S20" s="80"/>
      <c r="T20" s="80"/>
      <c r="V20" s="81"/>
      <c r="X20" s="74"/>
    </row>
    <row r="21" spans="1:24" ht="12.75" x14ac:dyDescent="0.2">
      <c r="A21" s="75">
        <v>12</v>
      </c>
      <c r="B21" s="83" t="s">
        <v>37</v>
      </c>
      <c r="C21" s="76" t="s">
        <v>38</v>
      </c>
      <c r="D21" s="78">
        <f t="shared" si="7"/>
        <v>114102</v>
      </c>
      <c r="E21" s="78">
        <f t="shared" si="9"/>
        <v>10764</v>
      </c>
      <c r="F21" s="78">
        <v>2035</v>
      </c>
      <c r="G21" s="78">
        <v>8729</v>
      </c>
      <c r="H21" s="68">
        <f t="shared" si="8"/>
        <v>8202</v>
      </c>
      <c r="I21" s="78">
        <v>8045</v>
      </c>
      <c r="J21" s="78">
        <v>157</v>
      </c>
      <c r="K21" s="78">
        <f t="shared" si="10"/>
        <v>95136</v>
      </c>
      <c r="L21" s="79">
        <v>2535</v>
      </c>
      <c r="M21" s="79">
        <v>34746</v>
      </c>
      <c r="N21" s="79">
        <v>0</v>
      </c>
      <c r="O21" s="79">
        <v>28961</v>
      </c>
      <c r="P21" s="79">
        <v>3572</v>
      </c>
      <c r="Q21" s="79">
        <v>25322</v>
      </c>
      <c r="S21" s="80"/>
      <c r="T21" s="80"/>
      <c r="V21" s="81"/>
      <c r="X21" s="74"/>
    </row>
    <row r="22" spans="1:24" x14ac:dyDescent="0.2">
      <c r="A22" s="75">
        <v>13</v>
      </c>
      <c r="B22" s="85" t="s">
        <v>166</v>
      </c>
      <c r="C22" s="86" t="s">
        <v>370</v>
      </c>
      <c r="D22" s="78">
        <f t="shared" si="7"/>
        <v>0</v>
      </c>
      <c r="E22" s="78">
        <f t="shared" si="9"/>
        <v>0</v>
      </c>
      <c r="F22" s="78">
        <v>0</v>
      </c>
      <c r="G22" s="78">
        <v>0</v>
      </c>
      <c r="H22" s="68">
        <f t="shared" si="8"/>
        <v>0</v>
      </c>
      <c r="I22" s="78">
        <v>0</v>
      </c>
      <c r="J22" s="78">
        <v>0</v>
      </c>
      <c r="K22" s="78">
        <f t="shared" si="10"/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81"/>
      <c r="S22" s="80"/>
      <c r="T22" s="80"/>
      <c r="V22" s="81"/>
      <c r="X22" s="74"/>
    </row>
    <row r="23" spans="1:24" x14ac:dyDescent="0.2">
      <c r="A23" s="75">
        <v>14</v>
      </c>
      <c r="B23" s="85" t="s">
        <v>167</v>
      </c>
      <c r="C23" s="82" t="s">
        <v>371</v>
      </c>
      <c r="D23" s="78">
        <f t="shared" si="7"/>
        <v>0</v>
      </c>
      <c r="E23" s="78">
        <f t="shared" si="9"/>
        <v>0</v>
      </c>
      <c r="F23" s="78">
        <v>0</v>
      </c>
      <c r="G23" s="78">
        <v>0</v>
      </c>
      <c r="H23" s="68">
        <f t="shared" si="8"/>
        <v>0</v>
      </c>
      <c r="I23" s="78">
        <v>0</v>
      </c>
      <c r="J23" s="78">
        <v>0</v>
      </c>
      <c r="K23" s="78">
        <f t="shared" si="10"/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81"/>
      <c r="S23" s="80"/>
      <c r="T23" s="80"/>
      <c r="V23" s="81"/>
      <c r="X23" s="74"/>
    </row>
    <row r="24" spans="1:24" ht="12.75" x14ac:dyDescent="0.2">
      <c r="A24" s="75">
        <v>15</v>
      </c>
      <c r="B24" s="83" t="s">
        <v>39</v>
      </c>
      <c r="C24" s="76" t="s">
        <v>40</v>
      </c>
      <c r="D24" s="78">
        <f t="shared" si="7"/>
        <v>74905</v>
      </c>
      <c r="E24" s="78">
        <f t="shared" si="9"/>
        <v>7975</v>
      </c>
      <c r="F24" s="78">
        <v>1289</v>
      </c>
      <c r="G24" s="78">
        <v>6686</v>
      </c>
      <c r="H24" s="68">
        <f t="shared" si="8"/>
        <v>5215</v>
      </c>
      <c r="I24" s="78">
        <v>5095</v>
      </c>
      <c r="J24" s="78">
        <v>120</v>
      </c>
      <c r="K24" s="78">
        <f t="shared" si="10"/>
        <v>61715</v>
      </c>
      <c r="L24" s="79">
        <v>1289</v>
      </c>
      <c r="M24" s="79">
        <v>9573</v>
      </c>
      <c r="N24" s="79">
        <v>0</v>
      </c>
      <c r="O24" s="79">
        <v>14942</v>
      </c>
      <c r="P24" s="79">
        <v>9287</v>
      </c>
      <c r="Q24" s="79">
        <v>26624</v>
      </c>
      <c r="R24" s="81"/>
      <c r="S24" s="80"/>
      <c r="T24" s="80"/>
      <c r="V24" s="81"/>
      <c r="X24" s="74"/>
    </row>
    <row r="25" spans="1:24" ht="12.75" x14ac:dyDescent="0.2">
      <c r="A25" s="75">
        <v>16</v>
      </c>
      <c r="B25" s="83" t="s">
        <v>41</v>
      </c>
      <c r="C25" s="76" t="s">
        <v>42</v>
      </c>
      <c r="D25" s="78">
        <f t="shared" si="7"/>
        <v>106880</v>
      </c>
      <c r="E25" s="78">
        <f t="shared" si="9"/>
        <v>12444</v>
      </c>
      <c r="F25" s="78">
        <v>1751</v>
      </c>
      <c r="G25" s="78">
        <v>10693</v>
      </c>
      <c r="H25" s="68">
        <f t="shared" si="8"/>
        <v>7128</v>
      </c>
      <c r="I25" s="78">
        <v>6921</v>
      </c>
      <c r="J25" s="78">
        <v>207</v>
      </c>
      <c r="K25" s="78">
        <f t="shared" si="10"/>
        <v>87308</v>
      </c>
      <c r="L25" s="79">
        <v>1751</v>
      </c>
      <c r="M25" s="79">
        <v>35468</v>
      </c>
      <c r="N25" s="79">
        <v>902</v>
      </c>
      <c r="O25" s="79">
        <v>22673</v>
      </c>
      <c r="P25" s="79">
        <v>3555</v>
      </c>
      <c r="Q25" s="79">
        <v>22959</v>
      </c>
      <c r="R25" s="81"/>
      <c r="S25" s="80"/>
      <c r="T25" s="80"/>
      <c r="V25" s="81"/>
      <c r="X25" s="74"/>
    </row>
    <row r="26" spans="1:24" ht="12.75" x14ac:dyDescent="0.2">
      <c r="A26" s="75">
        <v>17</v>
      </c>
      <c r="B26" s="83" t="s">
        <v>43</v>
      </c>
      <c r="C26" s="76" t="s">
        <v>372</v>
      </c>
      <c r="D26" s="78">
        <f t="shared" si="7"/>
        <v>140550</v>
      </c>
      <c r="E26" s="78">
        <f t="shared" si="9"/>
        <v>16229</v>
      </c>
      <c r="F26" s="78">
        <v>2353</v>
      </c>
      <c r="G26" s="78">
        <v>13876</v>
      </c>
      <c r="H26" s="68">
        <f t="shared" si="8"/>
        <v>9425</v>
      </c>
      <c r="I26" s="78">
        <v>9302</v>
      </c>
      <c r="J26" s="78">
        <v>123</v>
      </c>
      <c r="K26" s="78">
        <f t="shared" si="10"/>
        <v>114896</v>
      </c>
      <c r="L26" s="79">
        <v>2353</v>
      </c>
      <c r="M26" s="79">
        <v>35000</v>
      </c>
      <c r="N26" s="79">
        <v>0</v>
      </c>
      <c r="O26" s="79">
        <v>42766</v>
      </c>
      <c r="P26" s="79">
        <v>15561</v>
      </c>
      <c r="Q26" s="79">
        <v>19216</v>
      </c>
      <c r="R26" s="81"/>
      <c r="S26" s="80"/>
      <c r="T26" s="80"/>
      <c r="V26" s="81"/>
      <c r="X26" s="74"/>
    </row>
    <row r="27" spans="1:24" ht="12.75" x14ac:dyDescent="0.2">
      <c r="A27" s="75">
        <v>18</v>
      </c>
      <c r="B27" s="83" t="s">
        <v>44</v>
      </c>
      <c r="C27" s="76" t="s">
        <v>45</v>
      </c>
      <c r="D27" s="78">
        <f t="shared" si="7"/>
        <v>269693</v>
      </c>
      <c r="E27" s="78">
        <f t="shared" si="9"/>
        <v>25982</v>
      </c>
      <c r="F27" s="78">
        <v>4596</v>
      </c>
      <c r="G27" s="78">
        <v>21386</v>
      </c>
      <c r="H27" s="68">
        <f t="shared" si="8"/>
        <v>18792</v>
      </c>
      <c r="I27" s="78">
        <v>18166</v>
      </c>
      <c r="J27" s="78">
        <v>626</v>
      </c>
      <c r="K27" s="78">
        <f t="shared" si="10"/>
        <v>224919</v>
      </c>
      <c r="L27" s="79">
        <v>4596</v>
      </c>
      <c r="M27" s="79">
        <v>31930</v>
      </c>
      <c r="N27" s="79">
        <v>11683</v>
      </c>
      <c r="O27" s="79">
        <v>69801</v>
      </c>
      <c r="P27" s="79">
        <v>48636</v>
      </c>
      <c r="Q27" s="79">
        <v>58273</v>
      </c>
      <c r="R27" s="81"/>
      <c r="S27" s="80"/>
      <c r="T27" s="80"/>
      <c r="V27" s="81"/>
      <c r="X27" s="74"/>
    </row>
    <row r="28" spans="1:24" ht="12.75" x14ac:dyDescent="0.2">
      <c r="A28" s="75">
        <v>19</v>
      </c>
      <c r="B28" s="76" t="s">
        <v>46</v>
      </c>
      <c r="C28" s="77" t="s">
        <v>47</v>
      </c>
      <c r="D28" s="78">
        <f t="shared" si="7"/>
        <v>43318</v>
      </c>
      <c r="E28" s="78">
        <f t="shared" si="9"/>
        <v>5592</v>
      </c>
      <c r="F28" s="78">
        <v>705</v>
      </c>
      <c r="G28" s="78">
        <v>4887</v>
      </c>
      <c r="H28" s="68">
        <f t="shared" si="8"/>
        <v>2816</v>
      </c>
      <c r="I28" s="78">
        <v>2785</v>
      </c>
      <c r="J28" s="78">
        <v>31</v>
      </c>
      <c r="K28" s="78">
        <f t="shared" si="10"/>
        <v>34910</v>
      </c>
      <c r="L28" s="79">
        <v>705</v>
      </c>
      <c r="M28" s="79">
        <v>12848</v>
      </c>
      <c r="N28" s="79">
        <v>121</v>
      </c>
      <c r="O28" s="79">
        <v>10153</v>
      </c>
      <c r="P28" s="79">
        <v>2151</v>
      </c>
      <c r="Q28" s="79">
        <v>8932</v>
      </c>
      <c r="R28" s="81"/>
      <c r="S28" s="80"/>
      <c r="T28" s="80"/>
      <c r="V28" s="81"/>
      <c r="X28" s="74"/>
    </row>
    <row r="29" spans="1:24" ht="12.75" x14ac:dyDescent="0.2">
      <c r="A29" s="75">
        <v>20</v>
      </c>
      <c r="B29" s="76" t="s">
        <v>48</v>
      </c>
      <c r="C29" s="77" t="s">
        <v>373</v>
      </c>
      <c r="D29" s="78">
        <f t="shared" si="7"/>
        <v>34779</v>
      </c>
      <c r="E29" s="78">
        <f t="shared" si="9"/>
        <v>3397</v>
      </c>
      <c r="F29" s="78">
        <v>619</v>
      </c>
      <c r="G29" s="78">
        <v>2778</v>
      </c>
      <c r="H29" s="68">
        <f t="shared" si="8"/>
        <v>2644</v>
      </c>
      <c r="I29" s="78">
        <v>2446</v>
      </c>
      <c r="J29" s="78">
        <v>198</v>
      </c>
      <c r="K29" s="78">
        <f t="shared" si="10"/>
        <v>28738</v>
      </c>
      <c r="L29" s="79">
        <v>619</v>
      </c>
      <c r="M29" s="79">
        <v>7000</v>
      </c>
      <c r="N29" s="79">
        <v>0</v>
      </c>
      <c r="O29" s="79">
        <v>7457</v>
      </c>
      <c r="P29" s="79">
        <v>3270</v>
      </c>
      <c r="Q29" s="79">
        <v>10392</v>
      </c>
      <c r="R29" s="81"/>
      <c r="S29" s="80"/>
      <c r="T29" s="80"/>
      <c r="V29" s="81"/>
      <c r="X29" s="74"/>
    </row>
    <row r="30" spans="1:24" ht="12.75" x14ac:dyDescent="0.2">
      <c r="A30" s="75">
        <v>21</v>
      </c>
      <c r="B30" s="76" t="s">
        <v>49</v>
      </c>
      <c r="C30" s="77" t="s">
        <v>50</v>
      </c>
      <c r="D30" s="78">
        <f t="shared" si="7"/>
        <v>182239</v>
      </c>
      <c r="E30" s="78">
        <f t="shared" si="9"/>
        <v>18807</v>
      </c>
      <c r="F30" s="78">
        <v>3167</v>
      </c>
      <c r="G30" s="78">
        <v>15640</v>
      </c>
      <c r="H30" s="68">
        <f t="shared" si="8"/>
        <v>12800</v>
      </c>
      <c r="I30" s="78">
        <v>12519</v>
      </c>
      <c r="J30" s="78">
        <v>281</v>
      </c>
      <c r="K30" s="78">
        <f t="shared" si="10"/>
        <v>150632</v>
      </c>
      <c r="L30" s="79">
        <v>3167</v>
      </c>
      <c r="M30" s="79">
        <v>31743</v>
      </c>
      <c r="N30" s="79">
        <v>1542</v>
      </c>
      <c r="O30" s="79">
        <v>54515</v>
      </c>
      <c r="P30" s="79">
        <v>13716</v>
      </c>
      <c r="Q30" s="79">
        <v>45949</v>
      </c>
      <c r="R30" s="81"/>
      <c r="S30" s="80"/>
      <c r="T30" s="80"/>
      <c r="V30" s="81"/>
      <c r="X30" s="74"/>
    </row>
    <row r="31" spans="1:24" ht="12.75" x14ac:dyDescent="0.2">
      <c r="A31" s="75">
        <v>22</v>
      </c>
      <c r="B31" s="76" t="s">
        <v>51</v>
      </c>
      <c r="C31" s="77" t="s">
        <v>52</v>
      </c>
      <c r="D31" s="78">
        <f t="shared" si="7"/>
        <v>170398</v>
      </c>
      <c r="E31" s="78">
        <f t="shared" si="9"/>
        <v>16887</v>
      </c>
      <c r="F31" s="78">
        <v>2786</v>
      </c>
      <c r="G31" s="78">
        <v>14101</v>
      </c>
      <c r="H31" s="68">
        <f t="shared" si="8"/>
        <v>11185</v>
      </c>
      <c r="I31" s="78">
        <v>11011</v>
      </c>
      <c r="J31" s="78">
        <v>174</v>
      </c>
      <c r="K31" s="78">
        <f t="shared" si="10"/>
        <v>142326</v>
      </c>
      <c r="L31" s="79">
        <v>2786</v>
      </c>
      <c r="M31" s="79">
        <v>25000</v>
      </c>
      <c r="N31" s="79">
        <v>9310</v>
      </c>
      <c r="O31" s="79">
        <v>56302</v>
      </c>
      <c r="P31" s="79">
        <v>7438</v>
      </c>
      <c r="Q31" s="79">
        <v>41490</v>
      </c>
      <c r="R31" s="81"/>
      <c r="S31" s="80"/>
      <c r="T31" s="80"/>
      <c r="V31" s="81"/>
      <c r="X31" s="74"/>
    </row>
    <row r="32" spans="1:24" ht="12.75" x14ac:dyDescent="0.2">
      <c r="A32" s="75">
        <v>23</v>
      </c>
      <c r="B32" s="83" t="s">
        <v>53</v>
      </c>
      <c r="C32" s="76" t="s">
        <v>374</v>
      </c>
      <c r="D32" s="78">
        <f t="shared" si="7"/>
        <v>42011</v>
      </c>
      <c r="E32" s="78">
        <f t="shared" si="9"/>
        <v>3428</v>
      </c>
      <c r="F32" s="78">
        <v>685</v>
      </c>
      <c r="G32" s="78">
        <v>2743</v>
      </c>
      <c r="H32" s="68">
        <f t="shared" si="8"/>
        <v>2756</v>
      </c>
      <c r="I32" s="78">
        <v>2709</v>
      </c>
      <c r="J32" s="78">
        <v>47</v>
      </c>
      <c r="K32" s="78">
        <f t="shared" si="10"/>
        <v>35827</v>
      </c>
      <c r="L32" s="79">
        <v>685</v>
      </c>
      <c r="M32" s="79">
        <v>6011</v>
      </c>
      <c r="N32" s="79">
        <v>0</v>
      </c>
      <c r="O32" s="79">
        <v>15948</v>
      </c>
      <c r="P32" s="79">
        <v>3695</v>
      </c>
      <c r="Q32" s="79">
        <v>9488</v>
      </c>
      <c r="R32" s="81"/>
      <c r="S32" s="80"/>
      <c r="T32" s="80"/>
      <c r="V32" s="81"/>
      <c r="X32" s="74"/>
    </row>
    <row r="33" spans="1:24" x14ac:dyDescent="0.2">
      <c r="A33" s="75">
        <v>24</v>
      </c>
      <c r="B33" s="87" t="s">
        <v>316</v>
      </c>
      <c r="C33" s="86" t="s">
        <v>375</v>
      </c>
      <c r="D33" s="78">
        <f t="shared" si="7"/>
        <v>0</v>
      </c>
      <c r="E33" s="78">
        <f t="shared" si="9"/>
        <v>0</v>
      </c>
      <c r="F33" s="78">
        <v>0</v>
      </c>
      <c r="G33" s="78">
        <v>0</v>
      </c>
      <c r="H33" s="68">
        <f t="shared" si="8"/>
        <v>0</v>
      </c>
      <c r="I33" s="78">
        <v>0</v>
      </c>
      <c r="J33" s="78">
        <v>0</v>
      </c>
      <c r="K33" s="78">
        <f t="shared" si="10"/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81"/>
      <c r="S33" s="80"/>
      <c r="T33" s="80"/>
      <c r="V33" s="81"/>
      <c r="X33" s="74"/>
    </row>
    <row r="34" spans="1:24" ht="24" x14ac:dyDescent="0.2">
      <c r="A34" s="75">
        <v>25</v>
      </c>
      <c r="B34" s="87" t="s">
        <v>318</v>
      </c>
      <c r="C34" s="86" t="s">
        <v>376</v>
      </c>
      <c r="D34" s="78">
        <f t="shared" si="7"/>
        <v>0</v>
      </c>
      <c r="E34" s="78">
        <f t="shared" si="9"/>
        <v>0</v>
      </c>
      <c r="F34" s="78">
        <v>0</v>
      </c>
      <c r="G34" s="78">
        <v>0</v>
      </c>
      <c r="H34" s="68">
        <f t="shared" si="8"/>
        <v>0</v>
      </c>
      <c r="I34" s="78">
        <v>0</v>
      </c>
      <c r="J34" s="78">
        <v>0</v>
      </c>
      <c r="K34" s="78">
        <f t="shared" si="10"/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81"/>
      <c r="S34" s="80"/>
      <c r="T34" s="80"/>
      <c r="V34" s="81"/>
      <c r="X34" s="74"/>
    </row>
    <row r="35" spans="1:24" ht="12.75" x14ac:dyDescent="0.2">
      <c r="A35" s="75">
        <v>26</v>
      </c>
      <c r="B35" s="76" t="s">
        <v>6</v>
      </c>
      <c r="C35" s="84" t="s">
        <v>377</v>
      </c>
      <c r="D35" s="78">
        <f t="shared" si="7"/>
        <v>254541</v>
      </c>
      <c r="E35" s="78">
        <f t="shared" si="9"/>
        <v>7306</v>
      </c>
      <c r="F35" s="78">
        <v>7306</v>
      </c>
      <c r="G35" s="78">
        <v>0</v>
      </c>
      <c r="H35" s="68">
        <f t="shared" si="8"/>
        <v>28879</v>
      </c>
      <c r="I35" s="78">
        <v>28879</v>
      </c>
      <c r="J35" s="78">
        <v>0</v>
      </c>
      <c r="K35" s="78">
        <f t="shared" si="10"/>
        <v>218356</v>
      </c>
      <c r="L35" s="79">
        <v>7306</v>
      </c>
      <c r="M35" s="79">
        <v>75937</v>
      </c>
      <c r="N35" s="79">
        <v>21896</v>
      </c>
      <c r="O35" s="79">
        <v>71183</v>
      </c>
      <c r="P35" s="79">
        <v>8093</v>
      </c>
      <c r="Q35" s="79">
        <v>33941</v>
      </c>
      <c r="R35" s="81"/>
      <c r="S35" s="80"/>
      <c r="T35" s="80"/>
      <c r="V35" s="81"/>
      <c r="X35" s="74"/>
    </row>
    <row r="36" spans="1:24" ht="12.75" x14ac:dyDescent="0.2">
      <c r="A36" s="75">
        <v>27</v>
      </c>
      <c r="B36" s="83" t="s">
        <v>5</v>
      </c>
      <c r="C36" s="76" t="s">
        <v>378</v>
      </c>
      <c r="D36" s="78">
        <f t="shared" si="7"/>
        <v>362337</v>
      </c>
      <c r="E36" s="78">
        <f t="shared" si="9"/>
        <v>32128</v>
      </c>
      <c r="F36" s="78">
        <v>7289</v>
      </c>
      <c r="G36" s="78">
        <v>24839</v>
      </c>
      <c r="H36" s="68">
        <f t="shared" si="8"/>
        <v>28885</v>
      </c>
      <c r="I36" s="78">
        <v>28812</v>
      </c>
      <c r="J36" s="78">
        <v>73</v>
      </c>
      <c r="K36" s="78">
        <f t="shared" si="10"/>
        <v>301324</v>
      </c>
      <c r="L36" s="79">
        <v>7290</v>
      </c>
      <c r="M36" s="79">
        <v>67139</v>
      </c>
      <c r="N36" s="79">
        <v>0</v>
      </c>
      <c r="O36" s="79">
        <v>95937</v>
      </c>
      <c r="P36" s="79">
        <v>56198</v>
      </c>
      <c r="Q36" s="79">
        <v>74760</v>
      </c>
      <c r="R36" s="81"/>
      <c r="S36" s="80"/>
      <c r="T36" s="80"/>
      <c r="V36" s="81"/>
      <c r="X36" s="74"/>
    </row>
    <row r="37" spans="1:24" ht="12.75" x14ac:dyDescent="0.2">
      <c r="A37" s="75">
        <v>28</v>
      </c>
      <c r="B37" s="83" t="s">
        <v>54</v>
      </c>
      <c r="C37" s="76" t="s">
        <v>379</v>
      </c>
      <c r="D37" s="78">
        <f t="shared" si="7"/>
        <v>223129</v>
      </c>
      <c r="E37" s="78">
        <f t="shared" si="9"/>
        <v>45076</v>
      </c>
      <c r="F37" s="78">
        <v>0</v>
      </c>
      <c r="G37" s="78">
        <v>45076</v>
      </c>
      <c r="H37" s="68">
        <f t="shared" si="8"/>
        <v>280</v>
      </c>
      <c r="I37" s="78">
        <v>0</v>
      </c>
      <c r="J37" s="78">
        <v>280</v>
      </c>
      <c r="K37" s="78">
        <f t="shared" si="10"/>
        <v>177773</v>
      </c>
      <c r="L37" s="79">
        <v>0</v>
      </c>
      <c r="M37" s="79">
        <v>11225</v>
      </c>
      <c r="N37" s="79">
        <v>6231</v>
      </c>
      <c r="O37" s="79">
        <v>62599</v>
      </c>
      <c r="P37" s="79">
        <v>10410</v>
      </c>
      <c r="Q37" s="79">
        <v>87308</v>
      </c>
      <c r="R37" s="81"/>
      <c r="S37" s="80"/>
      <c r="T37" s="80"/>
      <c r="V37" s="81"/>
      <c r="X37" s="74"/>
    </row>
    <row r="38" spans="1:24" ht="12.75" x14ac:dyDescent="0.2">
      <c r="A38" s="75">
        <v>29</v>
      </c>
      <c r="B38" s="76" t="s">
        <v>168</v>
      </c>
      <c r="C38" s="77" t="s">
        <v>169</v>
      </c>
      <c r="D38" s="78">
        <f t="shared" si="7"/>
        <v>10266</v>
      </c>
      <c r="E38" s="78">
        <f t="shared" si="9"/>
        <v>0</v>
      </c>
      <c r="F38" s="78">
        <v>0</v>
      </c>
      <c r="G38" s="78">
        <v>0</v>
      </c>
      <c r="H38" s="68">
        <f t="shared" si="8"/>
        <v>0</v>
      </c>
      <c r="I38" s="78">
        <v>0</v>
      </c>
      <c r="J38" s="78">
        <v>0</v>
      </c>
      <c r="K38" s="78">
        <f t="shared" si="10"/>
        <v>10266</v>
      </c>
      <c r="L38" s="79">
        <v>0</v>
      </c>
      <c r="M38" s="79">
        <v>700</v>
      </c>
      <c r="N38" s="79">
        <v>0</v>
      </c>
      <c r="O38" s="79">
        <v>7586</v>
      </c>
      <c r="P38" s="79">
        <v>0</v>
      </c>
      <c r="Q38" s="79">
        <v>1980</v>
      </c>
      <c r="R38" s="81"/>
      <c r="S38" s="80"/>
      <c r="T38" s="80"/>
      <c r="V38" s="81"/>
      <c r="X38" s="74"/>
    </row>
    <row r="39" spans="1:24" ht="12.75" x14ac:dyDescent="0.2">
      <c r="A39" s="75">
        <v>30</v>
      </c>
      <c r="B39" s="76" t="s">
        <v>170</v>
      </c>
      <c r="C39" s="84" t="s">
        <v>171</v>
      </c>
      <c r="D39" s="78">
        <f t="shared" si="7"/>
        <v>13320</v>
      </c>
      <c r="E39" s="78">
        <f t="shared" si="9"/>
        <v>0</v>
      </c>
      <c r="F39" s="78">
        <v>0</v>
      </c>
      <c r="G39" s="78">
        <v>0</v>
      </c>
      <c r="H39" s="68">
        <f t="shared" si="8"/>
        <v>0</v>
      </c>
      <c r="I39" s="78">
        <v>0</v>
      </c>
      <c r="J39" s="78">
        <v>0</v>
      </c>
      <c r="K39" s="78">
        <f t="shared" si="10"/>
        <v>13320</v>
      </c>
      <c r="L39" s="79">
        <v>0</v>
      </c>
      <c r="M39" s="79">
        <v>0</v>
      </c>
      <c r="N39" s="79">
        <v>0</v>
      </c>
      <c r="O39" s="79">
        <v>9694</v>
      </c>
      <c r="P39" s="79">
        <v>3603</v>
      </c>
      <c r="Q39" s="79">
        <v>23</v>
      </c>
      <c r="R39" s="81"/>
      <c r="S39" s="80"/>
      <c r="T39" s="80"/>
      <c r="V39" s="81"/>
      <c r="X39" s="74"/>
    </row>
    <row r="40" spans="1:24" ht="24" x14ac:dyDescent="0.2">
      <c r="A40" s="75">
        <v>31</v>
      </c>
      <c r="B40" s="88" t="s">
        <v>320</v>
      </c>
      <c r="C40" s="89" t="s">
        <v>380</v>
      </c>
      <c r="D40" s="78">
        <f t="shared" si="7"/>
        <v>0</v>
      </c>
      <c r="E40" s="78">
        <f t="shared" si="9"/>
        <v>0</v>
      </c>
      <c r="F40" s="78">
        <v>0</v>
      </c>
      <c r="G40" s="78">
        <v>0</v>
      </c>
      <c r="H40" s="68">
        <f t="shared" si="8"/>
        <v>0</v>
      </c>
      <c r="I40" s="78">
        <v>0</v>
      </c>
      <c r="J40" s="78">
        <v>0</v>
      </c>
      <c r="K40" s="78">
        <f t="shared" si="10"/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81"/>
      <c r="S40" s="80"/>
      <c r="T40" s="80"/>
      <c r="V40" s="81"/>
      <c r="X40" s="74"/>
    </row>
    <row r="41" spans="1:24" ht="25.5" x14ac:dyDescent="0.2">
      <c r="A41" s="75">
        <v>32</v>
      </c>
      <c r="B41" s="83" t="s">
        <v>55</v>
      </c>
      <c r="C41" s="76" t="s">
        <v>381</v>
      </c>
      <c r="D41" s="78">
        <f t="shared" si="7"/>
        <v>16055</v>
      </c>
      <c r="E41" s="78">
        <f t="shared" si="9"/>
        <v>498</v>
      </c>
      <c r="F41" s="78">
        <v>498</v>
      </c>
      <c r="G41" s="78">
        <v>0</v>
      </c>
      <c r="H41" s="68">
        <f t="shared" si="8"/>
        <v>1969</v>
      </c>
      <c r="I41" s="78">
        <v>1969</v>
      </c>
      <c r="J41" s="78">
        <v>0</v>
      </c>
      <c r="K41" s="78">
        <f t="shared" si="10"/>
        <v>13588</v>
      </c>
      <c r="L41" s="79">
        <v>498</v>
      </c>
      <c r="M41" s="79">
        <v>2100</v>
      </c>
      <c r="N41" s="79">
        <v>0</v>
      </c>
      <c r="O41" s="79">
        <v>6311</v>
      </c>
      <c r="P41" s="79">
        <v>727</v>
      </c>
      <c r="Q41" s="79">
        <v>3952</v>
      </c>
      <c r="R41" s="81"/>
      <c r="S41" s="80"/>
      <c r="T41" s="80"/>
      <c r="V41" s="81"/>
      <c r="X41" s="74"/>
    </row>
    <row r="42" spans="1:24" ht="12.75" x14ac:dyDescent="0.2">
      <c r="A42" s="75">
        <v>33</v>
      </c>
      <c r="B42" s="76" t="s">
        <v>56</v>
      </c>
      <c r="C42" s="77" t="s">
        <v>57</v>
      </c>
      <c r="D42" s="78">
        <f t="shared" si="7"/>
        <v>230305</v>
      </c>
      <c r="E42" s="78">
        <f t="shared" si="9"/>
        <v>20843</v>
      </c>
      <c r="F42" s="78">
        <v>4098</v>
      </c>
      <c r="G42" s="78">
        <v>16745</v>
      </c>
      <c r="H42" s="68">
        <f t="shared" si="8"/>
        <v>16494</v>
      </c>
      <c r="I42" s="78">
        <v>16199</v>
      </c>
      <c r="J42" s="78">
        <v>295</v>
      </c>
      <c r="K42" s="78">
        <f t="shared" si="10"/>
        <v>192968</v>
      </c>
      <c r="L42" s="79">
        <v>4098</v>
      </c>
      <c r="M42" s="79">
        <v>59463</v>
      </c>
      <c r="N42" s="79">
        <v>8618</v>
      </c>
      <c r="O42" s="79">
        <v>66896</v>
      </c>
      <c r="P42" s="79">
        <v>4156</v>
      </c>
      <c r="Q42" s="79">
        <v>49737</v>
      </c>
      <c r="R42" s="81"/>
      <c r="S42" s="80"/>
      <c r="T42" s="80"/>
      <c r="V42" s="81"/>
      <c r="X42" s="74"/>
    </row>
    <row r="43" spans="1:24" ht="12.75" x14ac:dyDescent="0.2">
      <c r="A43" s="75">
        <v>34</v>
      </c>
      <c r="B43" s="84" t="s">
        <v>58</v>
      </c>
      <c r="C43" s="84" t="s">
        <v>59</v>
      </c>
      <c r="D43" s="78">
        <f t="shared" si="7"/>
        <v>333793</v>
      </c>
      <c r="E43" s="78">
        <f t="shared" si="9"/>
        <v>33017</v>
      </c>
      <c r="F43" s="78">
        <v>5580</v>
      </c>
      <c r="G43" s="78">
        <v>27437</v>
      </c>
      <c r="H43" s="68">
        <f t="shared" si="8"/>
        <v>22347</v>
      </c>
      <c r="I43" s="78">
        <v>22056</v>
      </c>
      <c r="J43" s="78">
        <v>291</v>
      </c>
      <c r="K43" s="78">
        <f t="shared" si="10"/>
        <v>278429</v>
      </c>
      <c r="L43" s="79">
        <v>5580</v>
      </c>
      <c r="M43" s="79">
        <v>58500</v>
      </c>
      <c r="N43" s="79">
        <v>13437</v>
      </c>
      <c r="O43" s="79">
        <v>110758</v>
      </c>
      <c r="P43" s="79">
        <v>32075</v>
      </c>
      <c r="Q43" s="79">
        <v>58079</v>
      </c>
      <c r="R43" s="81"/>
      <c r="S43" s="80"/>
      <c r="T43" s="80"/>
      <c r="V43" s="81"/>
      <c r="X43" s="74"/>
    </row>
    <row r="44" spans="1:24" ht="12.75" x14ac:dyDescent="0.2">
      <c r="A44" s="75">
        <v>35</v>
      </c>
      <c r="B44" s="76" t="s">
        <v>172</v>
      </c>
      <c r="C44" s="77" t="s">
        <v>173</v>
      </c>
      <c r="D44" s="78">
        <f t="shared" si="7"/>
        <v>11900</v>
      </c>
      <c r="E44" s="78">
        <f t="shared" si="9"/>
        <v>0</v>
      </c>
      <c r="F44" s="78">
        <v>0</v>
      </c>
      <c r="G44" s="78">
        <v>0</v>
      </c>
      <c r="H44" s="68">
        <f t="shared" si="8"/>
        <v>0</v>
      </c>
      <c r="I44" s="78">
        <v>0</v>
      </c>
      <c r="J44" s="78">
        <v>0</v>
      </c>
      <c r="K44" s="78">
        <f t="shared" si="10"/>
        <v>11900</v>
      </c>
      <c r="L44" s="79">
        <v>0</v>
      </c>
      <c r="M44" s="79">
        <v>200</v>
      </c>
      <c r="N44" s="79">
        <v>0</v>
      </c>
      <c r="O44" s="79">
        <v>1507</v>
      </c>
      <c r="P44" s="79">
        <v>0</v>
      </c>
      <c r="Q44" s="79">
        <v>10193</v>
      </c>
      <c r="R44" s="81"/>
      <c r="S44" s="80"/>
      <c r="T44" s="80"/>
      <c r="V44" s="81"/>
      <c r="X44" s="74"/>
    </row>
    <row r="45" spans="1:24" ht="12.75" x14ac:dyDescent="0.2">
      <c r="A45" s="75">
        <v>36</v>
      </c>
      <c r="B45" s="76" t="s">
        <v>60</v>
      </c>
      <c r="C45" s="77" t="s">
        <v>61</v>
      </c>
      <c r="D45" s="78">
        <f t="shared" si="7"/>
        <v>64770</v>
      </c>
      <c r="E45" s="78">
        <f t="shared" si="9"/>
        <v>6796</v>
      </c>
      <c r="F45" s="78">
        <v>1115</v>
      </c>
      <c r="G45" s="78">
        <v>5681</v>
      </c>
      <c r="H45" s="68">
        <f t="shared" si="8"/>
        <v>4430</v>
      </c>
      <c r="I45" s="78">
        <v>4405</v>
      </c>
      <c r="J45" s="78">
        <v>25</v>
      </c>
      <c r="K45" s="78">
        <f t="shared" si="10"/>
        <v>53544</v>
      </c>
      <c r="L45" s="79">
        <v>1114</v>
      </c>
      <c r="M45" s="79">
        <v>16526</v>
      </c>
      <c r="N45" s="79">
        <v>0</v>
      </c>
      <c r="O45" s="79">
        <v>14403</v>
      </c>
      <c r="P45" s="79">
        <v>8270</v>
      </c>
      <c r="Q45" s="79">
        <v>13231</v>
      </c>
      <c r="R45" s="81"/>
      <c r="S45" s="80"/>
      <c r="T45" s="80"/>
      <c r="V45" s="81"/>
      <c r="X45" s="74"/>
    </row>
    <row r="46" spans="1:24" ht="12.75" x14ac:dyDescent="0.2">
      <c r="A46" s="75">
        <v>37</v>
      </c>
      <c r="B46" s="83" t="s">
        <v>62</v>
      </c>
      <c r="C46" s="76" t="s">
        <v>63</v>
      </c>
      <c r="D46" s="78">
        <f t="shared" si="7"/>
        <v>217751</v>
      </c>
      <c r="E46" s="78">
        <f t="shared" si="9"/>
        <v>21050</v>
      </c>
      <c r="F46" s="78">
        <v>3831</v>
      </c>
      <c r="G46" s="78">
        <v>17219</v>
      </c>
      <c r="H46" s="68">
        <f t="shared" si="8"/>
        <v>15487</v>
      </c>
      <c r="I46" s="78">
        <v>15143</v>
      </c>
      <c r="J46" s="78">
        <v>344</v>
      </c>
      <c r="K46" s="78">
        <f t="shared" si="10"/>
        <v>181214</v>
      </c>
      <c r="L46" s="79">
        <v>3831</v>
      </c>
      <c r="M46" s="79">
        <v>55000</v>
      </c>
      <c r="N46" s="79">
        <v>4417</v>
      </c>
      <c r="O46" s="79">
        <v>47790</v>
      </c>
      <c r="P46" s="79">
        <v>33247</v>
      </c>
      <c r="Q46" s="79">
        <v>36929</v>
      </c>
      <c r="R46" s="81"/>
      <c r="S46" s="80"/>
      <c r="T46" s="80"/>
      <c r="V46" s="81"/>
      <c r="X46" s="74"/>
    </row>
    <row r="47" spans="1:24" ht="12.75" x14ac:dyDescent="0.2">
      <c r="A47" s="75">
        <v>38</v>
      </c>
      <c r="B47" s="76" t="s">
        <v>64</v>
      </c>
      <c r="C47" s="77" t="s">
        <v>65</v>
      </c>
      <c r="D47" s="78">
        <f t="shared" si="7"/>
        <v>80342</v>
      </c>
      <c r="E47" s="78">
        <f t="shared" si="9"/>
        <v>8480</v>
      </c>
      <c r="F47" s="78">
        <v>1432</v>
      </c>
      <c r="G47" s="78">
        <v>7048</v>
      </c>
      <c r="H47" s="68">
        <f t="shared" si="8"/>
        <v>5746</v>
      </c>
      <c r="I47" s="78">
        <v>5661</v>
      </c>
      <c r="J47" s="78">
        <v>85</v>
      </c>
      <c r="K47" s="78">
        <f t="shared" si="10"/>
        <v>66116</v>
      </c>
      <c r="L47" s="79">
        <v>1432</v>
      </c>
      <c r="M47" s="79">
        <v>16926</v>
      </c>
      <c r="N47" s="79">
        <v>0</v>
      </c>
      <c r="O47" s="79">
        <v>22490</v>
      </c>
      <c r="P47" s="79">
        <v>2044</v>
      </c>
      <c r="Q47" s="79">
        <v>23224</v>
      </c>
      <c r="R47" s="81"/>
      <c r="S47" s="80"/>
      <c r="T47" s="80"/>
      <c r="V47" s="81"/>
      <c r="X47" s="74"/>
    </row>
    <row r="48" spans="1:24" ht="12.75" x14ac:dyDescent="0.2">
      <c r="A48" s="75">
        <v>39</v>
      </c>
      <c r="B48" s="76" t="s">
        <v>66</v>
      </c>
      <c r="C48" s="77" t="s">
        <v>382</v>
      </c>
      <c r="D48" s="78">
        <f t="shared" si="7"/>
        <v>208417</v>
      </c>
      <c r="E48" s="78">
        <f t="shared" si="9"/>
        <v>21041</v>
      </c>
      <c r="F48" s="78">
        <v>3696</v>
      </c>
      <c r="G48" s="78">
        <v>17345</v>
      </c>
      <c r="H48" s="68">
        <f t="shared" si="8"/>
        <v>14958</v>
      </c>
      <c r="I48" s="78">
        <v>14609</v>
      </c>
      <c r="J48" s="78">
        <v>349</v>
      </c>
      <c r="K48" s="78">
        <f t="shared" si="10"/>
        <v>172418</v>
      </c>
      <c r="L48" s="79">
        <v>3696</v>
      </c>
      <c r="M48" s="79">
        <v>50000</v>
      </c>
      <c r="N48" s="79">
        <v>0</v>
      </c>
      <c r="O48" s="79">
        <v>74736</v>
      </c>
      <c r="P48" s="79">
        <v>5933</v>
      </c>
      <c r="Q48" s="79">
        <v>38053</v>
      </c>
      <c r="R48" s="81"/>
      <c r="S48" s="80"/>
      <c r="T48" s="80"/>
      <c r="V48" s="81"/>
      <c r="X48" s="74"/>
    </row>
    <row r="49" spans="1:24" ht="12.75" x14ac:dyDescent="0.2">
      <c r="A49" s="75">
        <v>40</v>
      </c>
      <c r="B49" s="90" t="s">
        <v>67</v>
      </c>
      <c r="C49" s="91" t="s">
        <v>383</v>
      </c>
      <c r="D49" s="78">
        <f t="shared" si="7"/>
        <v>74007</v>
      </c>
      <c r="E49" s="78">
        <f t="shared" si="9"/>
        <v>7588</v>
      </c>
      <c r="F49" s="78">
        <v>1326</v>
      </c>
      <c r="G49" s="78">
        <v>6262</v>
      </c>
      <c r="H49" s="68">
        <f t="shared" si="8"/>
        <v>5294</v>
      </c>
      <c r="I49" s="78">
        <v>5241</v>
      </c>
      <c r="J49" s="78">
        <v>53</v>
      </c>
      <c r="K49" s="78">
        <f t="shared" si="10"/>
        <v>61125</v>
      </c>
      <c r="L49" s="79">
        <v>1326</v>
      </c>
      <c r="M49" s="79">
        <v>17741</v>
      </c>
      <c r="N49" s="79">
        <v>0</v>
      </c>
      <c r="O49" s="79">
        <v>20279</v>
      </c>
      <c r="P49" s="79">
        <v>9401</v>
      </c>
      <c r="Q49" s="79">
        <v>12378</v>
      </c>
      <c r="R49" s="81"/>
      <c r="S49" s="80"/>
      <c r="T49" s="80"/>
      <c r="V49" s="81"/>
      <c r="X49" s="74"/>
    </row>
    <row r="50" spans="1:24" ht="12.75" x14ac:dyDescent="0.2">
      <c r="A50" s="75">
        <v>41</v>
      </c>
      <c r="B50" s="76" t="s">
        <v>68</v>
      </c>
      <c r="C50" s="77" t="s">
        <v>384</v>
      </c>
      <c r="D50" s="78">
        <f t="shared" si="7"/>
        <v>46670</v>
      </c>
      <c r="E50" s="78">
        <f t="shared" si="9"/>
        <v>4028</v>
      </c>
      <c r="F50" s="78">
        <v>885</v>
      </c>
      <c r="G50" s="78">
        <v>3143</v>
      </c>
      <c r="H50" s="68">
        <f t="shared" si="8"/>
        <v>3639</v>
      </c>
      <c r="I50" s="78">
        <v>3499</v>
      </c>
      <c r="J50" s="78">
        <v>140</v>
      </c>
      <c r="K50" s="78">
        <f t="shared" si="10"/>
        <v>39003</v>
      </c>
      <c r="L50" s="79">
        <v>885</v>
      </c>
      <c r="M50" s="79">
        <v>13606</v>
      </c>
      <c r="N50" s="79">
        <v>0</v>
      </c>
      <c r="O50" s="79">
        <v>12801</v>
      </c>
      <c r="P50" s="79">
        <v>4904</v>
      </c>
      <c r="Q50" s="79">
        <v>6807</v>
      </c>
      <c r="R50" s="81"/>
      <c r="S50" s="80"/>
      <c r="T50" s="80"/>
      <c r="V50" s="81"/>
      <c r="X50" s="74"/>
    </row>
    <row r="51" spans="1:24" ht="12.75" x14ac:dyDescent="0.2">
      <c r="A51" s="75">
        <v>42</v>
      </c>
      <c r="B51" s="84" t="s">
        <v>69</v>
      </c>
      <c r="C51" s="84" t="s">
        <v>70</v>
      </c>
      <c r="D51" s="78">
        <f t="shared" si="7"/>
        <v>80909</v>
      </c>
      <c r="E51" s="78">
        <f t="shared" si="9"/>
        <v>7232</v>
      </c>
      <c r="F51" s="78">
        <v>1528</v>
      </c>
      <c r="G51" s="78">
        <v>5704</v>
      </c>
      <c r="H51" s="68">
        <f t="shared" si="8"/>
        <v>6145</v>
      </c>
      <c r="I51" s="78">
        <v>6039</v>
      </c>
      <c r="J51" s="78">
        <v>106</v>
      </c>
      <c r="K51" s="78">
        <f t="shared" si="10"/>
        <v>67532</v>
      </c>
      <c r="L51" s="79">
        <v>1528</v>
      </c>
      <c r="M51" s="79">
        <v>25000</v>
      </c>
      <c r="N51" s="79">
        <v>0</v>
      </c>
      <c r="O51" s="79">
        <v>19091</v>
      </c>
      <c r="P51" s="79">
        <v>1703</v>
      </c>
      <c r="Q51" s="79">
        <v>20210</v>
      </c>
      <c r="R51" s="81"/>
      <c r="S51" s="80"/>
      <c r="T51" s="80"/>
      <c r="V51" s="81"/>
      <c r="X51" s="74"/>
    </row>
    <row r="52" spans="1:24" ht="12.75" x14ac:dyDescent="0.2">
      <c r="A52" s="75">
        <v>43</v>
      </c>
      <c r="B52" s="83" t="s">
        <v>174</v>
      </c>
      <c r="C52" s="76" t="s">
        <v>175</v>
      </c>
      <c r="D52" s="78">
        <f t="shared" si="7"/>
        <v>37822</v>
      </c>
      <c r="E52" s="78">
        <f t="shared" si="9"/>
        <v>3025</v>
      </c>
      <c r="F52" s="78">
        <v>730</v>
      </c>
      <c r="G52" s="78">
        <v>2295</v>
      </c>
      <c r="H52" s="68">
        <f t="shared" si="8"/>
        <v>2951</v>
      </c>
      <c r="I52" s="78">
        <v>2885</v>
      </c>
      <c r="J52" s="78">
        <v>66</v>
      </c>
      <c r="K52" s="78">
        <f t="shared" si="10"/>
        <v>31846</v>
      </c>
      <c r="L52" s="79">
        <v>730</v>
      </c>
      <c r="M52" s="79">
        <v>10491</v>
      </c>
      <c r="N52" s="79">
        <v>0</v>
      </c>
      <c r="O52" s="79">
        <v>10917</v>
      </c>
      <c r="P52" s="79">
        <v>3858</v>
      </c>
      <c r="Q52" s="79">
        <v>5850</v>
      </c>
      <c r="R52" s="81"/>
      <c r="S52" s="80"/>
      <c r="T52" s="80"/>
      <c r="V52" s="81"/>
      <c r="X52" s="74"/>
    </row>
    <row r="53" spans="1:24" ht="12.75" x14ac:dyDescent="0.2">
      <c r="A53" s="75">
        <v>44</v>
      </c>
      <c r="B53" s="76" t="s">
        <v>71</v>
      </c>
      <c r="C53" s="77" t="s">
        <v>385</v>
      </c>
      <c r="D53" s="78">
        <f t="shared" si="7"/>
        <v>29820</v>
      </c>
      <c r="E53" s="78">
        <f t="shared" si="9"/>
        <v>1011</v>
      </c>
      <c r="F53" s="78">
        <v>1011</v>
      </c>
      <c r="G53" s="78">
        <v>0</v>
      </c>
      <c r="H53" s="68">
        <f t="shared" si="8"/>
        <v>3995</v>
      </c>
      <c r="I53" s="78">
        <v>3995</v>
      </c>
      <c r="J53" s="78">
        <v>0</v>
      </c>
      <c r="K53" s="78">
        <f t="shared" si="10"/>
        <v>24814</v>
      </c>
      <c r="L53" s="79">
        <v>1011</v>
      </c>
      <c r="M53" s="79">
        <v>10000</v>
      </c>
      <c r="N53" s="79">
        <v>0</v>
      </c>
      <c r="O53" s="79">
        <v>11079</v>
      </c>
      <c r="P53" s="79">
        <v>0</v>
      </c>
      <c r="Q53" s="79">
        <v>2724</v>
      </c>
      <c r="R53" s="81"/>
      <c r="S53" s="80"/>
      <c r="T53" s="80"/>
      <c r="V53" s="81"/>
      <c r="X53" s="74"/>
    </row>
    <row r="54" spans="1:24" ht="12.75" x14ac:dyDescent="0.2">
      <c r="A54" s="75">
        <v>45</v>
      </c>
      <c r="B54" s="83" t="s">
        <v>72</v>
      </c>
      <c r="C54" s="76" t="s">
        <v>73</v>
      </c>
      <c r="D54" s="78">
        <f t="shared" si="7"/>
        <v>302422</v>
      </c>
      <c r="E54" s="78">
        <f t="shared" si="9"/>
        <v>28950</v>
      </c>
      <c r="F54" s="78">
        <v>4847</v>
      </c>
      <c r="G54" s="78">
        <v>24103</v>
      </c>
      <c r="H54" s="68">
        <f t="shared" si="8"/>
        <v>19527</v>
      </c>
      <c r="I54" s="78">
        <v>19158</v>
      </c>
      <c r="J54" s="78">
        <v>369</v>
      </c>
      <c r="K54" s="78">
        <f t="shared" si="10"/>
        <v>253945</v>
      </c>
      <c r="L54" s="79">
        <v>4847</v>
      </c>
      <c r="M54" s="79">
        <v>87008</v>
      </c>
      <c r="N54" s="79">
        <v>22301</v>
      </c>
      <c r="O54" s="79">
        <v>62484</v>
      </c>
      <c r="P54" s="79">
        <v>7157</v>
      </c>
      <c r="Q54" s="79">
        <v>70148</v>
      </c>
      <c r="R54" s="81"/>
      <c r="S54" s="80"/>
      <c r="T54" s="80"/>
      <c r="V54" s="81"/>
      <c r="X54" s="74"/>
    </row>
    <row r="55" spans="1:24" ht="12.75" x14ac:dyDescent="0.2">
      <c r="A55" s="75">
        <v>46</v>
      </c>
      <c r="B55" s="76" t="s">
        <v>74</v>
      </c>
      <c r="C55" s="77" t="s">
        <v>386</v>
      </c>
      <c r="D55" s="78">
        <f t="shared" si="7"/>
        <v>68040</v>
      </c>
      <c r="E55" s="78">
        <f t="shared" si="9"/>
        <v>6343</v>
      </c>
      <c r="F55" s="78">
        <v>1253</v>
      </c>
      <c r="G55" s="78">
        <v>5090</v>
      </c>
      <c r="H55" s="68">
        <f t="shared" si="8"/>
        <v>5069</v>
      </c>
      <c r="I55" s="78">
        <v>4954</v>
      </c>
      <c r="J55" s="78">
        <v>115</v>
      </c>
      <c r="K55" s="78">
        <f t="shared" si="10"/>
        <v>56628</v>
      </c>
      <c r="L55" s="79">
        <v>1253</v>
      </c>
      <c r="M55" s="79">
        <v>22421</v>
      </c>
      <c r="N55" s="79">
        <v>0</v>
      </c>
      <c r="O55" s="79">
        <v>22322</v>
      </c>
      <c r="P55" s="79">
        <v>3959</v>
      </c>
      <c r="Q55" s="79">
        <v>6673</v>
      </c>
      <c r="R55" s="81"/>
      <c r="S55" s="80"/>
      <c r="T55" s="80"/>
      <c r="V55" s="81"/>
      <c r="X55" s="74"/>
    </row>
    <row r="56" spans="1:24" ht="12.75" x14ac:dyDescent="0.2">
      <c r="A56" s="75">
        <v>47</v>
      </c>
      <c r="B56" s="76" t="s">
        <v>75</v>
      </c>
      <c r="C56" s="77" t="s">
        <v>76</v>
      </c>
      <c r="D56" s="78">
        <f t="shared" si="7"/>
        <v>234661</v>
      </c>
      <c r="E56" s="78">
        <f t="shared" si="9"/>
        <v>22128</v>
      </c>
      <c r="F56" s="78">
        <v>4239</v>
      </c>
      <c r="G56" s="78">
        <v>17889</v>
      </c>
      <c r="H56" s="68">
        <f t="shared" si="8"/>
        <v>16915</v>
      </c>
      <c r="I56" s="78">
        <v>16756</v>
      </c>
      <c r="J56" s="78">
        <v>159</v>
      </c>
      <c r="K56" s="78">
        <f t="shared" si="10"/>
        <v>195618</v>
      </c>
      <c r="L56" s="79">
        <v>4239</v>
      </c>
      <c r="M56" s="79">
        <v>58356</v>
      </c>
      <c r="N56" s="79">
        <v>0</v>
      </c>
      <c r="O56" s="79">
        <v>66203</v>
      </c>
      <c r="P56" s="79">
        <v>5812</v>
      </c>
      <c r="Q56" s="79">
        <v>61008</v>
      </c>
      <c r="R56" s="81"/>
      <c r="S56" s="80"/>
      <c r="T56" s="80"/>
      <c r="V56" s="81"/>
      <c r="X56" s="74"/>
    </row>
    <row r="57" spans="1:24" ht="12.75" x14ac:dyDescent="0.2">
      <c r="A57" s="75">
        <v>48</v>
      </c>
      <c r="B57" s="92" t="s">
        <v>77</v>
      </c>
      <c r="C57" s="93" t="s">
        <v>78</v>
      </c>
      <c r="D57" s="78">
        <f t="shared" si="7"/>
        <v>51965</v>
      </c>
      <c r="E57" s="78">
        <f t="shared" si="9"/>
        <v>4719</v>
      </c>
      <c r="F57" s="78">
        <v>956</v>
      </c>
      <c r="G57" s="78">
        <v>3763</v>
      </c>
      <c r="H57" s="68">
        <f t="shared" si="8"/>
        <v>3943</v>
      </c>
      <c r="I57" s="78">
        <v>3777</v>
      </c>
      <c r="J57" s="78">
        <v>166</v>
      </c>
      <c r="K57" s="78">
        <f t="shared" si="10"/>
        <v>43303</v>
      </c>
      <c r="L57" s="79">
        <v>956</v>
      </c>
      <c r="M57" s="79">
        <v>15315</v>
      </c>
      <c r="N57" s="79">
        <v>0</v>
      </c>
      <c r="O57" s="79">
        <v>15604</v>
      </c>
      <c r="P57" s="79">
        <v>2255</v>
      </c>
      <c r="Q57" s="79">
        <v>9173</v>
      </c>
      <c r="R57" s="81"/>
      <c r="S57" s="80"/>
      <c r="T57" s="80"/>
      <c r="V57" s="81"/>
      <c r="X57" s="74"/>
    </row>
    <row r="58" spans="1:24" ht="12.75" x14ac:dyDescent="0.2">
      <c r="A58" s="75">
        <v>49</v>
      </c>
      <c r="B58" s="83" t="s">
        <v>79</v>
      </c>
      <c r="C58" s="76" t="s">
        <v>387</v>
      </c>
      <c r="D58" s="78">
        <f t="shared" si="7"/>
        <v>80211</v>
      </c>
      <c r="E58" s="78">
        <f t="shared" si="9"/>
        <v>7468</v>
      </c>
      <c r="F58" s="78">
        <v>1471</v>
      </c>
      <c r="G58" s="78">
        <v>5997</v>
      </c>
      <c r="H58" s="68">
        <f t="shared" si="8"/>
        <v>5943</v>
      </c>
      <c r="I58" s="78">
        <v>5813</v>
      </c>
      <c r="J58" s="78">
        <v>130</v>
      </c>
      <c r="K58" s="78">
        <f t="shared" si="10"/>
        <v>66800</v>
      </c>
      <c r="L58" s="79">
        <v>1821</v>
      </c>
      <c r="M58" s="79">
        <v>22903</v>
      </c>
      <c r="N58" s="79">
        <v>0</v>
      </c>
      <c r="O58" s="79">
        <v>19661</v>
      </c>
      <c r="P58" s="79">
        <v>5181</v>
      </c>
      <c r="Q58" s="79">
        <v>17234</v>
      </c>
      <c r="R58" s="81"/>
      <c r="S58" s="80"/>
      <c r="T58" s="80"/>
      <c r="V58" s="81"/>
      <c r="X58" s="74"/>
    </row>
    <row r="59" spans="1:24" ht="12.75" x14ac:dyDescent="0.2">
      <c r="A59" s="75">
        <v>50</v>
      </c>
      <c r="B59" s="76" t="s">
        <v>80</v>
      </c>
      <c r="C59" s="77" t="s">
        <v>81</v>
      </c>
      <c r="D59" s="78">
        <f t="shared" si="7"/>
        <v>95116</v>
      </c>
      <c r="E59" s="78">
        <f t="shared" si="9"/>
        <v>9248</v>
      </c>
      <c r="F59" s="78">
        <v>1714</v>
      </c>
      <c r="G59" s="78">
        <v>7534</v>
      </c>
      <c r="H59" s="68">
        <f t="shared" si="8"/>
        <v>6902</v>
      </c>
      <c r="I59" s="78">
        <v>6777</v>
      </c>
      <c r="J59" s="78">
        <v>125</v>
      </c>
      <c r="K59" s="78">
        <f t="shared" si="10"/>
        <v>78966</v>
      </c>
      <c r="L59" s="79">
        <v>1715</v>
      </c>
      <c r="M59" s="79">
        <v>13591</v>
      </c>
      <c r="N59" s="79">
        <v>0</v>
      </c>
      <c r="O59" s="79">
        <v>41018</v>
      </c>
      <c r="P59" s="79">
        <v>2812</v>
      </c>
      <c r="Q59" s="79">
        <v>19830</v>
      </c>
      <c r="R59" s="81"/>
      <c r="S59" s="80"/>
      <c r="T59" s="80"/>
      <c r="V59" s="81"/>
      <c r="X59" s="74"/>
    </row>
    <row r="60" spans="1:24" ht="12.75" x14ac:dyDescent="0.2">
      <c r="A60" s="75">
        <v>51</v>
      </c>
      <c r="B60" s="83" t="s">
        <v>82</v>
      </c>
      <c r="C60" s="76" t="s">
        <v>83</v>
      </c>
      <c r="D60" s="78">
        <f t="shared" si="7"/>
        <v>32645</v>
      </c>
      <c r="E60" s="78">
        <f t="shared" si="9"/>
        <v>2639</v>
      </c>
      <c r="F60" s="78">
        <v>621</v>
      </c>
      <c r="G60" s="78">
        <v>2018</v>
      </c>
      <c r="H60" s="68">
        <f t="shared" si="8"/>
        <v>2494</v>
      </c>
      <c r="I60" s="78">
        <v>2454</v>
      </c>
      <c r="J60" s="78">
        <v>40</v>
      </c>
      <c r="K60" s="78">
        <f t="shared" si="10"/>
        <v>27512</v>
      </c>
      <c r="L60" s="79">
        <v>621</v>
      </c>
      <c r="M60" s="79">
        <v>14596</v>
      </c>
      <c r="N60" s="79">
        <v>0</v>
      </c>
      <c r="O60" s="79">
        <v>8912</v>
      </c>
      <c r="P60" s="79">
        <v>31</v>
      </c>
      <c r="Q60" s="79">
        <v>3352</v>
      </c>
      <c r="R60" s="81"/>
      <c r="S60" s="80"/>
      <c r="T60" s="80"/>
      <c r="V60" s="81"/>
      <c r="X60" s="74"/>
    </row>
    <row r="61" spans="1:24" ht="12.75" x14ac:dyDescent="0.2">
      <c r="A61" s="75">
        <v>52</v>
      </c>
      <c r="B61" s="76" t="s">
        <v>84</v>
      </c>
      <c r="C61" s="77" t="s">
        <v>85</v>
      </c>
      <c r="D61" s="78">
        <f t="shared" si="7"/>
        <v>65114</v>
      </c>
      <c r="E61" s="78">
        <f t="shared" si="9"/>
        <v>6129</v>
      </c>
      <c r="F61" s="78">
        <v>1189</v>
      </c>
      <c r="G61" s="78">
        <v>4940</v>
      </c>
      <c r="H61" s="68">
        <f t="shared" si="8"/>
        <v>4718</v>
      </c>
      <c r="I61" s="78">
        <v>4698</v>
      </c>
      <c r="J61" s="78">
        <v>20</v>
      </c>
      <c r="K61" s="78">
        <f t="shared" si="10"/>
        <v>54267</v>
      </c>
      <c r="L61" s="79">
        <v>1189</v>
      </c>
      <c r="M61" s="79">
        <v>20820</v>
      </c>
      <c r="N61" s="79">
        <v>0</v>
      </c>
      <c r="O61" s="79">
        <v>15857</v>
      </c>
      <c r="P61" s="79">
        <v>1672</v>
      </c>
      <c r="Q61" s="79">
        <v>14729</v>
      </c>
      <c r="R61" s="81"/>
      <c r="S61" s="80"/>
      <c r="T61" s="80"/>
      <c r="V61" s="81"/>
      <c r="X61" s="74"/>
    </row>
    <row r="62" spans="1:24" ht="12.75" x14ac:dyDescent="0.2">
      <c r="A62" s="75">
        <v>53</v>
      </c>
      <c r="B62" s="83" t="s">
        <v>86</v>
      </c>
      <c r="C62" s="76" t="s">
        <v>388</v>
      </c>
      <c r="D62" s="78">
        <f t="shared" si="7"/>
        <v>97065</v>
      </c>
      <c r="E62" s="78">
        <f t="shared" si="9"/>
        <v>9202</v>
      </c>
      <c r="F62" s="78">
        <v>1768</v>
      </c>
      <c r="G62" s="78">
        <v>7434</v>
      </c>
      <c r="H62" s="68">
        <f t="shared" si="8"/>
        <v>7106</v>
      </c>
      <c r="I62" s="78">
        <v>6987</v>
      </c>
      <c r="J62" s="78">
        <v>119</v>
      </c>
      <c r="K62" s="78">
        <f t="shared" si="10"/>
        <v>80757</v>
      </c>
      <c r="L62" s="79">
        <v>1768</v>
      </c>
      <c r="M62" s="79">
        <v>36586</v>
      </c>
      <c r="N62" s="79">
        <v>0</v>
      </c>
      <c r="O62" s="79">
        <v>16510</v>
      </c>
      <c r="P62" s="79">
        <v>2061</v>
      </c>
      <c r="Q62" s="79">
        <v>23832</v>
      </c>
      <c r="R62" s="81"/>
      <c r="S62" s="80"/>
      <c r="T62" s="80"/>
      <c r="V62" s="81"/>
      <c r="X62" s="74"/>
    </row>
    <row r="63" spans="1:24" ht="12.75" x14ac:dyDescent="0.2">
      <c r="A63" s="75">
        <v>54</v>
      </c>
      <c r="B63" s="83" t="s">
        <v>87</v>
      </c>
      <c r="C63" s="76" t="s">
        <v>88</v>
      </c>
      <c r="D63" s="78">
        <f t="shared" si="7"/>
        <v>340518</v>
      </c>
      <c r="E63" s="78">
        <f t="shared" si="9"/>
        <v>33764</v>
      </c>
      <c r="F63" s="78">
        <v>5882</v>
      </c>
      <c r="G63" s="78">
        <v>27882</v>
      </c>
      <c r="H63" s="68">
        <f t="shared" si="8"/>
        <v>23914</v>
      </c>
      <c r="I63" s="78">
        <v>23252</v>
      </c>
      <c r="J63" s="78">
        <v>662</v>
      </c>
      <c r="K63" s="78">
        <f t="shared" si="10"/>
        <v>282840</v>
      </c>
      <c r="L63" s="79">
        <v>5883</v>
      </c>
      <c r="M63" s="79">
        <v>96804</v>
      </c>
      <c r="N63" s="79">
        <v>3072</v>
      </c>
      <c r="O63" s="79">
        <v>101422</v>
      </c>
      <c r="P63" s="79">
        <v>14869</v>
      </c>
      <c r="Q63" s="79">
        <v>60790</v>
      </c>
      <c r="R63" s="81"/>
      <c r="S63" s="80"/>
      <c r="T63" s="80"/>
      <c r="V63" s="81"/>
      <c r="X63" s="74"/>
    </row>
    <row r="64" spans="1:24" ht="12.75" x14ac:dyDescent="0.2">
      <c r="A64" s="75">
        <v>55</v>
      </c>
      <c r="B64" s="83" t="s">
        <v>89</v>
      </c>
      <c r="C64" s="76" t="s">
        <v>389</v>
      </c>
      <c r="D64" s="78">
        <f t="shared" si="7"/>
        <v>53383</v>
      </c>
      <c r="E64" s="78">
        <f t="shared" si="9"/>
        <v>4884</v>
      </c>
      <c r="F64" s="78">
        <v>968</v>
      </c>
      <c r="G64" s="78">
        <v>3916</v>
      </c>
      <c r="H64" s="68">
        <f t="shared" si="8"/>
        <v>3923</v>
      </c>
      <c r="I64" s="78">
        <v>3828</v>
      </c>
      <c r="J64" s="78">
        <v>95</v>
      </c>
      <c r="K64" s="78">
        <f t="shared" si="10"/>
        <v>44576</v>
      </c>
      <c r="L64" s="79">
        <v>968</v>
      </c>
      <c r="M64" s="79">
        <v>10206</v>
      </c>
      <c r="N64" s="79">
        <v>0</v>
      </c>
      <c r="O64" s="79">
        <v>13939</v>
      </c>
      <c r="P64" s="79">
        <v>1637</v>
      </c>
      <c r="Q64" s="79">
        <v>17826</v>
      </c>
      <c r="R64" s="81"/>
      <c r="S64" s="80"/>
      <c r="T64" s="80"/>
      <c r="V64" s="81"/>
      <c r="X64" s="74"/>
    </row>
    <row r="65" spans="1:24" x14ac:dyDescent="0.2">
      <c r="A65" s="75">
        <v>56</v>
      </c>
      <c r="B65" s="87" t="s">
        <v>176</v>
      </c>
      <c r="C65" s="86" t="s">
        <v>390</v>
      </c>
      <c r="D65" s="78">
        <f t="shared" si="7"/>
        <v>0</v>
      </c>
      <c r="E65" s="78">
        <f t="shared" si="9"/>
        <v>0</v>
      </c>
      <c r="F65" s="78">
        <v>0</v>
      </c>
      <c r="G65" s="78">
        <v>0</v>
      </c>
      <c r="H65" s="68">
        <f t="shared" si="8"/>
        <v>0</v>
      </c>
      <c r="I65" s="78">
        <v>0</v>
      </c>
      <c r="J65" s="78">
        <v>0</v>
      </c>
      <c r="K65" s="78">
        <f t="shared" si="10"/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81"/>
      <c r="S65" s="80"/>
      <c r="T65" s="80"/>
      <c r="V65" s="81"/>
      <c r="X65" s="74"/>
    </row>
    <row r="66" spans="1:24" x14ac:dyDescent="0.2">
      <c r="A66" s="75">
        <v>57</v>
      </c>
      <c r="B66" s="87" t="s">
        <v>322</v>
      </c>
      <c r="C66" s="86" t="s">
        <v>323</v>
      </c>
      <c r="D66" s="78">
        <f t="shared" si="7"/>
        <v>0</v>
      </c>
      <c r="E66" s="78">
        <f t="shared" si="9"/>
        <v>0</v>
      </c>
      <c r="F66" s="78">
        <v>0</v>
      </c>
      <c r="G66" s="78">
        <v>0</v>
      </c>
      <c r="H66" s="68">
        <f t="shared" si="8"/>
        <v>0</v>
      </c>
      <c r="I66" s="78">
        <v>0</v>
      </c>
      <c r="J66" s="78">
        <v>0</v>
      </c>
      <c r="K66" s="78">
        <f t="shared" si="10"/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81"/>
      <c r="S66" s="80"/>
      <c r="T66" s="80"/>
      <c r="V66" s="81"/>
      <c r="X66" s="74"/>
    </row>
    <row r="67" spans="1:24" ht="25.5" x14ac:dyDescent="0.2">
      <c r="A67" s="75">
        <v>58</v>
      </c>
      <c r="B67" s="83" t="s">
        <v>90</v>
      </c>
      <c r="C67" s="76" t="s">
        <v>391</v>
      </c>
      <c r="D67" s="78">
        <f t="shared" si="7"/>
        <v>185304</v>
      </c>
      <c r="E67" s="78">
        <f t="shared" si="9"/>
        <v>38315</v>
      </c>
      <c r="F67" s="78">
        <v>0</v>
      </c>
      <c r="G67" s="78">
        <v>38315</v>
      </c>
      <c r="H67" s="68">
        <f t="shared" si="8"/>
        <v>270</v>
      </c>
      <c r="I67" s="78">
        <v>0</v>
      </c>
      <c r="J67" s="78">
        <v>270</v>
      </c>
      <c r="K67" s="78">
        <f t="shared" si="10"/>
        <v>146719</v>
      </c>
      <c r="L67" s="79">
        <v>0</v>
      </c>
      <c r="M67" s="79">
        <v>14035</v>
      </c>
      <c r="N67" s="79">
        <v>0</v>
      </c>
      <c r="O67" s="79">
        <v>49999</v>
      </c>
      <c r="P67" s="79">
        <v>0</v>
      </c>
      <c r="Q67" s="79">
        <v>82685</v>
      </c>
      <c r="R67" s="81"/>
      <c r="S67" s="80"/>
      <c r="T67" s="80"/>
      <c r="V67" s="81"/>
      <c r="X67" s="74"/>
    </row>
    <row r="68" spans="1:24" ht="25.5" x14ac:dyDescent="0.2">
      <c r="A68" s="75">
        <v>59</v>
      </c>
      <c r="B68" s="76" t="s">
        <v>91</v>
      </c>
      <c r="C68" s="76" t="s">
        <v>392</v>
      </c>
      <c r="D68" s="78">
        <f t="shared" si="7"/>
        <v>152794</v>
      </c>
      <c r="E68" s="78">
        <f t="shared" si="9"/>
        <v>31452</v>
      </c>
      <c r="F68" s="78">
        <v>0</v>
      </c>
      <c r="G68" s="78">
        <v>31452</v>
      </c>
      <c r="H68" s="68">
        <f t="shared" si="8"/>
        <v>418</v>
      </c>
      <c r="I68" s="78">
        <v>0</v>
      </c>
      <c r="J68" s="78">
        <v>418</v>
      </c>
      <c r="K68" s="78">
        <f t="shared" si="10"/>
        <v>120924</v>
      </c>
      <c r="L68" s="79">
        <v>0</v>
      </c>
      <c r="M68" s="79">
        <v>16566</v>
      </c>
      <c r="N68" s="79">
        <v>0</v>
      </c>
      <c r="O68" s="79">
        <v>38426</v>
      </c>
      <c r="P68" s="79">
        <v>0</v>
      </c>
      <c r="Q68" s="79">
        <v>65932</v>
      </c>
      <c r="R68" s="81"/>
      <c r="S68" s="80"/>
      <c r="T68" s="80"/>
      <c r="V68" s="81"/>
      <c r="X68" s="74"/>
    </row>
    <row r="69" spans="1:24" ht="25.5" x14ac:dyDescent="0.2">
      <c r="A69" s="75">
        <v>60</v>
      </c>
      <c r="B69" s="84" t="s">
        <v>92</v>
      </c>
      <c r="C69" s="84" t="s">
        <v>393</v>
      </c>
      <c r="D69" s="78">
        <f t="shared" si="7"/>
        <v>219547</v>
      </c>
      <c r="E69" s="78">
        <f t="shared" si="9"/>
        <v>45589</v>
      </c>
      <c r="F69" s="78">
        <v>0</v>
      </c>
      <c r="G69" s="78">
        <v>45589</v>
      </c>
      <c r="H69" s="68">
        <f t="shared" si="8"/>
        <v>100</v>
      </c>
      <c r="I69" s="78">
        <v>0</v>
      </c>
      <c r="J69" s="78">
        <v>100</v>
      </c>
      <c r="K69" s="78">
        <f t="shared" si="10"/>
        <v>173858</v>
      </c>
      <c r="L69" s="79">
        <v>0</v>
      </c>
      <c r="M69" s="79">
        <v>30998</v>
      </c>
      <c r="N69" s="79">
        <v>0</v>
      </c>
      <c r="O69" s="79">
        <v>58687</v>
      </c>
      <c r="P69" s="79">
        <v>692</v>
      </c>
      <c r="Q69" s="79">
        <v>83481</v>
      </c>
      <c r="R69" s="81"/>
      <c r="S69" s="80"/>
      <c r="T69" s="80"/>
      <c r="V69" s="81"/>
      <c r="X69" s="74"/>
    </row>
    <row r="70" spans="1:24" ht="25.5" x14ac:dyDescent="0.2">
      <c r="A70" s="75">
        <v>61</v>
      </c>
      <c r="B70" s="76" t="s">
        <v>93</v>
      </c>
      <c r="C70" s="76" t="s">
        <v>394</v>
      </c>
      <c r="D70" s="78">
        <f t="shared" si="7"/>
        <v>270310</v>
      </c>
      <c r="E70" s="78">
        <f t="shared" si="9"/>
        <v>53158</v>
      </c>
      <c r="F70" s="78">
        <v>0</v>
      </c>
      <c r="G70" s="78">
        <v>53158</v>
      </c>
      <c r="H70" s="68">
        <f t="shared" si="8"/>
        <v>245</v>
      </c>
      <c r="I70" s="78">
        <v>0</v>
      </c>
      <c r="J70" s="78">
        <v>245</v>
      </c>
      <c r="K70" s="78">
        <f t="shared" si="10"/>
        <v>216907</v>
      </c>
      <c r="L70" s="79">
        <v>0</v>
      </c>
      <c r="M70" s="79">
        <v>24806</v>
      </c>
      <c r="N70" s="79">
        <v>9726</v>
      </c>
      <c r="O70" s="79">
        <v>47996</v>
      </c>
      <c r="P70" s="79">
        <v>0</v>
      </c>
      <c r="Q70" s="79">
        <v>134379</v>
      </c>
      <c r="R70" s="81"/>
      <c r="S70" s="80"/>
      <c r="T70" s="80"/>
      <c r="V70" s="81"/>
      <c r="X70" s="74"/>
    </row>
    <row r="71" spans="1:24" ht="25.5" x14ac:dyDescent="0.2">
      <c r="A71" s="75">
        <v>62</v>
      </c>
      <c r="B71" s="83" t="s">
        <v>94</v>
      </c>
      <c r="C71" s="76" t="s">
        <v>395</v>
      </c>
      <c r="D71" s="78">
        <f t="shared" si="7"/>
        <v>102682</v>
      </c>
      <c r="E71" s="78">
        <f t="shared" si="9"/>
        <v>21147</v>
      </c>
      <c r="F71" s="78">
        <v>0</v>
      </c>
      <c r="G71" s="78">
        <v>21147</v>
      </c>
      <c r="H71" s="68">
        <f t="shared" si="8"/>
        <v>95</v>
      </c>
      <c r="I71" s="78">
        <v>0</v>
      </c>
      <c r="J71" s="78">
        <v>95</v>
      </c>
      <c r="K71" s="78">
        <f t="shared" si="10"/>
        <v>81440</v>
      </c>
      <c r="L71" s="79">
        <v>0</v>
      </c>
      <c r="M71" s="79">
        <v>11670</v>
      </c>
      <c r="N71" s="79">
        <v>0</v>
      </c>
      <c r="O71" s="79">
        <v>23050</v>
      </c>
      <c r="P71" s="79">
        <v>0</v>
      </c>
      <c r="Q71" s="79">
        <v>46720</v>
      </c>
      <c r="R71" s="81"/>
      <c r="S71" s="80"/>
      <c r="T71" s="80"/>
      <c r="V71" s="81"/>
      <c r="X71" s="74"/>
    </row>
    <row r="72" spans="1:24" ht="38.25" x14ac:dyDescent="0.2">
      <c r="A72" s="75">
        <v>63</v>
      </c>
      <c r="B72" s="76" t="s">
        <v>177</v>
      </c>
      <c r="C72" s="76" t="s">
        <v>396</v>
      </c>
      <c r="D72" s="78">
        <f t="shared" si="7"/>
        <v>35174</v>
      </c>
      <c r="E72" s="78">
        <f t="shared" si="9"/>
        <v>0</v>
      </c>
      <c r="F72" s="78">
        <v>0</v>
      </c>
      <c r="G72" s="78">
        <v>0</v>
      </c>
      <c r="H72" s="68">
        <f t="shared" si="8"/>
        <v>0</v>
      </c>
      <c r="I72" s="78">
        <v>0</v>
      </c>
      <c r="J72" s="78">
        <v>0</v>
      </c>
      <c r="K72" s="78">
        <f t="shared" si="10"/>
        <v>35174</v>
      </c>
      <c r="L72" s="79">
        <v>0</v>
      </c>
      <c r="M72" s="79">
        <v>0</v>
      </c>
      <c r="N72" s="79">
        <v>0</v>
      </c>
      <c r="O72" s="79">
        <v>27364</v>
      </c>
      <c r="P72" s="79">
        <v>7798</v>
      </c>
      <c r="Q72" s="79">
        <v>12</v>
      </c>
      <c r="R72" s="81"/>
      <c r="S72" s="80"/>
      <c r="T72" s="80"/>
      <c r="V72" s="81"/>
      <c r="X72" s="74"/>
    </row>
    <row r="73" spans="1:24" ht="38.25" x14ac:dyDescent="0.2">
      <c r="A73" s="75">
        <v>64</v>
      </c>
      <c r="B73" s="76" t="s">
        <v>178</v>
      </c>
      <c r="C73" s="76" t="s">
        <v>397</v>
      </c>
      <c r="D73" s="78">
        <f t="shared" si="7"/>
        <v>37897</v>
      </c>
      <c r="E73" s="78">
        <f t="shared" si="9"/>
        <v>0</v>
      </c>
      <c r="F73" s="78">
        <v>0</v>
      </c>
      <c r="G73" s="78">
        <v>0</v>
      </c>
      <c r="H73" s="68">
        <f t="shared" si="8"/>
        <v>0</v>
      </c>
      <c r="I73" s="78">
        <v>0</v>
      </c>
      <c r="J73" s="78">
        <v>0</v>
      </c>
      <c r="K73" s="78">
        <f t="shared" si="10"/>
        <v>37897</v>
      </c>
      <c r="L73" s="79">
        <v>0</v>
      </c>
      <c r="M73" s="79">
        <v>0</v>
      </c>
      <c r="N73" s="79">
        <v>0</v>
      </c>
      <c r="O73" s="79">
        <v>15121</v>
      </c>
      <c r="P73" s="79">
        <v>22746</v>
      </c>
      <c r="Q73" s="79">
        <v>30</v>
      </c>
      <c r="R73" s="81"/>
      <c r="S73" s="80"/>
      <c r="T73" s="80"/>
      <c r="V73" s="81"/>
      <c r="X73" s="74"/>
    </row>
    <row r="74" spans="1:24" ht="12.75" x14ac:dyDescent="0.2">
      <c r="A74" s="75">
        <v>65</v>
      </c>
      <c r="B74" s="76" t="s">
        <v>95</v>
      </c>
      <c r="C74" s="76" t="s">
        <v>398</v>
      </c>
      <c r="D74" s="78">
        <f t="shared" si="7"/>
        <v>137342</v>
      </c>
      <c r="E74" s="78">
        <f t="shared" si="9"/>
        <v>8471</v>
      </c>
      <c r="F74" s="78">
        <v>4125</v>
      </c>
      <c r="G74" s="78">
        <v>4346</v>
      </c>
      <c r="H74" s="68">
        <f t="shared" ref="H74:H137" si="11">I74+J74</f>
        <v>16304</v>
      </c>
      <c r="I74" s="78">
        <v>16304</v>
      </c>
      <c r="J74" s="78">
        <v>0</v>
      </c>
      <c r="K74" s="78">
        <f t="shared" si="10"/>
        <v>112567</v>
      </c>
      <c r="L74" s="79">
        <v>1908</v>
      </c>
      <c r="M74" s="79">
        <v>34716</v>
      </c>
      <c r="N74" s="79">
        <v>0</v>
      </c>
      <c r="O74" s="79">
        <v>53805</v>
      </c>
      <c r="P74" s="79">
        <v>1437</v>
      </c>
      <c r="Q74" s="79">
        <v>20701</v>
      </c>
      <c r="R74" s="81"/>
      <c r="S74" s="80"/>
      <c r="T74" s="80"/>
      <c r="V74" s="81"/>
      <c r="X74" s="74"/>
    </row>
    <row r="75" spans="1:24" ht="12.75" x14ac:dyDescent="0.2">
      <c r="A75" s="75">
        <v>66</v>
      </c>
      <c r="B75" s="76" t="s">
        <v>96</v>
      </c>
      <c r="C75" s="76" t="s">
        <v>399</v>
      </c>
      <c r="D75" s="78">
        <f t="shared" si="7"/>
        <v>79656</v>
      </c>
      <c r="E75" s="78">
        <f t="shared" si="9"/>
        <v>2655</v>
      </c>
      <c r="F75" s="78">
        <v>2655</v>
      </c>
      <c r="G75" s="78">
        <v>0</v>
      </c>
      <c r="H75" s="68">
        <f t="shared" si="11"/>
        <v>10494</v>
      </c>
      <c r="I75" s="78">
        <v>10494</v>
      </c>
      <c r="J75" s="78">
        <v>0</v>
      </c>
      <c r="K75" s="78">
        <f t="shared" si="10"/>
        <v>66507</v>
      </c>
      <c r="L75" s="79">
        <v>2905</v>
      </c>
      <c r="M75" s="79">
        <v>45000</v>
      </c>
      <c r="N75" s="79">
        <v>11187</v>
      </c>
      <c r="O75" s="79">
        <v>4990</v>
      </c>
      <c r="P75" s="79">
        <v>0</v>
      </c>
      <c r="Q75" s="79">
        <v>2425</v>
      </c>
      <c r="R75" s="81"/>
      <c r="S75" s="80"/>
      <c r="T75" s="80"/>
      <c r="V75" s="81"/>
      <c r="X75" s="74"/>
    </row>
    <row r="76" spans="1:24" ht="12.75" x14ac:dyDescent="0.2">
      <c r="A76" s="75">
        <v>67</v>
      </c>
      <c r="B76" s="76" t="s">
        <v>97</v>
      </c>
      <c r="C76" s="76" t="s">
        <v>400</v>
      </c>
      <c r="D76" s="78">
        <f t="shared" si="7"/>
        <v>71368</v>
      </c>
      <c r="E76" s="78">
        <f t="shared" si="9"/>
        <v>2591</v>
      </c>
      <c r="F76" s="78">
        <v>2591</v>
      </c>
      <c r="G76" s="78">
        <v>0</v>
      </c>
      <c r="H76" s="68">
        <f t="shared" si="11"/>
        <v>10243</v>
      </c>
      <c r="I76" s="78">
        <v>10243</v>
      </c>
      <c r="J76" s="78">
        <v>0</v>
      </c>
      <c r="K76" s="78">
        <f t="shared" si="10"/>
        <v>58534</v>
      </c>
      <c r="L76" s="79">
        <v>2658</v>
      </c>
      <c r="M76" s="79">
        <v>13120</v>
      </c>
      <c r="N76" s="79">
        <v>0</v>
      </c>
      <c r="O76" s="79">
        <v>32770</v>
      </c>
      <c r="P76" s="79">
        <v>254</v>
      </c>
      <c r="Q76" s="79">
        <v>9732</v>
      </c>
      <c r="R76" s="81"/>
      <c r="S76" s="80"/>
      <c r="T76" s="80"/>
      <c r="V76" s="81"/>
      <c r="X76" s="74"/>
    </row>
    <row r="77" spans="1:24" ht="12.75" x14ac:dyDescent="0.2">
      <c r="A77" s="75">
        <v>68</v>
      </c>
      <c r="B77" s="76" t="s">
        <v>98</v>
      </c>
      <c r="C77" s="76" t="s">
        <v>401</v>
      </c>
      <c r="D77" s="78">
        <f t="shared" si="7"/>
        <v>67782</v>
      </c>
      <c r="E77" s="78">
        <f t="shared" si="9"/>
        <v>1953</v>
      </c>
      <c r="F77" s="78">
        <v>1953</v>
      </c>
      <c r="G77" s="78">
        <v>0</v>
      </c>
      <c r="H77" s="68">
        <f t="shared" si="11"/>
        <v>7721</v>
      </c>
      <c r="I77" s="78">
        <v>7721</v>
      </c>
      <c r="J77" s="78">
        <v>0</v>
      </c>
      <c r="K77" s="78">
        <f t="shared" si="10"/>
        <v>58108</v>
      </c>
      <c r="L77" s="79">
        <v>1953</v>
      </c>
      <c r="M77" s="79">
        <v>19715</v>
      </c>
      <c r="N77" s="79">
        <v>16484</v>
      </c>
      <c r="O77" s="79">
        <v>11107</v>
      </c>
      <c r="P77" s="79">
        <v>0</v>
      </c>
      <c r="Q77" s="79">
        <v>8849</v>
      </c>
      <c r="R77" s="81"/>
      <c r="S77" s="80"/>
      <c r="T77" s="80"/>
      <c r="V77" s="81"/>
      <c r="X77" s="74"/>
    </row>
    <row r="78" spans="1:24" ht="12.75" x14ac:dyDescent="0.2">
      <c r="A78" s="75">
        <v>69</v>
      </c>
      <c r="B78" s="76" t="s">
        <v>99</v>
      </c>
      <c r="C78" s="76" t="s">
        <v>402</v>
      </c>
      <c r="D78" s="78">
        <f t="shared" si="7"/>
        <v>162929</v>
      </c>
      <c r="E78" s="78">
        <f t="shared" si="9"/>
        <v>5117</v>
      </c>
      <c r="F78" s="78">
        <v>5117</v>
      </c>
      <c r="G78" s="78">
        <v>0</v>
      </c>
      <c r="H78" s="68">
        <f t="shared" si="11"/>
        <v>20227</v>
      </c>
      <c r="I78" s="78">
        <v>20227</v>
      </c>
      <c r="J78" s="78">
        <v>0</v>
      </c>
      <c r="K78" s="78">
        <f t="shared" si="10"/>
        <v>137585</v>
      </c>
      <c r="L78" s="79">
        <v>5117</v>
      </c>
      <c r="M78" s="79">
        <v>42596</v>
      </c>
      <c r="N78" s="79">
        <v>0</v>
      </c>
      <c r="O78" s="79">
        <v>67510</v>
      </c>
      <c r="P78" s="79">
        <v>0</v>
      </c>
      <c r="Q78" s="79">
        <v>22362</v>
      </c>
      <c r="R78" s="81"/>
      <c r="S78" s="80"/>
      <c r="T78" s="80"/>
      <c r="V78" s="81"/>
      <c r="X78" s="74"/>
    </row>
    <row r="79" spans="1:24" ht="12.75" x14ac:dyDescent="0.2">
      <c r="A79" s="75">
        <v>70</v>
      </c>
      <c r="B79" s="83" t="s">
        <v>100</v>
      </c>
      <c r="C79" s="76" t="s">
        <v>403</v>
      </c>
      <c r="D79" s="78">
        <f t="shared" si="7"/>
        <v>81765</v>
      </c>
      <c r="E79" s="78">
        <f t="shared" si="9"/>
        <v>2587</v>
      </c>
      <c r="F79" s="78">
        <v>2587</v>
      </c>
      <c r="G79" s="78">
        <v>0</v>
      </c>
      <c r="H79" s="68">
        <f t="shared" si="11"/>
        <v>10224</v>
      </c>
      <c r="I79" s="78">
        <v>10224</v>
      </c>
      <c r="J79" s="78">
        <v>0</v>
      </c>
      <c r="K79" s="78">
        <f t="shared" si="10"/>
        <v>68954</v>
      </c>
      <c r="L79" s="79">
        <v>2587</v>
      </c>
      <c r="M79" s="79">
        <v>32112</v>
      </c>
      <c r="N79" s="79">
        <v>0</v>
      </c>
      <c r="O79" s="79">
        <v>22670</v>
      </c>
      <c r="P79" s="79">
        <v>0</v>
      </c>
      <c r="Q79" s="79">
        <v>11585</v>
      </c>
      <c r="R79" s="81"/>
      <c r="S79" s="80"/>
      <c r="T79" s="80"/>
      <c r="V79" s="81"/>
      <c r="X79" s="74"/>
    </row>
    <row r="80" spans="1:24" ht="12.75" x14ac:dyDescent="0.2">
      <c r="A80" s="75">
        <v>71</v>
      </c>
      <c r="B80" s="76" t="s">
        <v>101</v>
      </c>
      <c r="C80" s="77" t="s">
        <v>404</v>
      </c>
      <c r="D80" s="78">
        <f t="shared" si="7"/>
        <v>104338</v>
      </c>
      <c r="E80" s="78">
        <f t="shared" si="9"/>
        <v>3037</v>
      </c>
      <c r="F80" s="78">
        <v>3037</v>
      </c>
      <c r="G80" s="78">
        <v>0</v>
      </c>
      <c r="H80" s="68">
        <f t="shared" si="11"/>
        <v>12006</v>
      </c>
      <c r="I80" s="78">
        <v>12006</v>
      </c>
      <c r="J80" s="78">
        <v>0</v>
      </c>
      <c r="K80" s="78">
        <f t="shared" si="10"/>
        <v>89295</v>
      </c>
      <c r="L80" s="79">
        <v>3038</v>
      </c>
      <c r="M80" s="79">
        <v>39220</v>
      </c>
      <c r="N80" s="79">
        <v>10890</v>
      </c>
      <c r="O80" s="79">
        <v>22533</v>
      </c>
      <c r="P80" s="79">
        <v>0</v>
      </c>
      <c r="Q80" s="79">
        <v>13614</v>
      </c>
      <c r="R80" s="81"/>
      <c r="S80" s="80"/>
      <c r="T80" s="80"/>
      <c r="V80" s="81"/>
      <c r="X80" s="74"/>
    </row>
    <row r="81" spans="1:24" ht="12.75" x14ac:dyDescent="0.2">
      <c r="A81" s="75">
        <v>72</v>
      </c>
      <c r="B81" s="83" t="s">
        <v>102</v>
      </c>
      <c r="C81" s="76" t="s">
        <v>405</v>
      </c>
      <c r="D81" s="78">
        <f t="shared" ref="D81:D157" si="12">E81+H81+K81</f>
        <v>47209</v>
      </c>
      <c r="E81" s="78">
        <f t="shared" si="9"/>
        <v>1740</v>
      </c>
      <c r="F81" s="78">
        <v>1740</v>
      </c>
      <c r="G81" s="78">
        <v>0</v>
      </c>
      <c r="H81" s="68">
        <f t="shared" si="11"/>
        <v>6877</v>
      </c>
      <c r="I81" s="78">
        <v>6877</v>
      </c>
      <c r="J81" s="78">
        <v>0</v>
      </c>
      <c r="K81" s="78">
        <f t="shared" si="10"/>
        <v>38592</v>
      </c>
      <c r="L81" s="79">
        <v>1740</v>
      </c>
      <c r="M81" s="79">
        <v>20471</v>
      </c>
      <c r="N81" s="79">
        <v>0</v>
      </c>
      <c r="O81" s="79">
        <v>8353</v>
      </c>
      <c r="P81" s="79">
        <v>0</v>
      </c>
      <c r="Q81" s="79">
        <v>8028</v>
      </c>
      <c r="R81" s="81"/>
      <c r="S81" s="80"/>
      <c r="T81" s="80"/>
      <c r="V81" s="81"/>
      <c r="X81" s="74"/>
    </row>
    <row r="82" spans="1:24" ht="12.75" x14ac:dyDescent="0.2">
      <c r="A82" s="75">
        <v>73</v>
      </c>
      <c r="B82" s="76" t="s">
        <v>103</v>
      </c>
      <c r="C82" s="76" t="s">
        <v>406</v>
      </c>
      <c r="D82" s="78">
        <f t="shared" si="12"/>
        <v>164691</v>
      </c>
      <c r="E82" s="78">
        <f t="shared" ref="E82:E157" si="13">F82+G82</f>
        <v>4939</v>
      </c>
      <c r="F82" s="78">
        <v>4939</v>
      </c>
      <c r="G82" s="78">
        <v>0</v>
      </c>
      <c r="H82" s="68">
        <f t="shared" si="11"/>
        <v>19522</v>
      </c>
      <c r="I82" s="78">
        <v>19522</v>
      </c>
      <c r="J82" s="78">
        <v>0</v>
      </c>
      <c r="K82" s="78">
        <f t="shared" ref="K82:K157" si="14">L82+M82+N82+O82+P82+Q82</f>
        <v>140230</v>
      </c>
      <c r="L82" s="79">
        <v>4939</v>
      </c>
      <c r="M82" s="79">
        <v>50000</v>
      </c>
      <c r="N82" s="79">
        <v>0</v>
      </c>
      <c r="O82" s="79">
        <v>62601</v>
      </c>
      <c r="P82" s="79">
        <v>0</v>
      </c>
      <c r="Q82" s="79">
        <v>22690</v>
      </c>
      <c r="R82" s="81"/>
      <c r="S82" s="80"/>
      <c r="T82" s="80"/>
      <c r="V82" s="81"/>
      <c r="X82" s="74"/>
    </row>
    <row r="83" spans="1:24" ht="12.75" x14ac:dyDescent="0.2">
      <c r="A83" s="75">
        <v>74</v>
      </c>
      <c r="B83" s="83" t="s">
        <v>104</v>
      </c>
      <c r="C83" s="76" t="s">
        <v>407</v>
      </c>
      <c r="D83" s="78">
        <f t="shared" si="12"/>
        <v>59510</v>
      </c>
      <c r="E83" s="78">
        <f t="shared" si="13"/>
        <v>2240</v>
      </c>
      <c r="F83" s="78">
        <v>2240</v>
      </c>
      <c r="G83" s="78">
        <v>0</v>
      </c>
      <c r="H83" s="68">
        <f t="shared" si="11"/>
        <v>8856</v>
      </c>
      <c r="I83" s="78">
        <v>8856</v>
      </c>
      <c r="J83" s="78">
        <v>0</v>
      </c>
      <c r="K83" s="78">
        <f t="shared" si="14"/>
        <v>48414</v>
      </c>
      <c r="L83" s="79">
        <v>2241</v>
      </c>
      <c r="M83" s="79">
        <v>24000</v>
      </c>
      <c r="N83" s="79">
        <v>0</v>
      </c>
      <c r="O83" s="79">
        <v>12235</v>
      </c>
      <c r="P83" s="79">
        <v>0</v>
      </c>
      <c r="Q83" s="79">
        <v>9938</v>
      </c>
      <c r="R83" s="81"/>
      <c r="S83" s="80"/>
      <c r="T83" s="80"/>
      <c r="V83" s="81"/>
      <c r="X83" s="74"/>
    </row>
    <row r="84" spans="1:24" ht="12.75" x14ac:dyDescent="0.2">
      <c r="A84" s="75">
        <v>75</v>
      </c>
      <c r="B84" s="83" t="s">
        <v>105</v>
      </c>
      <c r="C84" s="76" t="s">
        <v>408</v>
      </c>
      <c r="D84" s="78">
        <f t="shared" si="12"/>
        <v>57721</v>
      </c>
      <c r="E84" s="78">
        <f t="shared" si="13"/>
        <v>2206</v>
      </c>
      <c r="F84" s="78">
        <v>2206</v>
      </c>
      <c r="G84" s="78">
        <v>0</v>
      </c>
      <c r="H84" s="68">
        <f t="shared" si="11"/>
        <v>8721</v>
      </c>
      <c r="I84" s="78">
        <v>8721</v>
      </c>
      <c r="J84" s="78">
        <v>0</v>
      </c>
      <c r="K84" s="78">
        <f t="shared" si="14"/>
        <v>46794</v>
      </c>
      <c r="L84" s="79">
        <v>2206</v>
      </c>
      <c r="M84" s="79">
        <v>18777</v>
      </c>
      <c r="N84" s="79">
        <v>0</v>
      </c>
      <c r="O84" s="79">
        <v>16382</v>
      </c>
      <c r="P84" s="79">
        <v>0</v>
      </c>
      <c r="Q84" s="79">
        <v>9429</v>
      </c>
      <c r="R84" s="81"/>
      <c r="S84" s="80"/>
      <c r="T84" s="80"/>
      <c r="V84" s="81"/>
      <c r="X84" s="74"/>
    </row>
    <row r="85" spans="1:24" ht="25.5" x14ac:dyDescent="0.2">
      <c r="A85" s="75">
        <v>76</v>
      </c>
      <c r="B85" s="93" t="s">
        <v>179</v>
      </c>
      <c r="C85" s="93" t="s">
        <v>409</v>
      </c>
      <c r="D85" s="78">
        <f t="shared" si="12"/>
        <v>3257</v>
      </c>
      <c r="E85" s="78">
        <f t="shared" si="13"/>
        <v>0</v>
      </c>
      <c r="F85" s="78">
        <v>0</v>
      </c>
      <c r="G85" s="78">
        <v>0</v>
      </c>
      <c r="H85" s="68">
        <f t="shared" si="11"/>
        <v>0</v>
      </c>
      <c r="I85" s="78">
        <v>0</v>
      </c>
      <c r="J85" s="78">
        <v>0</v>
      </c>
      <c r="K85" s="78">
        <f t="shared" si="14"/>
        <v>3257</v>
      </c>
      <c r="L85" s="79">
        <v>0</v>
      </c>
      <c r="M85" s="79">
        <v>0</v>
      </c>
      <c r="N85" s="79">
        <v>0</v>
      </c>
      <c r="O85" s="79">
        <v>2456</v>
      </c>
      <c r="P85" s="79">
        <v>473</v>
      </c>
      <c r="Q85" s="79">
        <v>328</v>
      </c>
      <c r="R85" s="81"/>
      <c r="S85" s="80"/>
      <c r="T85" s="80"/>
      <c r="V85" s="81"/>
      <c r="X85" s="74"/>
    </row>
    <row r="86" spans="1:24" ht="25.5" x14ac:dyDescent="0.2">
      <c r="A86" s="75">
        <v>77</v>
      </c>
      <c r="B86" s="76" t="s">
        <v>180</v>
      </c>
      <c r="C86" s="76" t="s">
        <v>410</v>
      </c>
      <c r="D86" s="78">
        <f t="shared" si="12"/>
        <v>3757</v>
      </c>
      <c r="E86" s="78">
        <f t="shared" si="13"/>
        <v>0</v>
      </c>
      <c r="F86" s="78">
        <v>0</v>
      </c>
      <c r="G86" s="78">
        <v>0</v>
      </c>
      <c r="H86" s="68">
        <f t="shared" si="11"/>
        <v>0</v>
      </c>
      <c r="I86" s="78">
        <v>0</v>
      </c>
      <c r="J86" s="78">
        <v>0</v>
      </c>
      <c r="K86" s="78">
        <f t="shared" si="14"/>
        <v>3757</v>
      </c>
      <c r="L86" s="79">
        <v>0</v>
      </c>
      <c r="M86" s="79">
        <v>0</v>
      </c>
      <c r="N86" s="79">
        <v>0</v>
      </c>
      <c r="O86" s="79">
        <v>3636</v>
      </c>
      <c r="P86" s="79">
        <v>26</v>
      </c>
      <c r="Q86" s="79">
        <v>95</v>
      </c>
      <c r="R86" s="81"/>
      <c r="S86" s="80"/>
      <c r="T86" s="80"/>
      <c r="V86" s="81"/>
      <c r="X86" s="74"/>
    </row>
    <row r="87" spans="1:24" ht="25.5" x14ac:dyDescent="0.2">
      <c r="A87" s="75">
        <v>78</v>
      </c>
      <c r="B87" s="76" t="s">
        <v>181</v>
      </c>
      <c r="C87" s="76" t="s">
        <v>411</v>
      </c>
      <c r="D87" s="78">
        <f t="shared" si="12"/>
        <v>4246</v>
      </c>
      <c r="E87" s="78">
        <f t="shared" si="13"/>
        <v>0</v>
      </c>
      <c r="F87" s="78">
        <v>0</v>
      </c>
      <c r="G87" s="78">
        <v>0</v>
      </c>
      <c r="H87" s="68">
        <f t="shared" si="11"/>
        <v>0</v>
      </c>
      <c r="I87" s="78">
        <v>0</v>
      </c>
      <c r="J87" s="78">
        <v>0</v>
      </c>
      <c r="K87" s="78">
        <f t="shared" si="14"/>
        <v>4246</v>
      </c>
      <c r="L87" s="79">
        <v>0</v>
      </c>
      <c r="M87" s="79">
        <v>0</v>
      </c>
      <c r="N87" s="79">
        <v>0</v>
      </c>
      <c r="O87" s="79">
        <v>3977</v>
      </c>
      <c r="P87" s="79">
        <v>173</v>
      </c>
      <c r="Q87" s="79">
        <v>96</v>
      </c>
      <c r="R87" s="81"/>
      <c r="S87" s="80"/>
      <c r="T87" s="80"/>
      <c r="V87" s="81"/>
      <c r="X87" s="74"/>
    </row>
    <row r="88" spans="1:24" ht="25.5" x14ac:dyDescent="0.2">
      <c r="A88" s="75">
        <v>79</v>
      </c>
      <c r="B88" s="76" t="s">
        <v>182</v>
      </c>
      <c r="C88" s="76" t="s">
        <v>412</v>
      </c>
      <c r="D88" s="78">
        <f t="shared" si="12"/>
        <v>2892</v>
      </c>
      <c r="E88" s="78">
        <f t="shared" si="13"/>
        <v>0</v>
      </c>
      <c r="F88" s="78">
        <v>0</v>
      </c>
      <c r="G88" s="78">
        <v>0</v>
      </c>
      <c r="H88" s="68">
        <f t="shared" si="11"/>
        <v>0</v>
      </c>
      <c r="I88" s="78">
        <v>0</v>
      </c>
      <c r="J88" s="78">
        <v>0</v>
      </c>
      <c r="K88" s="78">
        <f t="shared" si="14"/>
        <v>2892</v>
      </c>
      <c r="L88" s="79">
        <v>0</v>
      </c>
      <c r="M88" s="79">
        <v>0</v>
      </c>
      <c r="N88" s="79">
        <v>0</v>
      </c>
      <c r="O88" s="79">
        <f>3747-1125</f>
        <v>2622</v>
      </c>
      <c r="P88" s="79">
        <v>0</v>
      </c>
      <c r="Q88" s="79">
        <v>270</v>
      </c>
      <c r="R88" s="81"/>
      <c r="S88" s="80"/>
      <c r="T88" s="80"/>
      <c r="V88" s="81"/>
      <c r="X88" s="74"/>
    </row>
    <row r="89" spans="1:24" ht="25.5" x14ac:dyDescent="0.2">
      <c r="A89" s="75">
        <v>80</v>
      </c>
      <c r="B89" s="76" t="s">
        <v>183</v>
      </c>
      <c r="C89" s="76" t="s">
        <v>413</v>
      </c>
      <c r="D89" s="78">
        <f t="shared" si="12"/>
        <v>16651</v>
      </c>
      <c r="E89" s="78">
        <f t="shared" si="13"/>
        <v>0</v>
      </c>
      <c r="F89" s="78">
        <v>0</v>
      </c>
      <c r="G89" s="78">
        <v>0</v>
      </c>
      <c r="H89" s="68">
        <f t="shared" si="11"/>
        <v>0</v>
      </c>
      <c r="I89" s="78">
        <v>0</v>
      </c>
      <c r="J89" s="78">
        <v>0</v>
      </c>
      <c r="K89" s="78">
        <f t="shared" si="14"/>
        <v>16651</v>
      </c>
      <c r="L89" s="79">
        <v>0</v>
      </c>
      <c r="M89" s="79">
        <v>0</v>
      </c>
      <c r="N89" s="79">
        <v>0</v>
      </c>
      <c r="O89" s="79">
        <v>10950</v>
      </c>
      <c r="P89" s="79">
        <v>5117</v>
      </c>
      <c r="Q89" s="79">
        <v>584</v>
      </c>
      <c r="R89" s="81"/>
      <c r="S89" s="80"/>
      <c r="T89" s="80"/>
      <c r="V89" s="81"/>
      <c r="X89" s="74"/>
    </row>
    <row r="90" spans="1:24" ht="25.5" x14ac:dyDescent="0.2">
      <c r="A90" s="75">
        <v>81</v>
      </c>
      <c r="B90" s="76" t="s">
        <v>184</v>
      </c>
      <c r="C90" s="76" t="s">
        <v>414</v>
      </c>
      <c r="D90" s="78">
        <f t="shared" si="12"/>
        <v>3174</v>
      </c>
      <c r="E90" s="78">
        <f t="shared" si="13"/>
        <v>0</v>
      </c>
      <c r="F90" s="78">
        <v>0</v>
      </c>
      <c r="G90" s="78">
        <v>0</v>
      </c>
      <c r="H90" s="68">
        <f t="shared" si="11"/>
        <v>0</v>
      </c>
      <c r="I90" s="78">
        <v>0</v>
      </c>
      <c r="J90" s="78">
        <v>0</v>
      </c>
      <c r="K90" s="78">
        <f t="shared" si="14"/>
        <v>3174</v>
      </c>
      <c r="L90" s="79">
        <v>0</v>
      </c>
      <c r="M90" s="79">
        <v>0</v>
      </c>
      <c r="N90" s="79">
        <v>0</v>
      </c>
      <c r="O90" s="79">
        <v>2748</v>
      </c>
      <c r="P90" s="79">
        <v>286</v>
      </c>
      <c r="Q90" s="79">
        <v>140</v>
      </c>
      <c r="R90" s="81"/>
      <c r="S90" s="80"/>
      <c r="T90" s="80"/>
      <c r="V90" s="81"/>
      <c r="X90" s="74"/>
    </row>
    <row r="91" spans="1:24" ht="25.5" x14ac:dyDescent="0.2">
      <c r="A91" s="75">
        <v>82</v>
      </c>
      <c r="B91" s="76" t="s">
        <v>185</v>
      </c>
      <c r="C91" s="76" t="s">
        <v>415</v>
      </c>
      <c r="D91" s="78">
        <f t="shared" si="12"/>
        <v>2820</v>
      </c>
      <c r="E91" s="78">
        <f t="shared" si="13"/>
        <v>0</v>
      </c>
      <c r="F91" s="78">
        <v>0</v>
      </c>
      <c r="G91" s="78">
        <v>0</v>
      </c>
      <c r="H91" s="68">
        <f t="shared" si="11"/>
        <v>0</v>
      </c>
      <c r="I91" s="78">
        <v>0</v>
      </c>
      <c r="J91" s="78">
        <v>0</v>
      </c>
      <c r="K91" s="78">
        <f t="shared" si="14"/>
        <v>2820</v>
      </c>
      <c r="L91" s="79">
        <v>0</v>
      </c>
      <c r="M91" s="79">
        <v>0</v>
      </c>
      <c r="N91" s="79">
        <v>0</v>
      </c>
      <c r="O91" s="79">
        <v>2774</v>
      </c>
      <c r="P91" s="79">
        <v>46</v>
      </c>
      <c r="Q91" s="79">
        <v>0</v>
      </c>
      <c r="R91" s="81"/>
      <c r="S91" s="80"/>
      <c r="T91" s="80"/>
      <c r="V91" s="81"/>
      <c r="X91" s="74"/>
    </row>
    <row r="92" spans="1:24" ht="25.5" x14ac:dyDescent="0.2">
      <c r="A92" s="75">
        <v>83</v>
      </c>
      <c r="B92" s="83" t="s">
        <v>106</v>
      </c>
      <c r="C92" s="76" t="s">
        <v>107</v>
      </c>
      <c r="D92" s="78">
        <f t="shared" si="12"/>
        <v>198137</v>
      </c>
      <c r="E92" s="78">
        <f t="shared" si="13"/>
        <v>22713</v>
      </c>
      <c r="F92" s="78">
        <v>2975</v>
      </c>
      <c r="G92" s="78">
        <v>19738</v>
      </c>
      <c r="H92" s="68">
        <f t="shared" si="11"/>
        <v>11933</v>
      </c>
      <c r="I92" s="78">
        <v>11759</v>
      </c>
      <c r="J92" s="78">
        <v>174</v>
      </c>
      <c r="K92" s="78">
        <f t="shared" si="14"/>
        <v>163491</v>
      </c>
      <c r="L92" s="79">
        <v>2975</v>
      </c>
      <c r="M92" s="79">
        <v>31985</v>
      </c>
      <c r="N92" s="79">
        <v>8350</v>
      </c>
      <c r="O92" s="79">
        <v>60863</v>
      </c>
      <c r="P92" s="79">
        <v>2733</v>
      </c>
      <c r="Q92" s="79">
        <v>56585</v>
      </c>
      <c r="R92" s="81"/>
      <c r="S92" s="80"/>
      <c r="T92" s="80"/>
      <c r="V92" s="81"/>
      <c r="X92" s="74"/>
    </row>
    <row r="93" spans="1:24" ht="12.75" x14ac:dyDescent="0.2">
      <c r="A93" s="75">
        <v>84</v>
      </c>
      <c r="B93" s="76" t="s">
        <v>108</v>
      </c>
      <c r="C93" s="76" t="s">
        <v>416</v>
      </c>
      <c r="D93" s="78">
        <f t="shared" si="12"/>
        <v>105110</v>
      </c>
      <c r="E93" s="78">
        <f t="shared" si="13"/>
        <v>2906</v>
      </c>
      <c r="F93" s="78">
        <v>2906</v>
      </c>
      <c r="G93" s="78">
        <v>0</v>
      </c>
      <c r="H93" s="68">
        <f t="shared" si="11"/>
        <v>11485</v>
      </c>
      <c r="I93" s="78">
        <v>11485</v>
      </c>
      <c r="J93" s="78">
        <v>0</v>
      </c>
      <c r="K93" s="78">
        <f t="shared" si="14"/>
        <v>90719</v>
      </c>
      <c r="L93" s="79">
        <v>2906</v>
      </c>
      <c r="M93" s="79">
        <v>33701</v>
      </c>
      <c r="N93" s="79">
        <v>0</v>
      </c>
      <c r="O93" s="79">
        <v>45080</v>
      </c>
      <c r="P93" s="79">
        <v>0</v>
      </c>
      <c r="Q93" s="79">
        <v>9032</v>
      </c>
      <c r="R93" s="81"/>
      <c r="S93" s="80"/>
      <c r="T93" s="80"/>
      <c r="V93" s="81"/>
      <c r="X93" s="74"/>
    </row>
    <row r="94" spans="1:24" ht="12.75" x14ac:dyDescent="0.2">
      <c r="A94" s="75">
        <v>85</v>
      </c>
      <c r="B94" s="83" t="s">
        <v>109</v>
      </c>
      <c r="C94" s="76" t="s">
        <v>417</v>
      </c>
      <c r="D94" s="78">
        <f t="shared" si="12"/>
        <v>82729</v>
      </c>
      <c r="E94" s="78">
        <f t="shared" si="13"/>
        <v>2490</v>
      </c>
      <c r="F94" s="78">
        <v>2490</v>
      </c>
      <c r="G94" s="78">
        <v>0</v>
      </c>
      <c r="H94" s="68">
        <f t="shared" si="11"/>
        <v>9844</v>
      </c>
      <c r="I94" s="78">
        <v>9844</v>
      </c>
      <c r="J94" s="78">
        <v>0</v>
      </c>
      <c r="K94" s="78">
        <f t="shared" si="14"/>
        <v>70395</v>
      </c>
      <c r="L94" s="79">
        <v>2491</v>
      </c>
      <c r="M94" s="79">
        <v>22909</v>
      </c>
      <c r="N94" s="79">
        <v>0</v>
      </c>
      <c r="O94" s="79">
        <v>24636</v>
      </c>
      <c r="P94" s="79">
        <v>6009</v>
      </c>
      <c r="Q94" s="79">
        <v>14350</v>
      </c>
      <c r="R94" s="81"/>
      <c r="S94" s="80"/>
      <c r="T94" s="80"/>
      <c r="V94" s="81"/>
      <c r="X94" s="74"/>
    </row>
    <row r="95" spans="1:24" ht="12.75" x14ac:dyDescent="0.2">
      <c r="A95" s="75">
        <v>86</v>
      </c>
      <c r="B95" s="84" t="s">
        <v>110</v>
      </c>
      <c r="C95" s="84" t="s">
        <v>418</v>
      </c>
      <c r="D95" s="78">
        <f t="shared" si="12"/>
        <v>47981</v>
      </c>
      <c r="E95" s="78">
        <f t="shared" si="13"/>
        <v>1477</v>
      </c>
      <c r="F95" s="78">
        <v>1477</v>
      </c>
      <c r="G95" s="78">
        <v>0</v>
      </c>
      <c r="H95" s="68">
        <f t="shared" si="11"/>
        <v>5840</v>
      </c>
      <c r="I95" s="78">
        <v>5840</v>
      </c>
      <c r="J95" s="78">
        <v>0</v>
      </c>
      <c r="K95" s="78">
        <f t="shared" si="14"/>
        <v>40664</v>
      </c>
      <c r="L95" s="79">
        <v>1478</v>
      </c>
      <c r="M95" s="79">
        <v>13767</v>
      </c>
      <c r="N95" s="79">
        <v>0</v>
      </c>
      <c r="O95" s="79">
        <v>11900</v>
      </c>
      <c r="P95" s="79">
        <v>3588</v>
      </c>
      <c r="Q95" s="79">
        <v>9931</v>
      </c>
      <c r="R95" s="81"/>
      <c r="S95" s="80"/>
      <c r="T95" s="80"/>
      <c r="V95" s="81"/>
      <c r="X95" s="74"/>
    </row>
    <row r="96" spans="1:24" ht="12.75" x14ac:dyDescent="0.2">
      <c r="A96" s="75">
        <v>87</v>
      </c>
      <c r="B96" s="76" t="s">
        <v>111</v>
      </c>
      <c r="C96" s="76" t="s">
        <v>419</v>
      </c>
      <c r="D96" s="78">
        <f t="shared" si="12"/>
        <v>26256</v>
      </c>
      <c r="E96" s="78">
        <f t="shared" si="13"/>
        <v>657</v>
      </c>
      <c r="F96" s="78">
        <v>657</v>
      </c>
      <c r="G96" s="78">
        <v>0</v>
      </c>
      <c r="H96" s="68">
        <f t="shared" si="11"/>
        <v>2595</v>
      </c>
      <c r="I96" s="78">
        <v>2595</v>
      </c>
      <c r="J96" s="78">
        <v>0</v>
      </c>
      <c r="K96" s="78">
        <f t="shared" si="14"/>
        <v>23004</v>
      </c>
      <c r="L96" s="79">
        <v>657</v>
      </c>
      <c r="M96" s="79">
        <v>9112</v>
      </c>
      <c r="N96" s="79">
        <v>7031</v>
      </c>
      <c r="O96" s="79">
        <v>3506</v>
      </c>
      <c r="P96" s="79">
        <v>0</v>
      </c>
      <c r="Q96" s="79">
        <v>2698</v>
      </c>
      <c r="R96" s="81"/>
      <c r="S96" s="80"/>
      <c r="T96" s="80"/>
      <c r="V96" s="81"/>
      <c r="X96" s="74"/>
    </row>
    <row r="97" spans="1:24" ht="12.75" x14ac:dyDescent="0.2">
      <c r="A97" s="75">
        <v>88</v>
      </c>
      <c r="B97" s="76" t="s">
        <v>112</v>
      </c>
      <c r="C97" s="76" t="s">
        <v>420</v>
      </c>
      <c r="D97" s="78">
        <f t="shared" si="12"/>
        <v>312283</v>
      </c>
      <c r="E97" s="78">
        <f t="shared" si="13"/>
        <v>8857</v>
      </c>
      <c r="F97" s="78">
        <v>8857</v>
      </c>
      <c r="G97" s="78">
        <v>0</v>
      </c>
      <c r="H97" s="68">
        <f t="shared" si="11"/>
        <v>35023</v>
      </c>
      <c r="I97" s="78">
        <v>35023</v>
      </c>
      <c r="J97" s="78">
        <v>0</v>
      </c>
      <c r="K97" s="78">
        <f t="shared" si="14"/>
        <v>268403</v>
      </c>
      <c r="L97" s="79">
        <v>8861</v>
      </c>
      <c r="M97" s="79">
        <v>82121</v>
      </c>
      <c r="N97" s="79">
        <v>0</v>
      </c>
      <c r="O97" s="79">
        <v>113915</v>
      </c>
      <c r="P97" s="79">
        <v>5097</v>
      </c>
      <c r="Q97" s="79">
        <v>58409</v>
      </c>
      <c r="R97" s="81"/>
      <c r="S97" s="80"/>
      <c r="T97" s="80"/>
      <c r="V97" s="81"/>
      <c r="X97" s="74"/>
    </row>
    <row r="98" spans="1:24" ht="12.75" x14ac:dyDescent="0.2">
      <c r="A98" s="75">
        <v>89</v>
      </c>
      <c r="B98" s="84" t="s">
        <v>113</v>
      </c>
      <c r="C98" s="84" t="s">
        <v>421</v>
      </c>
      <c r="D98" s="78">
        <f t="shared" si="12"/>
        <v>172551</v>
      </c>
      <c r="E98" s="78">
        <f t="shared" si="13"/>
        <v>33608</v>
      </c>
      <c r="F98" s="78">
        <v>0</v>
      </c>
      <c r="G98" s="78">
        <v>33608</v>
      </c>
      <c r="H98" s="68">
        <f t="shared" si="11"/>
        <v>472</v>
      </c>
      <c r="I98" s="78">
        <v>0</v>
      </c>
      <c r="J98" s="78">
        <v>472</v>
      </c>
      <c r="K98" s="78">
        <f t="shared" si="14"/>
        <v>138471</v>
      </c>
      <c r="L98" s="79">
        <v>0</v>
      </c>
      <c r="M98" s="79">
        <v>26866</v>
      </c>
      <c r="N98" s="79">
        <v>6324</v>
      </c>
      <c r="O98" s="79">
        <v>21367</v>
      </c>
      <c r="P98" s="79">
        <v>0</v>
      </c>
      <c r="Q98" s="79">
        <v>83914</v>
      </c>
      <c r="R98" s="81"/>
      <c r="S98" s="80"/>
      <c r="T98" s="80"/>
      <c r="V98" s="81"/>
      <c r="X98" s="74"/>
    </row>
    <row r="99" spans="1:24" ht="12.75" x14ac:dyDescent="0.2">
      <c r="A99" s="75">
        <v>90</v>
      </c>
      <c r="B99" s="76" t="s">
        <v>9</v>
      </c>
      <c r="C99" s="76" t="s">
        <v>422</v>
      </c>
      <c r="D99" s="78">
        <f t="shared" si="12"/>
        <v>100057</v>
      </c>
      <c r="E99" s="78">
        <f t="shared" si="13"/>
        <v>2804</v>
      </c>
      <c r="F99" s="78">
        <v>2804</v>
      </c>
      <c r="G99" s="78">
        <v>0</v>
      </c>
      <c r="H99" s="68">
        <f t="shared" si="11"/>
        <v>11084</v>
      </c>
      <c r="I99" s="78">
        <v>11084</v>
      </c>
      <c r="J99" s="78">
        <v>0</v>
      </c>
      <c r="K99" s="78">
        <f t="shared" si="14"/>
        <v>86169</v>
      </c>
      <c r="L99" s="79">
        <v>2804</v>
      </c>
      <c r="M99" s="79">
        <v>30215</v>
      </c>
      <c r="N99" s="79">
        <v>11664</v>
      </c>
      <c r="O99" s="79">
        <v>22503</v>
      </c>
      <c r="P99" s="79">
        <v>145</v>
      </c>
      <c r="Q99" s="79">
        <v>18838</v>
      </c>
      <c r="R99" s="81"/>
      <c r="S99" s="80"/>
      <c r="T99" s="80"/>
      <c r="V99" s="81"/>
      <c r="X99" s="74"/>
    </row>
    <row r="100" spans="1:24" ht="12.75" x14ac:dyDescent="0.2">
      <c r="A100" s="75">
        <v>91</v>
      </c>
      <c r="B100" s="84" t="s">
        <v>114</v>
      </c>
      <c r="C100" s="84" t="s">
        <v>423</v>
      </c>
      <c r="D100" s="78">
        <f t="shared" si="12"/>
        <v>45277</v>
      </c>
      <c r="E100" s="78">
        <f t="shared" si="13"/>
        <v>0</v>
      </c>
      <c r="F100" s="78">
        <v>0</v>
      </c>
      <c r="G100" s="78">
        <v>0</v>
      </c>
      <c r="H100" s="68">
        <f t="shared" si="11"/>
        <v>0</v>
      </c>
      <c r="I100" s="78">
        <v>0</v>
      </c>
      <c r="J100" s="78">
        <v>0</v>
      </c>
      <c r="K100" s="78">
        <f t="shared" si="14"/>
        <v>45277</v>
      </c>
      <c r="L100" s="79">
        <v>0</v>
      </c>
      <c r="M100" s="79">
        <v>13210</v>
      </c>
      <c r="N100" s="79">
        <v>0</v>
      </c>
      <c r="O100" s="79">
        <v>10116</v>
      </c>
      <c r="P100" s="79">
        <v>0</v>
      </c>
      <c r="Q100" s="79">
        <v>21951</v>
      </c>
      <c r="R100" s="81"/>
      <c r="S100" s="80"/>
      <c r="T100" s="80"/>
      <c r="V100" s="81"/>
      <c r="X100" s="74"/>
    </row>
    <row r="101" spans="1:24" x14ac:dyDescent="0.2">
      <c r="A101" s="75">
        <v>92</v>
      </c>
      <c r="B101" s="94" t="s">
        <v>324</v>
      </c>
      <c r="C101" s="86" t="s">
        <v>424</v>
      </c>
      <c r="D101" s="78">
        <f t="shared" si="12"/>
        <v>0</v>
      </c>
      <c r="E101" s="78">
        <f t="shared" si="13"/>
        <v>0</v>
      </c>
      <c r="F101" s="78">
        <v>0</v>
      </c>
      <c r="G101" s="78">
        <v>0</v>
      </c>
      <c r="H101" s="68">
        <f t="shared" si="11"/>
        <v>0</v>
      </c>
      <c r="I101" s="78">
        <v>0</v>
      </c>
      <c r="J101" s="78">
        <v>0</v>
      </c>
      <c r="K101" s="78">
        <f t="shared" si="14"/>
        <v>0</v>
      </c>
      <c r="L101" s="79">
        <v>0</v>
      </c>
      <c r="M101" s="79">
        <v>0</v>
      </c>
      <c r="N101" s="79">
        <v>0</v>
      </c>
      <c r="O101" s="79">
        <v>0</v>
      </c>
      <c r="P101" s="79">
        <v>0</v>
      </c>
      <c r="Q101" s="79">
        <v>0</v>
      </c>
      <c r="R101" s="81"/>
      <c r="S101" s="80"/>
      <c r="T101" s="80"/>
      <c r="V101" s="81"/>
      <c r="X101" s="74"/>
    </row>
    <row r="102" spans="1:24" ht="19.5" customHeight="1" x14ac:dyDescent="0.2">
      <c r="A102" s="75">
        <v>93</v>
      </c>
      <c r="B102" s="83" t="s">
        <v>115</v>
      </c>
      <c r="C102" s="76" t="s">
        <v>116</v>
      </c>
      <c r="D102" s="78">
        <f t="shared" si="12"/>
        <v>36228</v>
      </c>
      <c r="E102" s="78">
        <f t="shared" si="13"/>
        <v>456</v>
      </c>
      <c r="F102" s="78">
        <v>456</v>
      </c>
      <c r="G102" s="78">
        <v>0</v>
      </c>
      <c r="H102" s="68">
        <f t="shared" si="11"/>
        <v>1804</v>
      </c>
      <c r="I102" s="78">
        <v>1804</v>
      </c>
      <c r="J102" s="78">
        <v>0</v>
      </c>
      <c r="K102" s="78">
        <f t="shared" si="14"/>
        <v>33968</v>
      </c>
      <c r="L102" s="95">
        <v>456</v>
      </c>
      <c r="M102" s="95">
        <v>500</v>
      </c>
      <c r="N102" s="95">
        <v>0</v>
      </c>
      <c r="O102" s="95">
        <v>30982</v>
      </c>
      <c r="P102" s="95">
        <v>0</v>
      </c>
      <c r="Q102" s="95">
        <v>2030</v>
      </c>
      <c r="R102" s="81"/>
      <c r="S102" s="80"/>
      <c r="T102" s="80"/>
      <c r="V102" s="81"/>
      <c r="X102" s="74"/>
    </row>
    <row r="103" spans="1:24" ht="25.5" x14ac:dyDescent="0.2">
      <c r="A103" s="75">
        <v>94</v>
      </c>
      <c r="B103" s="76" t="s">
        <v>186</v>
      </c>
      <c r="C103" s="77" t="s">
        <v>425</v>
      </c>
      <c r="D103" s="78">
        <f t="shared" si="12"/>
        <v>8400</v>
      </c>
      <c r="E103" s="78">
        <f t="shared" si="13"/>
        <v>0</v>
      </c>
      <c r="F103" s="78">
        <v>0</v>
      </c>
      <c r="G103" s="78">
        <v>0</v>
      </c>
      <c r="H103" s="68">
        <f t="shared" si="11"/>
        <v>0</v>
      </c>
      <c r="I103" s="78">
        <v>0</v>
      </c>
      <c r="J103" s="78">
        <v>0</v>
      </c>
      <c r="K103" s="78">
        <f t="shared" si="14"/>
        <v>8400</v>
      </c>
      <c r="L103" s="95">
        <v>0</v>
      </c>
      <c r="M103" s="95">
        <v>0</v>
      </c>
      <c r="N103" s="95">
        <v>0</v>
      </c>
      <c r="O103" s="95">
        <v>8400</v>
      </c>
      <c r="P103" s="95">
        <v>0</v>
      </c>
      <c r="Q103" s="95">
        <v>0</v>
      </c>
      <c r="R103" s="81"/>
      <c r="S103" s="80"/>
      <c r="T103" s="80"/>
      <c r="V103" s="81"/>
      <c r="X103" s="74"/>
    </row>
    <row r="104" spans="1:24" ht="12.75" x14ac:dyDescent="0.2">
      <c r="A104" s="75">
        <v>95</v>
      </c>
      <c r="B104" s="76" t="s">
        <v>117</v>
      </c>
      <c r="C104" s="84" t="s">
        <v>426</v>
      </c>
      <c r="D104" s="78">
        <f t="shared" si="12"/>
        <v>18499</v>
      </c>
      <c r="E104" s="78">
        <f t="shared" si="13"/>
        <v>387</v>
      </c>
      <c r="F104" s="78">
        <v>387</v>
      </c>
      <c r="G104" s="78">
        <v>0</v>
      </c>
      <c r="H104" s="68">
        <f t="shared" si="11"/>
        <v>1530</v>
      </c>
      <c r="I104" s="78">
        <v>1530</v>
      </c>
      <c r="J104" s="78">
        <v>0</v>
      </c>
      <c r="K104" s="78">
        <f t="shared" si="14"/>
        <v>16582</v>
      </c>
      <c r="L104" s="79">
        <v>387</v>
      </c>
      <c r="M104" s="79">
        <v>3857</v>
      </c>
      <c r="N104" s="79">
        <v>0</v>
      </c>
      <c r="O104" s="79">
        <v>8985</v>
      </c>
      <c r="P104" s="79">
        <v>0</v>
      </c>
      <c r="Q104" s="79">
        <v>3353</v>
      </c>
      <c r="R104" s="81"/>
      <c r="S104" s="80"/>
      <c r="T104" s="80"/>
      <c r="V104" s="81"/>
      <c r="X104" s="74"/>
    </row>
    <row r="105" spans="1:24" ht="12.75" x14ac:dyDescent="0.2">
      <c r="A105" s="75">
        <v>96</v>
      </c>
      <c r="B105" s="83" t="s">
        <v>118</v>
      </c>
      <c r="C105" s="76" t="s">
        <v>427</v>
      </c>
      <c r="D105" s="78">
        <f t="shared" si="12"/>
        <v>47310</v>
      </c>
      <c r="E105" s="78">
        <f t="shared" si="13"/>
        <v>1368</v>
      </c>
      <c r="F105" s="78">
        <v>1368</v>
      </c>
      <c r="G105" s="78">
        <v>0</v>
      </c>
      <c r="H105" s="68">
        <f t="shared" si="11"/>
        <v>5407</v>
      </c>
      <c r="I105" s="78">
        <v>5407</v>
      </c>
      <c r="J105" s="78">
        <v>0</v>
      </c>
      <c r="K105" s="78">
        <f t="shared" si="14"/>
        <v>40535</v>
      </c>
      <c r="L105" s="79">
        <v>1368</v>
      </c>
      <c r="M105" s="79">
        <v>8058</v>
      </c>
      <c r="N105" s="79">
        <v>0</v>
      </c>
      <c r="O105" s="79">
        <v>20838</v>
      </c>
      <c r="P105" s="79">
        <v>88</v>
      </c>
      <c r="Q105" s="79">
        <v>10183</v>
      </c>
      <c r="R105" s="81"/>
      <c r="S105" s="80"/>
      <c r="T105" s="80"/>
      <c r="V105" s="81"/>
      <c r="X105" s="74"/>
    </row>
    <row r="106" spans="1:24" ht="12.75" x14ac:dyDescent="0.2">
      <c r="A106" s="75">
        <v>97</v>
      </c>
      <c r="B106" s="76" t="s">
        <v>119</v>
      </c>
      <c r="C106" s="96" t="s">
        <v>120</v>
      </c>
      <c r="D106" s="78">
        <f t="shared" si="12"/>
        <v>45228</v>
      </c>
      <c r="E106" s="78">
        <f t="shared" si="13"/>
        <v>4329</v>
      </c>
      <c r="F106" s="78">
        <v>797</v>
      </c>
      <c r="G106" s="78">
        <v>3532</v>
      </c>
      <c r="H106" s="68">
        <f t="shared" si="11"/>
        <v>3226</v>
      </c>
      <c r="I106" s="78">
        <v>3150</v>
      </c>
      <c r="J106" s="78">
        <v>76</v>
      </c>
      <c r="K106" s="78">
        <f t="shared" si="14"/>
        <v>37673</v>
      </c>
      <c r="L106" s="79">
        <v>797</v>
      </c>
      <c r="M106" s="79">
        <v>4658</v>
      </c>
      <c r="N106" s="79">
        <v>0</v>
      </c>
      <c r="O106" s="79">
        <v>24173</v>
      </c>
      <c r="P106" s="79">
        <v>1437</v>
      </c>
      <c r="Q106" s="79">
        <v>6608</v>
      </c>
      <c r="R106" s="81"/>
      <c r="S106" s="80"/>
      <c r="T106" s="80"/>
      <c r="V106" s="81"/>
      <c r="X106" s="74"/>
    </row>
    <row r="107" spans="1:24" ht="12.75" x14ac:dyDescent="0.2">
      <c r="A107" s="75">
        <v>98</v>
      </c>
      <c r="B107" s="83" t="s">
        <v>121</v>
      </c>
      <c r="C107" s="76" t="s">
        <v>122</v>
      </c>
      <c r="D107" s="78">
        <f t="shared" si="12"/>
        <v>45882</v>
      </c>
      <c r="E107" s="78">
        <f t="shared" si="13"/>
        <v>4888</v>
      </c>
      <c r="F107" s="78">
        <v>811</v>
      </c>
      <c r="G107" s="78">
        <v>4077</v>
      </c>
      <c r="H107" s="68">
        <f t="shared" si="11"/>
        <v>3222</v>
      </c>
      <c r="I107" s="78">
        <v>3206</v>
      </c>
      <c r="J107" s="78">
        <v>16</v>
      </c>
      <c r="K107" s="78">
        <f t="shared" si="14"/>
        <v>37772</v>
      </c>
      <c r="L107" s="79">
        <v>811</v>
      </c>
      <c r="M107" s="79">
        <v>5000</v>
      </c>
      <c r="N107" s="79">
        <v>0</v>
      </c>
      <c r="O107" s="79">
        <v>15574</v>
      </c>
      <c r="P107" s="79">
        <v>3854</v>
      </c>
      <c r="Q107" s="79">
        <v>12533</v>
      </c>
      <c r="R107" s="81"/>
      <c r="S107" s="80"/>
      <c r="T107" s="80"/>
      <c r="V107" s="81"/>
      <c r="X107" s="74"/>
    </row>
    <row r="108" spans="1:24" ht="12.75" x14ac:dyDescent="0.2">
      <c r="A108" s="75">
        <v>99</v>
      </c>
      <c r="B108" s="83" t="s">
        <v>123</v>
      </c>
      <c r="C108" s="76" t="s">
        <v>124</v>
      </c>
      <c r="D108" s="78">
        <f t="shared" si="12"/>
        <v>125159</v>
      </c>
      <c r="E108" s="78">
        <f t="shared" si="13"/>
        <v>13437</v>
      </c>
      <c r="F108" s="78">
        <v>2155</v>
      </c>
      <c r="G108" s="78">
        <v>11282</v>
      </c>
      <c r="H108" s="68">
        <f t="shared" si="11"/>
        <v>8698</v>
      </c>
      <c r="I108" s="78">
        <v>8518</v>
      </c>
      <c r="J108" s="78">
        <v>180</v>
      </c>
      <c r="K108" s="78">
        <f t="shared" si="14"/>
        <v>103024</v>
      </c>
      <c r="L108" s="79">
        <v>2155</v>
      </c>
      <c r="M108" s="79">
        <v>14500</v>
      </c>
      <c r="N108" s="79">
        <v>0</v>
      </c>
      <c r="O108" s="79">
        <v>54132</v>
      </c>
      <c r="P108" s="79">
        <v>3024</v>
      </c>
      <c r="Q108" s="79">
        <v>29213</v>
      </c>
      <c r="R108" s="81"/>
      <c r="S108" s="80"/>
      <c r="T108" s="80"/>
      <c r="V108" s="81"/>
      <c r="X108" s="74"/>
    </row>
    <row r="109" spans="1:24" ht="12.75" x14ac:dyDescent="0.2">
      <c r="A109" s="75">
        <v>100</v>
      </c>
      <c r="B109" s="76" t="s">
        <v>125</v>
      </c>
      <c r="C109" s="84" t="s">
        <v>126</v>
      </c>
      <c r="D109" s="78">
        <f t="shared" si="12"/>
        <v>54110</v>
      </c>
      <c r="E109" s="78">
        <f t="shared" si="13"/>
        <v>5553</v>
      </c>
      <c r="F109" s="78">
        <v>978</v>
      </c>
      <c r="G109" s="78">
        <v>4575</v>
      </c>
      <c r="H109" s="68">
        <f t="shared" si="11"/>
        <v>3908</v>
      </c>
      <c r="I109" s="78">
        <v>3867</v>
      </c>
      <c r="J109" s="78">
        <v>41</v>
      </c>
      <c r="K109" s="78">
        <f t="shared" si="14"/>
        <v>44649</v>
      </c>
      <c r="L109" s="79">
        <v>978</v>
      </c>
      <c r="M109" s="79">
        <v>10000</v>
      </c>
      <c r="N109" s="79">
        <v>0</v>
      </c>
      <c r="O109" s="79">
        <v>21731</v>
      </c>
      <c r="P109" s="79">
        <v>1574</v>
      </c>
      <c r="Q109" s="79">
        <v>10366</v>
      </c>
      <c r="R109" s="81"/>
      <c r="S109" s="80"/>
      <c r="T109" s="80"/>
      <c r="V109" s="81"/>
      <c r="X109" s="74"/>
    </row>
    <row r="110" spans="1:24" ht="12.75" x14ac:dyDescent="0.2">
      <c r="A110" s="75">
        <v>101</v>
      </c>
      <c r="B110" s="76" t="s">
        <v>127</v>
      </c>
      <c r="C110" s="77" t="s">
        <v>128</v>
      </c>
      <c r="D110" s="78">
        <f t="shared" si="12"/>
        <v>68089</v>
      </c>
      <c r="E110" s="78">
        <f t="shared" si="13"/>
        <v>5870</v>
      </c>
      <c r="F110" s="78">
        <v>1280</v>
      </c>
      <c r="G110" s="78">
        <v>4590</v>
      </c>
      <c r="H110" s="68">
        <f t="shared" si="11"/>
        <v>5128</v>
      </c>
      <c r="I110" s="78">
        <v>5061</v>
      </c>
      <c r="J110" s="78">
        <v>67</v>
      </c>
      <c r="K110" s="78">
        <f t="shared" si="14"/>
        <v>57091</v>
      </c>
      <c r="L110" s="79">
        <v>1280</v>
      </c>
      <c r="M110" s="79">
        <v>17607</v>
      </c>
      <c r="N110" s="79">
        <v>0</v>
      </c>
      <c r="O110" s="79">
        <v>22022</v>
      </c>
      <c r="P110" s="79">
        <v>2094</v>
      </c>
      <c r="Q110" s="79">
        <v>14088</v>
      </c>
      <c r="R110" s="81"/>
      <c r="S110" s="80"/>
      <c r="T110" s="80"/>
      <c r="V110" s="81"/>
      <c r="X110" s="74"/>
    </row>
    <row r="111" spans="1:24" ht="12.75" x14ac:dyDescent="0.2">
      <c r="A111" s="75">
        <v>102</v>
      </c>
      <c r="B111" s="76" t="s">
        <v>129</v>
      </c>
      <c r="C111" s="77" t="s">
        <v>130</v>
      </c>
      <c r="D111" s="78">
        <f t="shared" si="12"/>
        <v>136550</v>
      </c>
      <c r="E111" s="78">
        <f t="shared" si="13"/>
        <v>16059</v>
      </c>
      <c r="F111" s="78">
        <v>2321</v>
      </c>
      <c r="G111" s="78">
        <v>13738</v>
      </c>
      <c r="H111" s="68">
        <f t="shared" si="11"/>
        <v>9428</v>
      </c>
      <c r="I111" s="78">
        <v>9173</v>
      </c>
      <c r="J111" s="78">
        <v>255</v>
      </c>
      <c r="K111" s="78">
        <f t="shared" si="14"/>
        <v>111063</v>
      </c>
      <c r="L111" s="79">
        <v>2321</v>
      </c>
      <c r="M111" s="79">
        <v>33616</v>
      </c>
      <c r="N111" s="79">
        <v>0</v>
      </c>
      <c r="O111" s="79">
        <v>35317</v>
      </c>
      <c r="P111" s="79">
        <v>6099</v>
      </c>
      <c r="Q111" s="79">
        <v>33710</v>
      </c>
      <c r="R111" s="81"/>
      <c r="S111" s="80"/>
      <c r="T111" s="80"/>
      <c r="V111" s="81"/>
      <c r="X111" s="74"/>
    </row>
    <row r="112" spans="1:24" ht="12.75" x14ac:dyDescent="0.2">
      <c r="A112" s="75">
        <v>103</v>
      </c>
      <c r="B112" s="76" t="s">
        <v>131</v>
      </c>
      <c r="C112" s="77" t="s">
        <v>132</v>
      </c>
      <c r="D112" s="78">
        <f t="shared" si="12"/>
        <v>117148</v>
      </c>
      <c r="E112" s="78">
        <f t="shared" si="13"/>
        <v>12111</v>
      </c>
      <c r="F112" s="78">
        <v>2064</v>
      </c>
      <c r="G112" s="78">
        <v>10047</v>
      </c>
      <c r="H112" s="68">
        <f t="shared" si="11"/>
        <v>8279</v>
      </c>
      <c r="I112" s="78">
        <v>8158</v>
      </c>
      <c r="J112" s="78">
        <v>121</v>
      </c>
      <c r="K112" s="78">
        <f t="shared" si="14"/>
        <v>96758</v>
      </c>
      <c r="L112" s="79">
        <v>2064</v>
      </c>
      <c r="M112" s="79">
        <v>19643</v>
      </c>
      <c r="N112" s="79">
        <v>0</v>
      </c>
      <c r="O112" s="79">
        <v>29551</v>
      </c>
      <c r="P112" s="79">
        <v>9045</v>
      </c>
      <c r="Q112" s="79">
        <v>36455</v>
      </c>
      <c r="R112" s="81"/>
      <c r="S112" s="80"/>
      <c r="T112" s="80"/>
      <c r="V112" s="81"/>
      <c r="X112" s="74"/>
    </row>
    <row r="113" spans="1:24" ht="12.75" x14ac:dyDescent="0.2">
      <c r="A113" s="75">
        <v>104</v>
      </c>
      <c r="B113" s="83" t="s">
        <v>133</v>
      </c>
      <c r="C113" s="76" t="s">
        <v>134</v>
      </c>
      <c r="D113" s="78">
        <f t="shared" si="12"/>
        <v>41675</v>
      </c>
      <c r="E113" s="78">
        <f t="shared" si="13"/>
        <v>4268</v>
      </c>
      <c r="F113" s="78">
        <v>729</v>
      </c>
      <c r="G113" s="78">
        <v>3539</v>
      </c>
      <c r="H113" s="68">
        <f t="shared" si="11"/>
        <v>2926</v>
      </c>
      <c r="I113" s="78">
        <v>2881</v>
      </c>
      <c r="J113" s="78">
        <v>45</v>
      </c>
      <c r="K113" s="78">
        <f t="shared" si="14"/>
        <v>34481</v>
      </c>
      <c r="L113" s="79">
        <v>729</v>
      </c>
      <c r="M113" s="79">
        <v>4984</v>
      </c>
      <c r="N113" s="79">
        <v>0</v>
      </c>
      <c r="O113" s="79">
        <v>14343</v>
      </c>
      <c r="P113" s="79">
        <v>1752</v>
      </c>
      <c r="Q113" s="79">
        <v>12673</v>
      </c>
      <c r="R113" s="81"/>
      <c r="S113" s="80"/>
      <c r="T113" s="80"/>
      <c r="V113" s="81"/>
      <c r="X113" s="74"/>
    </row>
    <row r="114" spans="1:24" ht="12.75" x14ac:dyDescent="0.2">
      <c r="A114" s="75">
        <v>105</v>
      </c>
      <c r="B114" s="84" t="s">
        <v>135</v>
      </c>
      <c r="C114" s="84" t="s">
        <v>136</v>
      </c>
      <c r="D114" s="78">
        <f t="shared" si="12"/>
        <v>62595</v>
      </c>
      <c r="E114" s="78">
        <f t="shared" si="13"/>
        <v>6187</v>
      </c>
      <c r="F114" s="78">
        <v>1167</v>
      </c>
      <c r="G114" s="78">
        <v>5020</v>
      </c>
      <c r="H114" s="68">
        <f t="shared" si="11"/>
        <v>4673</v>
      </c>
      <c r="I114" s="78">
        <v>4614</v>
      </c>
      <c r="J114" s="78">
        <v>59</v>
      </c>
      <c r="K114" s="78">
        <f t="shared" si="14"/>
        <v>51735</v>
      </c>
      <c r="L114" s="79">
        <v>1167</v>
      </c>
      <c r="M114" s="79">
        <v>14285</v>
      </c>
      <c r="N114" s="79">
        <v>0</v>
      </c>
      <c r="O114" s="79">
        <v>14610</v>
      </c>
      <c r="P114" s="79">
        <v>4188</v>
      </c>
      <c r="Q114" s="79">
        <v>17485</v>
      </c>
      <c r="R114" s="81"/>
      <c r="S114" s="80"/>
      <c r="T114" s="80"/>
      <c r="V114" s="81"/>
      <c r="X114" s="74"/>
    </row>
    <row r="115" spans="1:24" ht="12.75" x14ac:dyDescent="0.2">
      <c r="A115" s="75">
        <v>106</v>
      </c>
      <c r="B115" s="76" t="s">
        <v>137</v>
      </c>
      <c r="C115" s="77" t="s">
        <v>138</v>
      </c>
      <c r="D115" s="78">
        <f t="shared" si="12"/>
        <v>63098</v>
      </c>
      <c r="E115" s="78">
        <f t="shared" si="13"/>
        <v>6708</v>
      </c>
      <c r="F115" s="78">
        <v>1100</v>
      </c>
      <c r="G115" s="78">
        <v>5608</v>
      </c>
      <c r="H115" s="68">
        <f t="shared" si="11"/>
        <v>4437</v>
      </c>
      <c r="I115" s="78">
        <v>4347</v>
      </c>
      <c r="J115" s="78">
        <v>90</v>
      </c>
      <c r="K115" s="78">
        <f t="shared" si="14"/>
        <v>51953</v>
      </c>
      <c r="L115" s="79">
        <v>1100</v>
      </c>
      <c r="M115" s="79">
        <v>13948</v>
      </c>
      <c r="N115" s="79">
        <v>0</v>
      </c>
      <c r="O115" s="79">
        <v>19191</v>
      </c>
      <c r="P115" s="79">
        <v>3999</v>
      </c>
      <c r="Q115" s="79">
        <v>13715</v>
      </c>
      <c r="R115" s="81"/>
      <c r="S115" s="80"/>
      <c r="T115" s="80"/>
      <c r="V115" s="81"/>
      <c r="X115" s="74"/>
    </row>
    <row r="116" spans="1:24" ht="12.75" x14ac:dyDescent="0.2">
      <c r="A116" s="75">
        <v>107</v>
      </c>
      <c r="B116" s="76" t="s">
        <v>139</v>
      </c>
      <c r="C116" s="77" t="s">
        <v>140</v>
      </c>
      <c r="D116" s="78">
        <f t="shared" si="12"/>
        <v>80719</v>
      </c>
      <c r="E116" s="78">
        <f t="shared" si="13"/>
        <v>8104</v>
      </c>
      <c r="F116" s="78">
        <v>1239</v>
      </c>
      <c r="G116" s="78">
        <v>6865</v>
      </c>
      <c r="H116" s="68">
        <f t="shared" si="11"/>
        <v>4938</v>
      </c>
      <c r="I116" s="78">
        <v>4896</v>
      </c>
      <c r="J116" s="78">
        <v>42</v>
      </c>
      <c r="K116" s="78">
        <f t="shared" si="14"/>
        <v>67677</v>
      </c>
      <c r="L116" s="79">
        <v>1239</v>
      </c>
      <c r="M116" s="79">
        <v>15360</v>
      </c>
      <c r="N116" s="79">
        <v>6335</v>
      </c>
      <c r="O116" s="79">
        <v>20558</v>
      </c>
      <c r="P116" s="79">
        <v>7716</v>
      </c>
      <c r="Q116" s="79">
        <v>16469</v>
      </c>
      <c r="R116" s="81"/>
      <c r="S116" s="80"/>
      <c r="T116" s="80"/>
      <c r="V116" s="81"/>
      <c r="X116" s="74"/>
    </row>
    <row r="117" spans="1:24" ht="12.75" x14ac:dyDescent="0.2">
      <c r="A117" s="75">
        <v>108</v>
      </c>
      <c r="B117" s="83" t="s">
        <v>141</v>
      </c>
      <c r="C117" s="76" t="s">
        <v>142</v>
      </c>
      <c r="D117" s="78">
        <f t="shared" si="12"/>
        <v>48672</v>
      </c>
      <c r="E117" s="78">
        <f t="shared" si="13"/>
        <v>4967</v>
      </c>
      <c r="F117" s="78">
        <v>841</v>
      </c>
      <c r="G117" s="78">
        <v>4126</v>
      </c>
      <c r="H117" s="68">
        <f t="shared" si="11"/>
        <v>3437</v>
      </c>
      <c r="I117" s="78">
        <v>3326</v>
      </c>
      <c r="J117" s="78">
        <v>111</v>
      </c>
      <c r="K117" s="78">
        <f t="shared" si="14"/>
        <v>40268</v>
      </c>
      <c r="L117" s="79">
        <v>841</v>
      </c>
      <c r="M117" s="79">
        <v>10915</v>
      </c>
      <c r="N117" s="79">
        <v>0</v>
      </c>
      <c r="O117" s="79">
        <v>14075</v>
      </c>
      <c r="P117" s="79">
        <v>1255</v>
      </c>
      <c r="Q117" s="79">
        <v>13182</v>
      </c>
      <c r="R117" s="81"/>
      <c r="S117" s="80"/>
      <c r="T117" s="80"/>
      <c r="V117" s="81"/>
      <c r="X117" s="74"/>
    </row>
    <row r="118" spans="1:24" ht="12.75" x14ac:dyDescent="0.2">
      <c r="A118" s="75">
        <v>109</v>
      </c>
      <c r="B118" s="83" t="s">
        <v>143</v>
      </c>
      <c r="C118" s="76" t="s">
        <v>144</v>
      </c>
      <c r="D118" s="78">
        <f t="shared" si="12"/>
        <v>69885</v>
      </c>
      <c r="E118" s="78">
        <f t="shared" si="13"/>
        <v>6672</v>
      </c>
      <c r="F118" s="78">
        <v>1304</v>
      </c>
      <c r="G118" s="78">
        <v>5368</v>
      </c>
      <c r="H118" s="68">
        <f t="shared" si="11"/>
        <v>5208</v>
      </c>
      <c r="I118" s="78">
        <v>5154</v>
      </c>
      <c r="J118" s="78">
        <v>54</v>
      </c>
      <c r="K118" s="78">
        <f t="shared" si="14"/>
        <v>58005</v>
      </c>
      <c r="L118" s="79">
        <v>1304</v>
      </c>
      <c r="M118" s="79">
        <v>26488</v>
      </c>
      <c r="N118" s="79">
        <v>0</v>
      </c>
      <c r="O118" s="79">
        <v>15615</v>
      </c>
      <c r="P118" s="79">
        <v>5478</v>
      </c>
      <c r="Q118" s="79">
        <v>9120</v>
      </c>
      <c r="R118" s="81"/>
      <c r="S118" s="80"/>
      <c r="T118" s="80"/>
      <c r="V118" s="81"/>
      <c r="X118" s="74"/>
    </row>
    <row r="119" spans="1:24" ht="12.75" x14ac:dyDescent="0.2">
      <c r="A119" s="75">
        <v>110</v>
      </c>
      <c r="B119" s="76" t="s">
        <v>145</v>
      </c>
      <c r="C119" s="77" t="s">
        <v>146</v>
      </c>
      <c r="D119" s="78">
        <f t="shared" si="12"/>
        <v>118888</v>
      </c>
      <c r="E119" s="78">
        <f t="shared" si="13"/>
        <v>11795</v>
      </c>
      <c r="F119" s="78">
        <v>2185</v>
      </c>
      <c r="G119" s="78">
        <v>9610</v>
      </c>
      <c r="H119" s="68">
        <f t="shared" si="11"/>
        <v>8719</v>
      </c>
      <c r="I119" s="78">
        <v>8635</v>
      </c>
      <c r="J119" s="78">
        <v>84</v>
      </c>
      <c r="K119" s="78">
        <f t="shared" si="14"/>
        <v>98374</v>
      </c>
      <c r="L119" s="79">
        <v>2185</v>
      </c>
      <c r="M119" s="79">
        <v>59000</v>
      </c>
      <c r="N119" s="79">
        <v>0</v>
      </c>
      <c r="O119" s="79">
        <v>15310</v>
      </c>
      <c r="P119" s="79">
        <v>2747</v>
      </c>
      <c r="Q119" s="79">
        <v>19132</v>
      </c>
      <c r="R119" s="81"/>
      <c r="S119" s="80"/>
      <c r="T119" s="80"/>
      <c r="V119" s="81"/>
      <c r="X119" s="74"/>
    </row>
    <row r="120" spans="1:24" ht="12.75" x14ac:dyDescent="0.2">
      <c r="A120" s="75">
        <v>111</v>
      </c>
      <c r="B120" s="76" t="s">
        <v>147</v>
      </c>
      <c r="C120" s="77" t="s">
        <v>428</v>
      </c>
      <c r="D120" s="78">
        <f t="shared" si="12"/>
        <v>54571</v>
      </c>
      <c r="E120" s="78">
        <f t="shared" si="13"/>
        <v>5302</v>
      </c>
      <c r="F120" s="78">
        <v>1008</v>
      </c>
      <c r="G120" s="78">
        <v>4294</v>
      </c>
      <c r="H120" s="68">
        <f t="shared" si="11"/>
        <v>4105</v>
      </c>
      <c r="I120" s="78">
        <v>3985</v>
      </c>
      <c r="J120" s="78">
        <v>120</v>
      </c>
      <c r="K120" s="78">
        <f t="shared" si="14"/>
        <v>45164</v>
      </c>
      <c r="L120" s="79">
        <v>1008</v>
      </c>
      <c r="M120" s="79">
        <v>12508</v>
      </c>
      <c r="N120" s="79">
        <v>0</v>
      </c>
      <c r="O120" s="79">
        <v>15510</v>
      </c>
      <c r="P120" s="79">
        <v>4487</v>
      </c>
      <c r="Q120" s="79">
        <v>11651</v>
      </c>
      <c r="R120" s="81"/>
      <c r="S120" s="80"/>
      <c r="T120" s="80"/>
      <c r="V120" s="81"/>
      <c r="X120" s="74"/>
    </row>
    <row r="121" spans="1:24" ht="12.75" x14ac:dyDescent="0.2">
      <c r="A121" s="75">
        <v>112</v>
      </c>
      <c r="B121" s="76" t="s">
        <v>187</v>
      </c>
      <c r="C121" s="76" t="s">
        <v>429</v>
      </c>
      <c r="D121" s="78">
        <f t="shared" si="12"/>
        <v>5760</v>
      </c>
      <c r="E121" s="78">
        <f t="shared" si="13"/>
        <v>0</v>
      </c>
      <c r="F121" s="78">
        <v>0</v>
      </c>
      <c r="G121" s="78">
        <v>0</v>
      </c>
      <c r="H121" s="68">
        <f t="shared" si="11"/>
        <v>0</v>
      </c>
      <c r="I121" s="78">
        <v>0</v>
      </c>
      <c r="J121" s="78">
        <v>0</v>
      </c>
      <c r="K121" s="78">
        <f t="shared" si="14"/>
        <v>5760</v>
      </c>
      <c r="L121" s="79">
        <v>0</v>
      </c>
      <c r="M121" s="79">
        <v>576</v>
      </c>
      <c r="N121" s="79">
        <v>0</v>
      </c>
      <c r="O121" s="79">
        <v>5184</v>
      </c>
      <c r="P121" s="79">
        <v>0</v>
      </c>
      <c r="Q121" s="79">
        <v>0</v>
      </c>
      <c r="R121" s="81"/>
      <c r="S121" s="80"/>
      <c r="T121" s="80"/>
      <c r="V121" s="81"/>
      <c r="X121" s="74"/>
    </row>
    <row r="122" spans="1:24" x14ac:dyDescent="0.2">
      <c r="A122" s="75">
        <v>113</v>
      </c>
      <c r="B122" s="85" t="s">
        <v>326</v>
      </c>
      <c r="C122" s="82" t="s">
        <v>327</v>
      </c>
      <c r="D122" s="78">
        <f t="shared" si="12"/>
        <v>0</v>
      </c>
      <c r="E122" s="78">
        <f t="shared" si="13"/>
        <v>0</v>
      </c>
      <c r="F122" s="78">
        <v>0</v>
      </c>
      <c r="G122" s="78">
        <v>0</v>
      </c>
      <c r="H122" s="68">
        <f t="shared" si="11"/>
        <v>0</v>
      </c>
      <c r="I122" s="78">
        <v>0</v>
      </c>
      <c r="J122" s="78">
        <v>0</v>
      </c>
      <c r="K122" s="78">
        <f t="shared" si="14"/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81"/>
      <c r="S122" s="80"/>
      <c r="T122" s="80"/>
      <c r="V122" s="81"/>
      <c r="X122" s="74"/>
    </row>
    <row r="123" spans="1:24" ht="12.75" x14ac:dyDescent="0.2">
      <c r="A123" s="75">
        <v>114</v>
      </c>
      <c r="B123" s="83" t="s">
        <v>188</v>
      </c>
      <c r="C123" s="76" t="s">
        <v>430</v>
      </c>
      <c r="D123" s="78">
        <f t="shared" si="12"/>
        <v>1400</v>
      </c>
      <c r="E123" s="78">
        <f t="shared" si="13"/>
        <v>0</v>
      </c>
      <c r="F123" s="78">
        <v>0</v>
      </c>
      <c r="G123" s="78">
        <v>0</v>
      </c>
      <c r="H123" s="68">
        <f t="shared" si="11"/>
        <v>0</v>
      </c>
      <c r="I123" s="78">
        <v>0</v>
      </c>
      <c r="J123" s="78">
        <v>0</v>
      </c>
      <c r="K123" s="78">
        <f t="shared" si="14"/>
        <v>1400</v>
      </c>
      <c r="L123" s="79">
        <v>0</v>
      </c>
      <c r="M123" s="79">
        <v>140</v>
      </c>
      <c r="N123" s="79">
        <v>0</v>
      </c>
      <c r="O123" s="79">
        <v>1260</v>
      </c>
      <c r="P123" s="79">
        <v>0</v>
      </c>
      <c r="Q123" s="79">
        <v>0</v>
      </c>
      <c r="R123" s="81"/>
      <c r="S123" s="80"/>
      <c r="T123" s="80"/>
      <c r="V123" s="81"/>
      <c r="X123" s="74"/>
    </row>
    <row r="124" spans="1:24" ht="12.75" x14ac:dyDescent="0.2">
      <c r="A124" s="75">
        <v>115</v>
      </c>
      <c r="B124" s="83" t="s">
        <v>189</v>
      </c>
      <c r="C124" s="76" t="s">
        <v>431</v>
      </c>
      <c r="D124" s="78">
        <f t="shared" si="12"/>
        <v>19</v>
      </c>
      <c r="E124" s="78">
        <f t="shared" si="13"/>
        <v>0</v>
      </c>
      <c r="F124" s="78">
        <v>0</v>
      </c>
      <c r="G124" s="78">
        <v>0</v>
      </c>
      <c r="H124" s="68">
        <f t="shared" si="11"/>
        <v>0</v>
      </c>
      <c r="I124" s="78">
        <v>0</v>
      </c>
      <c r="J124" s="78">
        <v>0</v>
      </c>
      <c r="K124" s="78">
        <f t="shared" si="14"/>
        <v>19</v>
      </c>
      <c r="L124" s="79">
        <v>0</v>
      </c>
      <c r="M124" s="79">
        <v>0</v>
      </c>
      <c r="N124" s="79">
        <v>0</v>
      </c>
      <c r="O124" s="79">
        <v>19</v>
      </c>
      <c r="P124" s="79">
        <v>0</v>
      </c>
      <c r="Q124" s="79">
        <v>0</v>
      </c>
      <c r="R124" s="81"/>
      <c r="S124" s="80"/>
      <c r="T124" s="80"/>
      <c r="V124" s="81"/>
      <c r="X124" s="74"/>
    </row>
    <row r="125" spans="1:24" x14ac:dyDescent="0.2">
      <c r="A125" s="75">
        <v>116</v>
      </c>
      <c r="B125" s="97" t="s">
        <v>328</v>
      </c>
      <c r="C125" s="86" t="s">
        <v>329</v>
      </c>
      <c r="D125" s="78">
        <f t="shared" si="12"/>
        <v>0</v>
      </c>
      <c r="E125" s="78">
        <f t="shared" si="13"/>
        <v>0</v>
      </c>
      <c r="F125" s="78">
        <v>0</v>
      </c>
      <c r="G125" s="78">
        <v>0</v>
      </c>
      <c r="H125" s="68">
        <f t="shared" si="11"/>
        <v>0</v>
      </c>
      <c r="I125" s="78">
        <v>0</v>
      </c>
      <c r="J125" s="78">
        <v>0</v>
      </c>
      <c r="K125" s="78">
        <f t="shared" si="14"/>
        <v>0</v>
      </c>
      <c r="L125" s="79">
        <v>0</v>
      </c>
      <c r="M125" s="79">
        <v>0</v>
      </c>
      <c r="N125" s="79">
        <v>0</v>
      </c>
      <c r="O125" s="79">
        <v>0</v>
      </c>
      <c r="P125" s="79">
        <v>0</v>
      </c>
      <c r="Q125" s="79">
        <v>0</v>
      </c>
      <c r="R125" s="81"/>
      <c r="S125" s="80"/>
      <c r="T125" s="80"/>
      <c r="V125" s="81"/>
      <c r="X125" s="74"/>
    </row>
    <row r="126" spans="1:24" ht="24" x14ac:dyDescent="0.2">
      <c r="A126" s="75">
        <v>117</v>
      </c>
      <c r="B126" s="97" t="s">
        <v>190</v>
      </c>
      <c r="C126" s="86" t="s">
        <v>432</v>
      </c>
      <c r="D126" s="78">
        <f t="shared" si="12"/>
        <v>0</v>
      </c>
      <c r="E126" s="78">
        <f t="shared" si="13"/>
        <v>0</v>
      </c>
      <c r="F126" s="78">
        <v>0</v>
      </c>
      <c r="G126" s="78">
        <v>0</v>
      </c>
      <c r="H126" s="68">
        <f t="shared" si="11"/>
        <v>0</v>
      </c>
      <c r="I126" s="78">
        <v>0</v>
      </c>
      <c r="J126" s="78">
        <v>0</v>
      </c>
      <c r="K126" s="78">
        <f t="shared" si="14"/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81"/>
      <c r="S126" s="80"/>
      <c r="T126" s="80"/>
      <c r="V126" s="81"/>
      <c r="X126" s="74"/>
    </row>
    <row r="127" spans="1:24" x14ac:dyDescent="0.2">
      <c r="A127" s="75">
        <v>118</v>
      </c>
      <c r="B127" s="97" t="s">
        <v>330</v>
      </c>
      <c r="C127" s="86" t="s">
        <v>331</v>
      </c>
      <c r="D127" s="78">
        <f t="shared" si="12"/>
        <v>0</v>
      </c>
      <c r="E127" s="78">
        <f t="shared" si="13"/>
        <v>0</v>
      </c>
      <c r="F127" s="78">
        <v>0</v>
      </c>
      <c r="G127" s="78">
        <v>0</v>
      </c>
      <c r="H127" s="68">
        <f t="shared" si="11"/>
        <v>0</v>
      </c>
      <c r="I127" s="78">
        <v>0</v>
      </c>
      <c r="J127" s="78">
        <v>0</v>
      </c>
      <c r="K127" s="78">
        <f t="shared" si="14"/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81"/>
      <c r="S127" s="80"/>
      <c r="T127" s="80"/>
      <c r="V127" s="81"/>
      <c r="X127" s="74"/>
    </row>
    <row r="128" spans="1:24" ht="12.75" x14ac:dyDescent="0.2">
      <c r="A128" s="75">
        <v>119</v>
      </c>
      <c r="B128" s="83" t="s">
        <v>191</v>
      </c>
      <c r="C128" s="98" t="s">
        <v>433</v>
      </c>
      <c r="D128" s="78">
        <f t="shared" si="12"/>
        <v>27720</v>
      </c>
      <c r="E128" s="78">
        <f t="shared" si="13"/>
        <v>0</v>
      </c>
      <c r="F128" s="79">
        <v>0</v>
      </c>
      <c r="G128" s="79">
        <v>0</v>
      </c>
      <c r="H128" s="68">
        <f t="shared" si="11"/>
        <v>0</v>
      </c>
      <c r="I128" s="79">
        <v>0</v>
      </c>
      <c r="J128" s="79">
        <v>0</v>
      </c>
      <c r="K128" s="78">
        <f t="shared" si="14"/>
        <v>27720</v>
      </c>
      <c r="L128" s="79">
        <v>0</v>
      </c>
      <c r="M128" s="79">
        <v>2772</v>
      </c>
      <c r="N128" s="79">
        <v>0</v>
      </c>
      <c r="O128" s="79">
        <v>24948</v>
      </c>
      <c r="P128" s="79">
        <v>0</v>
      </c>
      <c r="Q128" s="79">
        <v>0</v>
      </c>
      <c r="R128" s="81"/>
      <c r="S128" s="80"/>
      <c r="T128" s="80"/>
      <c r="V128" s="81"/>
      <c r="X128" s="74"/>
    </row>
    <row r="129" spans="1:24" x14ac:dyDescent="0.2">
      <c r="A129" s="75">
        <v>120</v>
      </c>
      <c r="B129" s="99" t="s">
        <v>434</v>
      </c>
      <c r="C129" s="100" t="s">
        <v>435</v>
      </c>
      <c r="D129" s="78">
        <f t="shared" si="12"/>
        <v>0</v>
      </c>
      <c r="E129" s="78">
        <f t="shared" si="13"/>
        <v>0</v>
      </c>
      <c r="F129" s="79">
        <v>0</v>
      </c>
      <c r="G129" s="79">
        <v>0</v>
      </c>
      <c r="H129" s="68">
        <f t="shared" si="11"/>
        <v>0</v>
      </c>
      <c r="I129" s="79">
        <v>0</v>
      </c>
      <c r="J129" s="79">
        <v>0</v>
      </c>
      <c r="K129" s="78">
        <f t="shared" si="14"/>
        <v>0</v>
      </c>
      <c r="L129" s="79">
        <v>0</v>
      </c>
      <c r="M129" s="79">
        <v>0</v>
      </c>
      <c r="N129" s="79">
        <v>0</v>
      </c>
      <c r="O129" s="79"/>
      <c r="P129" s="79">
        <v>0</v>
      </c>
      <c r="Q129" s="79">
        <v>0</v>
      </c>
      <c r="R129" s="81"/>
      <c r="S129" s="80"/>
      <c r="T129" s="80"/>
      <c r="V129" s="81"/>
      <c r="X129" s="74"/>
    </row>
    <row r="130" spans="1:24" ht="12.75" x14ac:dyDescent="0.2">
      <c r="A130" s="75">
        <v>121</v>
      </c>
      <c r="B130" s="101" t="s">
        <v>436</v>
      </c>
      <c r="C130" s="82" t="s">
        <v>437</v>
      </c>
      <c r="D130" s="78">
        <f t="shared" si="12"/>
        <v>0</v>
      </c>
      <c r="E130" s="78">
        <f t="shared" si="13"/>
        <v>0</v>
      </c>
      <c r="F130" s="79">
        <v>0</v>
      </c>
      <c r="G130" s="79">
        <v>0</v>
      </c>
      <c r="H130" s="68">
        <f t="shared" si="11"/>
        <v>0</v>
      </c>
      <c r="I130" s="79">
        <v>0</v>
      </c>
      <c r="J130" s="79">
        <v>0</v>
      </c>
      <c r="K130" s="78">
        <f t="shared" si="14"/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81"/>
      <c r="S130" s="80"/>
      <c r="T130" s="80"/>
      <c r="V130" s="81"/>
      <c r="X130" s="74"/>
    </row>
    <row r="131" spans="1:24" x14ac:dyDescent="0.2">
      <c r="A131" s="75">
        <v>122</v>
      </c>
      <c r="B131" s="97" t="s">
        <v>192</v>
      </c>
      <c r="C131" s="86" t="s">
        <v>438</v>
      </c>
      <c r="D131" s="78">
        <f t="shared" si="12"/>
        <v>0</v>
      </c>
      <c r="E131" s="78">
        <f t="shared" si="13"/>
        <v>0</v>
      </c>
      <c r="F131" s="79">
        <v>0</v>
      </c>
      <c r="G131" s="79">
        <v>0</v>
      </c>
      <c r="H131" s="68">
        <f t="shared" si="11"/>
        <v>0</v>
      </c>
      <c r="I131" s="79">
        <v>0</v>
      </c>
      <c r="J131" s="79">
        <v>0</v>
      </c>
      <c r="K131" s="78">
        <f t="shared" si="14"/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81"/>
      <c r="S131" s="80"/>
      <c r="T131" s="80"/>
      <c r="V131" s="81"/>
      <c r="X131" s="74"/>
    </row>
    <row r="132" spans="1:24" x14ac:dyDescent="0.2">
      <c r="A132" s="75">
        <v>123</v>
      </c>
      <c r="B132" s="85" t="s">
        <v>332</v>
      </c>
      <c r="C132" s="102" t="s">
        <v>439</v>
      </c>
      <c r="D132" s="78">
        <f t="shared" si="12"/>
        <v>0</v>
      </c>
      <c r="E132" s="78">
        <f t="shared" si="13"/>
        <v>0</v>
      </c>
      <c r="F132" s="79">
        <v>0</v>
      </c>
      <c r="G132" s="79">
        <v>0</v>
      </c>
      <c r="H132" s="68">
        <f t="shared" si="11"/>
        <v>0</v>
      </c>
      <c r="I132" s="79">
        <v>0</v>
      </c>
      <c r="J132" s="79">
        <v>0</v>
      </c>
      <c r="K132" s="78">
        <f t="shared" si="14"/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79">
        <v>0</v>
      </c>
      <c r="R132" s="81"/>
      <c r="S132" s="80"/>
      <c r="T132" s="80"/>
      <c r="V132" s="81"/>
      <c r="X132" s="74"/>
    </row>
    <row r="133" spans="1:24" ht="24" x14ac:dyDescent="0.2">
      <c r="A133" s="75">
        <v>124</v>
      </c>
      <c r="B133" s="97" t="s">
        <v>334</v>
      </c>
      <c r="C133" s="86" t="s">
        <v>440</v>
      </c>
      <c r="D133" s="78">
        <f t="shared" si="12"/>
        <v>0</v>
      </c>
      <c r="E133" s="78">
        <f t="shared" si="13"/>
        <v>0</v>
      </c>
      <c r="F133" s="79">
        <v>0</v>
      </c>
      <c r="G133" s="79">
        <v>0</v>
      </c>
      <c r="H133" s="68">
        <f t="shared" si="11"/>
        <v>0</v>
      </c>
      <c r="I133" s="79">
        <v>0</v>
      </c>
      <c r="J133" s="79">
        <v>0</v>
      </c>
      <c r="K133" s="78">
        <f t="shared" si="14"/>
        <v>0</v>
      </c>
      <c r="L133" s="79">
        <v>0</v>
      </c>
      <c r="M133" s="79">
        <v>0</v>
      </c>
      <c r="N133" s="79">
        <v>0</v>
      </c>
      <c r="O133" s="79">
        <v>0</v>
      </c>
      <c r="P133" s="79">
        <v>0</v>
      </c>
      <c r="Q133" s="79">
        <v>0</v>
      </c>
      <c r="R133" s="81"/>
      <c r="S133" s="80"/>
      <c r="T133" s="80"/>
      <c r="V133" s="81"/>
      <c r="X133" s="74"/>
    </row>
    <row r="134" spans="1:24" ht="24" x14ac:dyDescent="0.2">
      <c r="A134" s="75">
        <v>125</v>
      </c>
      <c r="B134" s="97" t="s">
        <v>336</v>
      </c>
      <c r="C134" s="86" t="s">
        <v>441</v>
      </c>
      <c r="D134" s="78">
        <f t="shared" si="12"/>
        <v>0</v>
      </c>
      <c r="E134" s="78">
        <f t="shared" si="13"/>
        <v>0</v>
      </c>
      <c r="F134" s="79">
        <v>0</v>
      </c>
      <c r="G134" s="79">
        <v>0</v>
      </c>
      <c r="H134" s="68">
        <f t="shared" si="11"/>
        <v>0</v>
      </c>
      <c r="I134" s="79">
        <v>0</v>
      </c>
      <c r="J134" s="79">
        <v>0</v>
      </c>
      <c r="K134" s="78">
        <f t="shared" si="14"/>
        <v>0</v>
      </c>
      <c r="L134" s="79">
        <v>0</v>
      </c>
      <c r="M134" s="79">
        <v>0</v>
      </c>
      <c r="N134" s="79">
        <v>0</v>
      </c>
      <c r="O134" s="79">
        <v>0</v>
      </c>
      <c r="P134" s="79">
        <v>0</v>
      </c>
      <c r="Q134" s="79">
        <v>0</v>
      </c>
      <c r="R134" s="81"/>
      <c r="S134" s="80"/>
      <c r="T134" s="80"/>
      <c r="V134" s="81"/>
      <c r="X134" s="74"/>
    </row>
    <row r="135" spans="1:24" ht="12.75" x14ac:dyDescent="0.2">
      <c r="A135" s="75">
        <v>126</v>
      </c>
      <c r="B135" s="76" t="s">
        <v>148</v>
      </c>
      <c r="C135" s="98" t="s">
        <v>442</v>
      </c>
      <c r="D135" s="78">
        <f t="shared" si="12"/>
        <v>86</v>
      </c>
      <c r="E135" s="78">
        <f t="shared" si="13"/>
        <v>0</v>
      </c>
      <c r="F135" s="79">
        <v>0</v>
      </c>
      <c r="G135" s="79">
        <v>0</v>
      </c>
      <c r="H135" s="68">
        <f t="shared" si="11"/>
        <v>0</v>
      </c>
      <c r="I135" s="79">
        <v>0</v>
      </c>
      <c r="J135" s="79">
        <v>0</v>
      </c>
      <c r="K135" s="78">
        <f t="shared" si="14"/>
        <v>86</v>
      </c>
      <c r="L135" s="79">
        <v>0</v>
      </c>
      <c r="M135" s="79">
        <v>0</v>
      </c>
      <c r="N135" s="79">
        <v>0</v>
      </c>
      <c r="O135" s="79">
        <v>86</v>
      </c>
      <c r="P135" s="79">
        <v>0</v>
      </c>
      <c r="Q135" s="79">
        <v>0</v>
      </c>
      <c r="R135" s="81"/>
      <c r="S135" s="80"/>
      <c r="T135" s="80"/>
      <c r="V135" s="81"/>
      <c r="X135" s="74"/>
    </row>
    <row r="136" spans="1:24" x14ac:dyDescent="0.2">
      <c r="A136" s="75">
        <v>127</v>
      </c>
      <c r="B136" s="103" t="s">
        <v>338</v>
      </c>
      <c r="C136" s="104" t="s">
        <v>339</v>
      </c>
      <c r="D136" s="78">
        <f t="shared" si="12"/>
        <v>0</v>
      </c>
      <c r="E136" s="78">
        <f t="shared" si="13"/>
        <v>0</v>
      </c>
      <c r="F136" s="79">
        <v>0</v>
      </c>
      <c r="G136" s="79">
        <v>0</v>
      </c>
      <c r="H136" s="68">
        <f t="shared" si="11"/>
        <v>0</v>
      </c>
      <c r="I136" s="79">
        <v>0</v>
      </c>
      <c r="J136" s="79">
        <v>0</v>
      </c>
      <c r="K136" s="78">
        <f t="shared" si="14"/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81"/>
      <c r="S136" s="80"/>
      <c r="T136" s="80"/>
      <c r="V136" s="81"/>
      <c r="X136" s="74"/>
    </row>
    <row r="137" spans="1:24" x14ac:dyDescent="0.2">
      <c r="A137" s="75">
        <v>128</v>
      </c>
      <c r="B137" s="97" t="s">
        <v>340</v>
      </c>
      <c r="C137" s="86" t="s">
        <v>341</v>
      </c>
      <c r="D137" s="78">
        <f t="shared" si="12"/>
        <v>0</v>
      </c>
      <c r="E137" s="78">
        <f t="shared" si="13"/>
        <v>0</v>
      </c>
      <c r="F137" s="79">
        <v>0</v>
      </c>
      <c r="G137" s="79">
        <v>0</v>
      </c>
      <c r="H137" s="68">
        <f t="shared" si="11"/>
        <v>0</v>
      </c>
      <c r="I137" s="79">
        <v>0</v>
      </c>
      <c r="J137" s="79">
        <v>0</v>
      </c>
      <c r="K137" s="78">
        <f t="shared" si="14"/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81"/>
      <c r="S137" s="80"/>
      <c r="T137" s="80"/>
      <c r="V137" s="81"/>
      <c r="X137" s="74"/>
    </row>
    <row r="138" spans="1:24" ht="12.75" x14ac:dyDescent="0.2">
      <c r="A138" s="75">
        <v>129</v>
      </c>
      <c r="B138" s="76" t="s">
        <v>193</v>
      </c>
      <c r="C138" s="105" t="s">
        <v>443</v>
      </c>
      <c r="D138" s="78">
        <f t="shared" si="12"/>
        <v>2560</v>
      </c>
      <c r="E138" s="78">
        <f t="shared" si="13"/>
        <v>0</v>
      </c>
      <c r="F138" s="79">
        <v>0</v>
      </c>
      <c r="G138" s="79">
        <v>0</v>
      </c>
      <c r="H138" s="68">
        <f t="shared" ref="H138:H157" si="15">I138+J138</f>
        <v>0</v>
      </c>
      <c r="I138" s="79">
        <v>0</v>
      </c>
      <c r="J138" s="79">
        <v>0</v>
      </c>
      <c r="K138" s="78">
        <f t="shared" si="14"/>
        <v>2560</v>
      </c>
      <c r="L138" s="79">
        <v>0</v>
      </c>
      <c r="M138" s="79">
        <v>256</v>
      </c>
      <c r="N138" s="79">
        <v>0</v>
      </c>
      <c r="O138" s="79">
        <v>2304</v>
      </c>
      <c r="P138" s="79">
        <v>0</v>
      </c>
      <c r="Q138" s="79">
        <v>0</v>
      </c>
      <c r="R138" s="81"/>
      <c r="S138" s="80"/>
      <c r="T138" s="80"/>
      <c r="V138" s="81"/>
      <c r="X138" s="74"/>
    </row>
    <row r="139" spans="1:24" x14ac:dyDescent="0.2">
      <c r="A139" s="75">
        <v>130</v>
      </c>
      <c r="B139" s="94" t="s">
        <v>194</v>
      </c>
      <c r="C139" s="82" t="s">
        <v>444</v>
      </c>
      <c r="D139" s="78">
        <f t="shared" si="12"/>
        <v>0</v>
      </c>
      <c r="E139" s="78">
        <f t="shared" si="13"/>
        <v>0</v>
      </c>
      <c r="F139" s="79">
        <v>0</v>
      </c>
      <c r="G139" s="79">
        <v>0</v>
      </c>
      <c r="H139" s="68">
        <f t="shared" si="15"/>
        <v>0</v>
      </c>
      <c r="I139" s="79">
        <v>0</v>
      </c>
      <c r="J139" s="79">
        <v>0</v>
      </c>
      <c r="K139" s="78">
        <f t="shared" si="14"/>
        <v>0</v>
      </c>
      <c r="L139" s="79">
        <v>0</v>
      </c>
      <c r="M139" s="79">
        <v>0</v>
      </c>
      <c r="N139" s="79">
        <v>0</v>
      </c>
      <c r="O139" s="79">
        <v>0</v>
      </c>
      <c r="P139" s="79">
        <v>0</v>
      </c>
      <c r="Q139" s="79">
        <v>0</v>
      </c>
      <c r="R139" s="81"/>
      <c r="S139" s="80"/>
      <c r="T139" s="80"/>
      <c r="V139" s="81"/>
      <c r="X139" s="74"/>
    </row>
    <row r="140" spans="1:24" ht="12.75" x14ac:dyDescent="0.2">
      <c r="A140" s="75">
        <v>131</v>
      </c>
      <c r="B140" s="83" t="s">
        <v>195</v>
      </c>
      <c r="C140" s="98" t="s">
        <v>445</v>
      </c>
      <c r="D140" s="78">
        <f t="shared" si="12"/>
        <v>9920</v>
      </c>
      <c r="E140" s="78">
        <f t="shared" si="13"/>
        <v>0</v>
      </c>
      <c r="F140" s="79">
        <v>0</v>
      </c>
      <c r="G140" s="79">
        <v>0</v>
      </c>
      <c r="H140" s="68">
        <f t="shared" si="15"/>
        <v>0</v>
      </c>
      <c r="I140" s="79">
        <v>0</v>
      </c>
      <c r="J140" s="79">
        <v>0</v>
      </c>
      <c r="K140" s="78">
        <f t="shared" si="14"/>
        <v>9920</v>
      </c>
      <c r="L140" s="79">
        <v>0</v>
      </c>
      <c r="M140" s="79">
        <v>992</v>
      </c>
      <c r="N140" s="79">
        <v>0</v>
      </c>
      <c r="O140" s="79">
        <v>8928</v>
      </c>
      <c r="P140" s="79">
        <v>0</v>
      </c>
      <c r="Q140" s="79">
        <v>0</v>
      </c>
      <c r="R140" s="81"/>
      <c r="S140" s="80"/>
      <c r="T140" s="80"/>
      <c r="V140" s="81"/>
      <c r="X140" s="74"/>
    </row>
    <row r="141" spans="1:24" x14ac:dyDescent="0.2">
      <c r="A141" s="75">
        <v>132</v>
      </c>
      <c r="B141" s="97" t="s">
        <v>446</v>
      </c>
      <c r="C141" s="86" t="s">
        <v>447</v>
      </c>
      <c r="D141" s="78">
        <f t="shared" si="12"/>
        <v>0</v>
      </c>
      <c r="E141" s="78">
        <f t="shared" si="13"/>
        <v>0</v>
      </c>
      <c r="F141" s="79">
        <v>0</v>
      </c>
      <c r="G141" s="79">
        <v>0</v>
      </c>
      <c r="H141" s="68">
        <f t="shared" si="15"/>
        <v>0</v>
      </c>
      <c r="I141" s="79">
        <v>0</v>
      </c>
      <c r="J141" s="79">
        <v>0</v>
      </c>
      <c r="K141" s="78">
        <f t="shared" si="14"/>
        <v>0</v>
      </c>
      <c r="L141" s="79">
        <v>0</v>
      </c>
      <c r="M141" s="79">
        <v>0</v>
      </c>
      <c r="N141" s="79">
        <v>0</v>
      </c>
      <c r="O141" s="79">
        <v>0</v>
      </c>
      <c r="P141" s="79">
        <v>0</v>
      </c>
      <c r="Q141" s="79">
        <v>0</v>
      </c>
      <c r="R141" s="81"/>
      <c r="S141" s="80"/>
      <c r="T141" s="80"/>
      <c r="V141" s="81"/>
      <c r="X141" s="74"/>
    </row>
    <row r="142" spans="1:24" ht="12.75" x14ac:dyDescent="0.2">
      <c r="A142" s="75">
        <v>133</v>
      </c>
      <c r="B142" s="83" t="s">
        <v>15</v>
      </c>
      <c r="C142" s="98" t="s">
        <v>448</v>
      </c>
      <c r="D142" s="78">
        <f t="shared" si="12"/>
        <v>180068</v>
      </c>
      <c r="E142" s="78">
        <f t="shared" si="13"/>
        <v>0</v>
      </c>
      <c r="F142" s="79">
        <v>0</v>
      </c>
      <c r="G142" s="79">
        <v>0</v>
      </c>
      <c r="H142" s="68">
        <f t="shared" si="15"/>
        <v>0</v>
      </c>
      <c r="I142" s="79">
        <v>0</v>
      </c>
      <c r="J142" s="79">
        <v>0</v>
      </c>
      <c r="K142" s="78">
        <f t="shared" si="14"/>
        <v>180068</v>
      </c>
      <c r="L142" s="79">
        <v>0</v>
      </c>
      <c r="M142" s="79">
        <v>0</v>
      </c>
      <c r="N142" s="79">
        <v>0</v>
      </c>
      <c r="O142" s="79">
        <v>180068</v>
      </c>
      <c r="P142" s="79">
        <v>0</v>
      </c>
      <c r="Q142" s="79">
        <v>0</v>
      </c>
      <c r="R142" s="81"/>
      <c r="S142" s="80"/>
      <c r="T142" s="80"/>
      <c r="V142" s="81"/>
      <c r="X142" s="74"/>
    </row>
    <row r="143" spans="1:24" ht="12.75" x14ac:dyDescent="0.2">
      <c r="A143" s="75">
        <v>134</v>
      </c>
      <c r="B143" s="83" t="s">
        <v>342</v>
      </c>
      <c r="C143" s="98" t="s">
        <v>343</v>
      </c>
      <c r="D143" s="78">
        <f t="shared" si="12"/>
        <v>152720</v>
      </c>
      <c r="E143" s="78">
        <f t="shared" si="13"/>
        <v>0</v>
      </c>
      <c r="F143" s="79">
        <v>0</v>
      </c>
      <c r="G143" s="79">
        <v>0</v>
      </c>
      <c r="H143" s="68">
        <f t="shared" si="15"/>
        <v>0</v>
      </c>
      <c r="I143" s="79">
        <v>0</v>
      </c>
      <c r="J143" s="79">
        <v>0</v>
      </c>
      <c r="K143" s="78">
        <f t="shared" si="14"/>
        <v>152720</v>
      </c>
      <c r="L143" s="79">
        <v>0</v>
      </c>
      <c r="M143" s="79">
        <v>0</v>
      </c>
      <c r="N143" s="79">
        <v>0</v>
      </c>
      <c r="O143" s="79">
        <f>151595+1125</f>
        <v>152720</v>
      </c>
      <c r="P143" s="79">
        <v>0</v>
      </c>
      <c r="Q143" s="79">
        <v>0</v>
      </c>
      <c r="R143" s="81"/>
      <c r="S143" s="80"/>
      <c r="T143" s="80"/>
      <c r="V143" s="81"/>
      <c r="X143" s="74"/>
    </row>
    <row r="144" spans="1:24" ht="12.75" x14ac:dyDescent="0.2">
      <c r="A144" s="75">
        <v>135</v>
      </c>
      <c r="B144" s="83" t="s">
        <v>14</v>
      </c>
      <c r="C144" s="98" t="s">
        <v>13</v>
      </c>
      <c r="D144" s="78">
        <f t="shared" si="12"/>
        <v>95000</v>
      </c>
      <c r="E144" s="78">
        <f t="shared" si="13"/>
        <v>0</v>
      </c>
      <c r="F144" s="79">
        <v>0</v>
      </c>
      <c r="G144" s="79">
        <v>0</v>
      </c>
      <c r="H144" s="68">
        <f t="shared" si="15"/>
        <v>0</v>
      </c>
      <c r="I144" s="79">
        <v>0</v>
      </c>
      <c r="J144" s="79">
        <v>0</v>
      </c>
      <c r="K144" s="78">
        <f t="shared" si="14"/>
        <v>95000</v>
      </c>
      <c r="L144" s="79">
        <v>0</v>
      </c>
      <c r="M144" s="79">
        <v>0</v>
      </c>
      <c r="N144" s="79">
        <v>0</v>
      </c>
      <c r="O144" s="79">
        <v>95000</v>
      </c>
      <c r="P144" s="79">
        <v>0</v>
      </c>
      <c r="Q144" s="79">
        <v>0</v>
      </c>
      <c r="R144" s="81"/>
      <c r="S144" s="80"/>
      <c r="T144" s="80"/>
      <c r="V144" s="81"/>
      <c r="X144" s="74"/>
    </row>
    <row r="145" spans="1:24" ht="12.75" x14ac:dyDescent="0.2">
      <c r="A145" s="75">
        <v>136</v>
      </c>
      <c r="B145" s="76" t="s">
        <v>10</v>
      </c>
      <c r="C145" s="105" t="s">
        <v>7</v>
      </c>
      <c r="D145" s="78">
        <f t="shared" si="12"/>
        <v>95000</v>
      </c>
      <c r="E145" s="78">
        <f t="shared" si="13"/>
        <v>0</v>
      </c>
      <c r="F145" s="79">
        <v>0</v>
      </c>
      <c r="G145" s="79">
        <v>0</v>
      </c>
      <c r="H145" s="68">
        <f t="shared" si="15"/>
        <v>0</v>
      </c>
      <c r="I145" s="79">
        <v>0</v>
      </c>
      <c r="J145" s="79">
        <v>0</v>
      </c>
      <c r="K145" s="78">
        <f t="shared" si="14"/>
        <v>95000</v>
      </c>
      <c r="L145" s="79">
        <v>0</v>
      </c>
      <c r="M145" s="79">
        <v>0</v>
      </c>
      <c r="N145" s="79">
        <v>0</v>
      </c>
      <c r="O145" s="79">
        <v>95000</v>
      </c>
      <c r="P145" s="79">
        <v>0</v>
      </c>
      <c r="Q145" s="79">
        <v>0</v>
      </c>
      <c r="R145" s="81"/>
      <c r="S145" s="80"/>
      <c r="T145" s="80"/>
      <c r="V145" s="81"/>
      <c r="X145" s="74"/>
    </row>
    <row r="146" spans="1:24" ht="12.75" x14ac:dyDescent="0.2">
      <c r="A146" s="75">
        <v>137</v>
      </c>
      <c r="B146" s="83" t="s">
        <v>196</v>
      </c>
      <c r="C146" s="98" t="s">
        <v>449</v>
      </c>
      <c r="D146" s="78">
        <f t="shared" si="12"/>
        <v>8000</v>
      </c>
      <c r="E146" s="78">
        <f t="shared" si="13"/>
        <v>0</v>
      </c>
      <c r="F146" s="79">
        <v>0</v>
      </c>
      <c r="G146" s="79">
        <v>0</v>
      </c>
      <c r="H146" s="68">
        <f t="shared" si="15"/>
        <v>0</v>
      </c>
      <c r="I146" s="79">
        <v>0</v>
      </c>
      <c r="J146" s="79">
        <v>0</v>
      </c>
      <c r="K146" s="78">
        <f t="shared" si="14"/>
        <v>8000</v>
      </c>
      <c r="L146" s="79">
        <v>0</v>
      </c>
      <c r="M146" s="79">
        <v>0</v>
      </c>
      <c r="N146" s="79">
        <v>0</v>
      </c>
      <c r="O146" s="79">
        <v>8000</v>
      </c>
      <c r="P146" s="79">
        <v>0</v>
      </c>
      <c r="Q146" s="79">
        <v>0</v>
      </c>
      <c r="R146" s="81"/>
      <c r="S146" s="80"/>
      <c r="T146" s="80"/>
      <c r="V146" s="81"/>
      <c r="X146" s="74"/>
    </row>
    <row r="147" spans="1:24" ht="12.75" x14ac:dyDescent="0.2">
      <c r="A147" s="75">
        <v>138</v>
      </c>
      <c r="B147" s="76" t="s">
        <v>149</v>
      </c>
      <c r="C147" s="98" t="s">
        <v>150</v>
      </c>
      <c r="D147" s="78">
        <f t="shared" si="12"/>
        <v>65356</v>
      </c>
      <c r="E147" s="78">
        <f t="shared" si="13"/>
        <v>0</v>
      </c>
      <c r="F147" s="79">
        <v>0</v>
      </c>
      <c r="G147" s="79">
        <v>0</v>
      </c>
      <c r="H147" s="68">
        <f t="shared" si="15"/>
        <v>0</v>
      </c>
      <c r="I147" s="79">
        <v>0</v>
      </c>
      <c r="J147" s="79">
        <v>0</v>
      </c>
      <c r="K147" s="78">
        <f t="shared" si="14"/>
        <v>65356</v>
      </c>
      <c r="L147" s="79">
        <v>0</v>
      </c>
      <c r="M147" s="79">
        <v>0</v>
      </c>
      <c r="N147" s="79">
        <v>0</v>
      </c>
      <c r="O147" s="79">
        <v>65356</v>
      </c>
      <c r="P147" s="79">
        <v>0</v>
      </c>
      <c r="Q147" s="79">
        <v>0</v>
      </c>
      <c r="R147" s="81"/>
      <c r="S147" s="80"/>
      <c r="T147" s="80"/>
      <c r="V147" s="81"/>
      <c r="X147" s="74"/>
    </row>
    <row r="148" spans="1:24" ht="12.75" x14ac:dyDescent="0.2">
      <c r="A148" s="75">
        <v>139</v>
      </c>
      <c r="B148" s="84" t="s">
        <v>151</v>
      </c>
      <c r="C148" s="106" t="s">
        <v>152</v>
      </c>
      <c r="D148" s="78">
        <f t="shared" si="12"/>
        <v>60809</v>
      </c>
      <c r="E148" s="78">
        <f t="shared" si="13"/>
        <v>0</v>
      </c>
      <c r="F148" s="79">
        <v>0</v>
      </c>
      <c r="G148" s="79">
        <v>0</v>
      </c>
      <c r="H148" s="68">
        <f t="shared" si="15"/>
        <v>0</v>
      </c>
      <c r="I148" s="79">
        <v>0</v>
      </c>
      <c r="J148" s="79">
        <v>0</v>
      </c>
      <c r="K148" s="78">
        <f t="shared" si="14"/>
        <v>60809</v>
      </c>
      <c r="L148" s="79">
        <v>0</v>
      </c>
      <c r="M148" s="79">
        <v>5855</v>
      </c>
      <c r="N148" s="79">
        <v>0</v>
      </c>
      <c r="O148" s="79">
        <v>34948</v>
      </c>
      <c r="P148" s="79">
        <v>0</v>
      </c>
      <c r="Q148" s="79">
        <v>20006</v>
      </c>
      <c r="R148" s="81"/>
      <c r="S148" s="80"/>
      <c r="T148" s="80"/>
      <c r="V148" s="81"/>
      <c r="X148" s="74"/>
    </row>
    <row r="149" spans="1:24" ht="12.75" x14ac:dyDescent="0.2">
      <c r="A149" s="75">
        <v>140</v>
      </c>
      <c r="B149" s="83" t="s">
        <v>344</v>
      </c>
      <c r="C149" s="98" t="s">
        <v>345</v>
      </c>
      <c r="D149" s="78">
        <f t="shared" si="12"/>
        <v>77000</v>
      </c>
      <c r="E149" s="78">
        <f t="shared" si="13"/>
        <v>0</v>
      </c>
      <c r="F149" s="79">
        <v>0</v>
      </c>
      <c r="G149" s="79">
        <v>0</v>
      </c>
      <c r="H149" s="68">
        <f t="shared" si="15"/>
        <v>0</v>
      </c>
      <c r="I149" s="79">
        <v>0</v>
      </c>
      <c r="J149" s="79">
        <v>0</v>
      </c>
      <c r="K149" s="78">
        <f t="shared" si="14"/>
        <v>77000</v>
      </c>
      <c r="L149" s="79">
        <v>0</v>
      </c>
      <c r="M149" s="79">
        <v>0</v>
      </c>
      <c r="N149" s="79">
        <v>0</v>
      </c>
      <c r="O149" s="79">
        <v>77000</v>
      </c>
      <c r="P149" s="79">
        <v>0</v>
      </c>
      <c r="Q149" s="79">
        <v>0</v>
      </c>
      <c r="R149" s="81"/>
      <c r="S149" s="80"/>
      <c r="T149" s="80"/>
      <c r="V149" s="81"/>
      <c r="X149" s="74"/>
    </row>
    <row r="150" spans="1:24" ht="12.75" x14ac:dyDescent="0.2">
      <c r="A150" s="75">
        <v>141</v>
      </c>
      <c r="B150" s="83" t="s">
        <v>197</v>
      </c>
      <c r="C150" s="98" t="s">
        <v>198</v>
      </c>
      <c r="D150" s="78">
        <f t="shared" si="12"/>
        <v>15069</v>
      </c>
      <c r="E150" s="78">
        <f t="shared" si="13"/>
        <v>0</v>
      </c>
      <c r="F150" s="79">
        <v>0</v>
      </c>
      <c r="G150" s="79">
        <v>0</v>
      </c>
      <c r="H150" s="68">
        <f t="shared" si="15"/>
        <v>0</v>
      </c>
      <c r="I150" s="79">
        <v>0</v>
      </c>
      <c r="J150" s="79">
        <v>0</v>
      </c>
      <c r="K150" s="78">
        <f t="shared" si="14"/>
        <v>15069</v>
      </c>
      <c r="L150" s="79">
        <v>0</v>
      </c>
      <c r="M150" s="79">
        <v>0</v>
      </c>
      <c r="N150" s="79">
        <v>14887</v>
      </c>
      <c r="O150" s="79">
        <v>182</v>
      </c>
      <c r="P150" s="79">
        <v>0</v>
      </c>
      <c r="Q150" s="79">
        <v>0</v>
      </c>
      <c r="R150" s="81"/>
      <c r="S150" s="80"/>
      <c r="T150" s="80"/>
      <c r="V150" s="81"/>
      <c r="X150" s="74"/>
    </row>
    <row r="151" spans="1:24" ht="12.75" x14ac:dyDescent="0.2">
      <c r="A151" s="75">
        <v>142</v>
      </c>
      <c r="B151" s="83" t="s">
        <v>346</v>
      </c>
      <c r="C151" s="98" t="s">
        <v>347</v>
      </c>
      <c r="D151" s="78">
        <f t="shared" si="12"/>
        <v>59392</v>
      </c>
      <c r="E151" s="78">
        <f t="shared" si="13"/>
        <v>0</v>
      </c>
      <c r="F151" s="79">
        <v>0</v>
      </c>
      <c r="G151" s="79">
        <v>0</v>
      </c>
      <c r="H151" s="68">
        <f t="shared" si="15"/>
        <v>0</v>
      </c>
      <c r="I151" s="79">
        <v>0</v>
      </c>
      <c r="J151" s="79">
        <v>0</v>
      </c>
      <c r="K151" s="78">
        <f t="shared" si="14"/>
        <v>59392</v>
      </c>
      <c r="L151" s="79">
        <v>0</v>
      </c>
      <c r="M151" s="79">
        <v>0</v>
      </c>
      <c r="N151" s="79">
        <v>0</v>
      </c>
      <c r="O151" s="79">
        <v>59392</v>
      </c>
      <c r="P151" s="79">
        <v>0</v>
      </c>
      <c r="Q151" s="79">
        <v>0</v>
      </c>
      <c r="R151" s="81"/>
      <c r="S151" s="80"/>
      <c r="T151" s="80"/>
      <c r="V151" s="81"/>
      <c r="X151" s="74"/>
    </row>
    <row r="152" spans="1:24" ht="12.75" x14ac:dyDescent="0.2">
      <c r="A152" s="75">
        <v>143</v>
      </c>
      <c r="B152" s="84" t="s">
        <v>12</v>
      </c>
      <c r="C152" s="106" t="s">
        <v>2</v>
      </c>
      <c r="D152" s="78">
        <f t="shared" si="12"/>
        <v>1054</v>
      </c>
      <c r="E152" s="78">
        <f t="shared" si="13"/>
        <v>0</v>
      </c>
      <c r="F152" s="79">
        <v>0</v>
      </c>
      <c r="G152" s="79">
        <v>0</v>
      </c>
      <c r="H152" s="68">
        <f t="shared" si="15"/>
        <v>0</v>
      </c>
      <c r="I152" s="79">
        <v>0</v>
      </c>
      <c r="J152" s="79">
        <v>0</v>
      </c>
      <c r="K152" s="78">
        <f t="shared" si="14"/>
        <v>1054</v>
      </c>
      <c r="L152" s="79">
        <v>0</v>
      </c>
      <c r="M152" s="79">
        <v>0</v>
      </c>
      <c r="N152" s="79">
        <v>0</v>
      </c>
      <c r="O152" s="79">
        <v>1054</v>
      </c>
      <c r="P152" s="79">
        <v>0</v>
      </c>
      <c r="Q152" s="79">
        <v>0</v>
      </c>
      <c r="R152" s="81"/>
      <c r="S152" s="80"/>
      <c r="T152" s="80"/>
      <c r="V152" s="81"/>
      <c r="X152" s="74"/>
    </row>
    <row r="153" spans="1:24" ht="12.75" x14ac:dyDescent="0.2">
      <c r="A153" s="75">
        <v>144</v>
      </c>
      <c r="B153" s="76" t="s">
        <v>3</v>
      </c>
      <c r="C153" s="106" t="s">
        <v>450</v>
      </c>
      <c r="D153" s="78">
        <f t="shared" si="12"/>
        <v>278654</v>
      </c>
      <c r="E153" s="78">
        <f t="shared" si="13"/>
        <v>28244</v>
      </c>
      <c r="F153" s="79">
        <v>6058</v>
      </c>
      <c r="G153" s="79">
        <v>22186</v>
      </c>
      <c r="H153" s="68">
        <f t="shared" si="15"/>
        <v>24069</v>
      </c>
      <c r="I153" s="79">
        <v>23944</v>
      </c>
      <c r="J153" s="79">
        <v>125</v>
      </c>
      <c r="K153" s="78">
        <f t="shared" si="14"/>
        <v>226341</v>
      </c>
      <c r="L153" s="79">
        <v>6058</v>
      </c>
      <c r="M153" s="79">
        <v>62223</v>
      </c>
      <c r="N153" s="79">
        <v>0</v>
      </c>
      <c r="O153" s="79">
        <v>92066</v>
      </c>
      <c r="P153" s="79">
        <v>3605</v>
      </c>
      <c r="Q153" s="79">
        <v>62389</v>
      </c>
      <c r="R153" s="81"/>
      <c r="S153" s="80"/>
      <c r="T153" s="80"/>
      <c r="V153" s="81"/>
      <c r="X153" s="74"/>
    </row>
    <row r="154" spans="1:24" ht="12.75" x14ac:dyDescent="0.2">
      <c r="A154" s="75">
        <v>145</v>
      </c>
      <c r="B154" s="83" t="s">
        <v>11</v>
      </c>
      <c r="C154" s="98" t="s">
        <v>8</v>
      </c>
      <c r="D154" s="78">
        <f t="shared" si="12"/>
        <v>3026</v>
      </c>
      <c r="E154" s="78">
        <f t="shared" si="13"/>
        <v>0</v>
      </c>
      <c r="F154" s="79">
        <v>0</v>
      </c>
      <c r="G154" s="79">
        <v>0</v>
      </c>
      <c r="H154" s="68">
        <f t="shared" si="15"/>
        <v>0</v>
      </c>
      <c r="I154" s="79">
        <v>0</v>
      </c>
      <c r="J154" s="79">
        <v>0</v>
      </c>
      <c r="K154" s="78">
        <f t="shared" si="14"/>
        <v>3026</v>
      </c>
      <c r="L154" s="79">
        <v>0</v>
      </c>
      <c r="M154" s="79">
        <v>0</v>
      </c>
      <c r="N154" s="79">
        <v>0</v>
      </c>
      <c r="O154" s="79">
        <v>3026</v>
      </c>
      <c r="P154" s="79">
        <v>0</v>
      </c>
      <c r="Q154" s="79">
        <v>0</v>
      </c>
      <c r="R154" s="81"/>
      <c r="S154" s="80"/>
      <c r="T154" s="80"/>
      <c r="V154" s="81"/>
      <c r="X154" s="74"/>
    </row>
    <row r="155" spans="1:24" ht="12.75" x14ac:dyDescent="0.2">
      <c r="A155" s="75">
        <v>146</v>
      </c>
      <c r="B155" s="76" t="s">
        <v>200</v>
      </c>
      <c r="C155" s="105" t="s">
        <v>201</v>
      </c>
      <c r="D155" s="78">
        <f t="shared" si="12"/>
        <v>12716</v>
      </c>
      <c r="E155" s="78">
        <f t="shared" si="13"/>
        <v>0</v>
      </c>
      <c r="F155" s="79">
        <v>0</v>
      </c>
      <c r="G155" s="79">
        <v>0</v>
      </c>
      <c r="H155" s="68">
        <f t="shared" si="15"/>
        <v>0</v>
      </c>
      <c r="I155" s="79">
        <v>0</v>
      </c>
      <c r="J155" s="79">
        <v>0</v>
      </c>
      <c r="K155" s="78">
        <f t="shared" si="14"/>
        <v>12716</v>
      </c>
      <c r="L155" s="79">
        <v>0</v>
      </c>
      <c r="M155" s="79">
        <v>0</v>
      </c>
      <c r="N155" s="79">
        <v>0</v>
      </c>
      <c r="O155" s="79">
        <v>12716</v>
      </c>
      <c r="P155" s="79">
        <v>0</v>
      </c>
      <c r="Q155" s="79">
        <v>0</v>
      </c>
      <c r="R155" s="81"/>
      <c r="S155" s="80"/>
      <c r="T155" s="80"/>
      <c r="V155" s="81"/>
      <c r="X155" s="74"/>
    </row>
    <row r="156" spans="1:24" x14ac:dyDescent="0.2">
      <c r="A156" s="75">
        <v>147</v>
      </c>
      <c r="B156" s="85" t="s">
        <v>202</v>
      </c>
      <c r="C156" s="82" t="s">
        <v>451</v>
      </c>
      <c r="D156" s="78">
        <f t="shared" si="12"/>
        <v>0</v>
      </c>
      <c r="E156" s="78">
        <f t="shared" si="13"/>
        <v>0</v>
      </c>
      <c r="F156" s="79">
        <v>0</v>
      </c>
      <c r="G156" s="79">
        <v>0</v>
      </c>
      <c r="H156" s="68">
        <f t="shared" si="15"/>
        <v>0</v>
      </c>
      <c r="I156" s="79">
        <v>0</v>
      </c>
      <c r="J156" s="79">
        <v>0</v>
      </c>
      <c r="K156" s="78">
        <f t="shared" si="14"/>
        <v>0</v>
      </c>
      <c r="L156" s="79">
        <v>0</v>
      </c>
      <c r="M156" s="79">
        <v>0</v>
      </c>
      <c r="N156" s="79">
        <v>0</v>
      </c>
      <c r="O156" s="79">
        <v>0</v>
      </c>
      <c r="P156" s="79">
        <v>0</v>
      </c>
      <c r="Q156" s="79">
        <v>0</v>
      </c>
      <c r="R156" s="81"/>
      <c r="S156" s="80"/>
      <c r="T156" s="80"/>
      <c r="V156" s="81"/>
      <c r="X156" s="74"/>
    </row>
    <row r="157" spans="1:24" ht="12.75" x14ac:dyDescent="0.2">
      <c r="A157" s="75">
        <v>148</v>
      </c>
      <c r="B157" s="107" t="s">
        <v>348</v>
      </c>
      <c r="C157" s="108" t="s">
        <v>349</v>
      </c>
      <c r="D157" s="78">
        <f t="shared" si="12"/>
        <v>0</v>
      </c>
      <c r="E157" s="78">
        <f t="shared" si="13"/>
        <v>0</v>
      </c>
      <c r="F157" s="79">
        <v>0</v>
      </c>
      <c r="G157" s="79">
        <v>0</v>
      </c>
      <c r="H157" s="68">
        <f t="shared" si="15"/>
        <v>0</v>
      </c>
      <c r="I157" s="79">
        <v>0</v>
      </c>
      <c r="J157" s="79">
        <v>0</v>
      </c>
      <c r="K157" s="78">
        <f t="shared" si="14"/>
        <v>0</v>
      </c>
      <c r="L157" s="79">
        <v>0</v>
      </c>
      <c r="M157" s="79">
        <v>0</v>
      </c>
      <c r="N157" s="79">
        <v>0</v>
      </c>
      <c r="O157" s="79">
        <v>0</v>
      </c>
      <c r="P157" s="79">
        <v>0</v>
      </c>
      <c r="Q157" s="79">
        <v>0</v>
      </c>
      <c r="R157" s="81"/>
      <c r="S157" s="80"/>
      <c r="T157" s="80"/>
      <c r="V157" s="81"/>
      <c r="X157" s="74"/>
    </row>
    <row r="158" spans="1:24" x14ac:dyDescent="0.2"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>
        <v>0</v>
      </c>
      <c r="O158" s="109"/>
      <c r="P158" s="109"/>
      <c r="Q158" s="109"/>
    </row>
    <row r="162" spans="4:17" x14ac:dyDescent="0.2"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</row>
  </sheetData>
  <mergeCells count="18">
    <mergeCell ref="A8:C8"/>
    <mergeCell ref="A9:C9"/>
    <mergeCell ref="F4:G4"/>
    <mergeCell ref="H4:H5"/>
    <mergeCell ref="I4:J4"/>
    <mergeCell ref="K4:K5"/>
    <mergeCell ref="L4:Q4"/>
    <mergeCell ref="A7:C7"/>
    <mergeCell ref="A1:Q1"/>
    <mergeCell ref="A2:A5"/>
    <mergeCell ref="B2:B5"/>
    <mergeCell ref="C2:C5"/>
    <mergeCell ref="D2:D5"/>
    <mergeCell ref="E2:Q2"/>
    <mergeCell ref="E3:G3"/>
    <mergeCell ref="H3:J3"/>
    <mergeCell ref="K3:Q3"/>
    <mergeCell ref="E4:E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13</vt:i4>
      </vt:variant>
    </vt:vector>
  </HeadingPairs>
  <TitlesOfParts>
    <vt:vector size="30" baseType="lpstr">
      <vt:lpstr>КС Пр. 19-21</vt:lpstr>
      <vt:lpstr>ВМП КС Пр. 19-21</vt:lpstr>
      <vt:lpstr>ДС (пр.19-21)</vt:lpstr>
      <vt:lpstr>РД, Луч, ПЭТ, УЗИскр Пр.19-21</vt:lpstr>
      <vt:lpstr>ЭИ, ПАИ, МГИ Пр.19-21</vt:lpstr>
      <vt:lpstr>КТ. МРТ Пр.19-21</vt:lpstr>
      <vt:lpstr>Неотложка Пр.19</vt:lpstr>
      <vt:lpstr>Обращения Пр.19</vt:lpstr>
      <vt:lpstr>Профик.свод Пр.19-21</vt:lpstr>
      <vt:lpstr>Проф.диспан.набл.Пр.19-21 </vt:lpstr>
      <vt:lpstr>Проф.раз.пос.по заб.Пр.19-21</vt:lpstr>
      <vt:lpstr>Проф.пос.СМП Пр.19-21</vt:lpstr>
      <vt:lpstr>Проф.пос.с др.целями Пр.19-21</vt:lpstr>
      <vt:lpstr>Проф.стомат.раз.пос.Пр.19-21</vt:lpstr>
      <vt:lpstr>Проф.стомат СМП.Пр.19-21</vt:lpstr>
      <vt:lpstr>гемодиализ</vt:lpstr>
      <vt:lpstr>СМП на 2021 год БП</vt:lpstr>
      <vt:lpstr>'ДС (пр.19-21)'!Заголовки_для_печати</vt:lpstr>
      <vt:lpstr>'Неотложка Пр.19'!Заголовки_для_печати</vt:lpstr>
      <vt:lpstr>'Обращения Пр.19'!Заголовки_для_печати</vt:lpstr>
      <vt:lpstr>'Проф.диспан.набл.Пр.19-21 '!Заголовки_для_печати</vt:lpstr>
      <vt:lpstr>'Проф.пос.с др.целями Пр.19-21'!Заголовки_для_печати</vt:lpstr>
      <vt:lpstr>'Проф.пос.СМП Пр.19-21'!Заголовки_для_печати</vt:lpstr>
      <vt:lpstr>'Проф.раз.пос.по заб.Пр.19-21'!Заголовки_для_печати</vt:lpstr>
      <vt:lpstr>'Проф.стомат СМП.Пр.19-21'!Заголовки_для_печати</vt:lpstr>
      <vt:lpstr>'Проф.стомат.раз.пос.Пр.19-21'!Заголовки_для_печати</vt:lpstr>
      <vt:lpstr>'Профик.свод Пр.19-21'!Заголовки_для_печати</vt:lpstr>
      <vt:lpstr>'Неотложка Пр.19'!Область_печати</vt:lpstr>
      <vt:lpstr>'Обращения Пр.19'!Область_печати</vt:lpstr>
      <vt:lpstr>'ЭИ, ПАИ, МГИ Пр.19-21'!Область_печати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2022-01-13T03:36:22Z</dcterms:modified>
</cp:coreProperties>
</file>