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180" windowWidth="19440" windowHeight="12465" tabRatio="844"/>
  </bookViews>
  <sheets>
    <sheet name="КС" sheetId="76" r:id="rId1"/>
    <sheet name="ВМП КС " sheetId="75" r:id="rId2"/>
    <sheet name="ДС" sheetId="73" r:id="rId3"/>
    <sheet name="Обращения" sheetId="60" r:id="rId4"/>
    <sheet name="Неотложка" sheetId="61" r:id="rId5"/>
    <sheet name="КТ, МРТ" sheetId="55" r:id="rId6"/>
    <sheet name="УЗИссс" sheetId="56" r:id="rId7"/>
    <sheet name="ЭИ,ПАИ,МГИ" sheetId="58" r:id="rId8"/>
    <sheet name="COVID" sheetId="57" r:id="rId9"/>
    <sheet name="РД,ЛУЧ,ПЭТ,УЗИскрин" sheetId="59" r:id="rId10"/>
    <sheet name="Профил.свод Пр.10-21" sheetId="64" r:id="rId11"/>
    <sheet name="Проф.диспан набл.Пр.10-21" sheetId="65" r:id="rId12"/>
    <sheet name="Разов.посеш.по забол.Пр.10-21" sheetId="67" r:id="rId13"/>
    <sheet name="Проф.посещения СМП Пр.10-21" sheetId="66" r:id="rId14"/>
    <sheet name="Проф.посещ.с др.цел. Пр.10-21 " sheetId="68" r:id="rId15"/>
    <sheet name="Проф.стомат.раз.пос. Пр.10-21" sheetId="69" r:id="rId16"/>
    <sheet name="Проф.стомат.пос.СМП Пр.10-21" sheetId="70" r:id="rId17"/>
    <sheet name="Центры здоровья Пр.10-21" sheetId="72" r:id="rId18"/>
    <sheet name="СМП объемы пр 10-21 " sheetId="74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xlnm.Print_Area_2" localSheetId="5">#REF!</definedName>
    <definedName name="__xlnm.Print_Area_2" localSheetId="4">#REF!</definedName>
    <definedName name="__xlnm.Print_Area_2" localSheetId="3">#REF!</definedName>
    <definedName name="__xlnm.Print_Area_2" localSheetId="11">#REF!</definedName>
    <definedName name="__xlnm.Print_Area_2" localSheetId="14">#REF!</definedName>
    <definedName name="__xlnm.Print_Area_2" localSheetId="13">#REF!</definedName>
    <definedName name="__xlnm.Print_Area_2" localSheetId="16">#REF!</definedName>
    <definedName name="__xlnm.Print_Area_2" localSheetId="15">#REF!</definedName>
    <definedName name="__xlnm.Print_Area_2" localSheetId="10">#REF!</definedName>
    <definedName name="__xlnm.Print_Area_2" localSheetId="12">#REF!</definedName>
    <definedName name="__xlnm.Print_Area_2" localSheetId="9">#REF!</definedName>
    <definedName name="__xlnm.Print_Area_2" localSheetId="18">#REF!</definedName>
    <definedName name="__xlnm.Print_Area_2" localSheetId="6">#REF!</definedName>
    <definedName name="__xlnm.Print_Area_2" localSheetId="17">#REF!</definedName>
    <definedName name="__xlnm.Print_Area_2" localSheetId="7">#REF!</definedName>
    <definedName name="__xlnm.Print_Area_2">#REF!</definedName>
    <definedName name="_xlnm._FilterDatabase" localSheetId="5" hidden="1">'КТ, МРТ'!$A$7:$N$55</definedName>
    <definedName name="_xlnm._FilterDatabase" localSheetId="4" hidden="1">Неотложка!$A$5:$S$5</definedName>
    <definedName name="_xlnm._FilterDatabase" localSheetId="3" hidden="1">Обращения!$A$6:$AG$139</definedName>
    <definedName name="_xlnm._FilterDatabase" localSheetId="18" hidden="1">'СМП объемы пр 10-21 '!$A$8:$J$8</definedName>
    <definedName name="_xlnm._FilterDatabase" localSheetId="6" hidden="1">УЗИссс!$A$8:$H$87</definedName>
    <definedName name="Kbcn" localSheetId="5">#REF!</definedName>
    <definedName name="Kbcn" localSheetId="4">#REF!</definedName>
    <definedName name="Kbcn" localSheetId="3">#REF!</definedName>
    <definedName name="Kbcn" localSheetId="11">#REF!</definedName>
    <definedName name="Kbcn" localSheetId="14">#REF!</definedName>
    <definedName name="Kbcn" localSheetId="13">#REF!</definedName>
    <definedName name="Kbcn" localSheetId="16">#REF!</definedName>
    <definedName name="Kbcn" localSheetId="15">#REF!</definedName>
    <definedName name="Kbcn" localSheetId="10">#REF!</definedName>
    <definedName name="Kbcn" localSheetId="12">#REF!</definedName>
    <definedName name="Kbcn" localSheetId="9">#REF!</definedName>
    <definedName name="Kbcn" localSheetId="18">#REF!</definedName>
    <definedName name="Kbcn" localSheetId="6">#REF!</definedName>
    <definedName name="Kbcn" localSheetId="17">#REF!</definedName>
    <definedName name="Kbcn" localSheetId="7">#REF!</definedName>
    <definedName name="Kbcn">#REF!</definedName>
    <definedName name="Neot_17" localSheetId="5">#REF!</definedName>
    <definedName name="Neot_17" localSheetId="4">#REF!</definedName>
    <definedName name="Neot_17" localSheetId="3">#REF!</definedName>
    <definedName name="Neot_17" localSheetId="11">#REF!</definedName>
    <definedName name="Neot_17" localSheetId="14">#REF!</definedName>
    <definedName name="Neot_17" localSheetId="13">#REF!</definedName>
    <definedName name="Neot_17" localSheetId="16">#REF!</definedName>
    <definedName name="Neot_17" localSheetId="15">#REF!</definedName>
    <definedName name="Neot_17" localSheetId="10">#REF!</definedName>
    <definedName name="Neot_17" localSheetId="12">#REF!</definedName>
    <definedName name="Neot_17" localSheetId="9">#REF!</definedName>
    <definedName name="Neot_17" localSheetId="18">#REF!</definedName>
    <definedName name="Neot_17" localSheetId="6">#REF!</definedName>
    <definedName name="Neot_17" localSheetId="17">#REF!</definedName>
    <definedName name="Neot_17">#REF!</definedName>
    <definedName name="res2_range" localSheetId="5">#REF!</definedName>
    <definedName name="res2_range" localSheetId="4">#REF!</definedName>
    <definedName name="res2_range" localSheetId="3">#REF!</definedName>
    <definedName name="res2_range" localSheetId="11">#REF!</definedName>
    <definedName name="res2_range" localSheetId="14">#REF!</definedName>
    <definedName name="res2_range" localSheetId="13">#REF!</definedName>
    <definedName name="res2_range" localSheetId="16">#REF!</definedName>
    <definedName name="res2_range" localSheetId="15">#REF!</definedName>
    <definedName name="res2_range" localSheetId="10">#REF!</definedName>
    <definedName name="res2_range" localSheetId="12">#REF!</definedName>
    <definedName name="res2_range" localSheetId="9">#REF!</definedName>
    <definedName name="res2_range" localSheetId="18">#REF!</definedName>
    <definedName name="res2_range" localSheetId="6">#REF!</definedName>
    <definedName name="res2_range" localSheetId="17">#REF!</definedName>
    <definedName name="res2_range">#REF!</definedName>
    <definedName name="Tg_CZ" localSheetId="5">#REF!</definedName>
    <definedName name="Tg_CZ" localSheetId="4">#REF!</definedName>
    <definedName name="Tg_CZ" localSheetId="3">#REF!</definedName>
    <definedName name="Tg_CZ" localSheetId="11">#REF!</definedName>
    <definedName name="Tg_CZ" localSheetId="14">#REF!</definedName>
    <definedName name="Tg_CZ" localSheetId="13">#REF!</definedName>
    <definedName name="Tg_CZ" localSheetId="16">#REF!</definedName>
    <definedName name="Tg_CZ" localSheetId="15">#REF!</definedName>
    <definedName name="Tg_CZ" localSheetId="10">#REF!</definedName>
    <definedName name="Tg_CZ" localSheetId="12">#REF!</definedName>
    <definedName name="Tg_CZ" localSheetId="9">#REF!</definedName>
    <definedName name="Tg_CZ" localSheetId="18">#REF!</definedName>
    <definedName name="Tg_CZ" localSheetId="6">#REF!</definedName>
    <definedName name="Tg_CZ" localSheetId="17">#REF!</definedName>
    <definedName name="Tg_CZ">#REF!</definedName>
    <definedName name="Tg_Disp" localSheetId="5">#REF!</definedName>
    <definedName name="Tg_Disp" localSheetId="4">#REF!</definedName>
    <definedName name="Tg_Disp" localSheetId="3">#REF!</definedName>
    <definedName name="Tg_Disp" localSheetId="11">#REF!</definedName>
    <definedName name="Tg_Disp" localSheetId="14">#REF!</definedName>
    <definedName name="Tg_Disp" localSheetId="13">#REF!</definedName>
    <definedName name="Tg_Disp" localSheetId="16">#REF!</definedName>
    <definedName name="Tg_Disp" localSheetId="15">#REF!</definedName>
    <definedName name="Tg_Disp" localSheetId="10">#REF!</definedName>
    <definedName name="Tg_Disp" localSheetId="12">#REF!</definedName>
    <definedName name="Tg_Disp" localSheetId="9">#REF!</definedName>
    <definedName name="Tg_Disp" localSheetId="18">#REF!</definedName>
    <definedName name="Tg_Disp" localSheetId="6">#REF!</definedName>
    <definedName name="Tg_Disp" localSheetId="17">#REF!</definedName>
    <definedName name="Tg_Disp">#REF!</definedName>
    <definedName name="Tg_Geri" localSheetId="5">#REF!</definedName>
    <definedName name="Tg_Geri" localSheetId="4">#REF!</definedName>
    <definedName name="Tg_Geri" localSheetId="3">#REF!</definedName>
    <definedName name="Tg_Geri" localSheetId="11">#REF!</definedName>
    <definedName name="Tg_Geri" localSheetId="14">#REF!</definedName>
    <definedName name="Tg_Geri" localSheetId="13">#REF!</definedName>
    <definedName name="Tg_Geri" localSheetId="16">#REF!</definedName>
    <definedName name="Tg_Geri" localSheetId="15">#REF!</definedName>
    <definedName name="Tg_Geri" localSheetId="10">#REF!</definedName>
    <definedName name="Tg_Geri" localSheetId="12">#REF!</definedName>
    <definedName name="Tg_Geri" localSheetId="9">#REF!</definedName>
    <definedName name="Tg_Geri" localSheetId="18">#REF!</definedName>
    <definedName name="Tg_Geri" localSheetId="6">#REF!</definedName>
    <definedName name="Tg_Geri" localSheetId="17">#REF!</definedName>
    <definedName name="Tg_Geri">#REF!</definedName>
    <definedName name="Tg_Kons" localSheetId="5">#REF!</definedName>
    <definedName name="Tg_Kons" localSheetId="4">#REF!</definedName>
    <definedName name="Tg_Kons" localSheetId="3">#REF!</definedName>
    <definedName name="Tg_Kons" localSheetId="11">#REF!</definedName>
    <definedName name="Tg_Kons" localSheetId="14">#REF!</definedName>
    <definedName name="Tg_Kons" localSheetId="13">#REF!</definedName>
    <definedName name="Tg_Kons" localSheetId="16">#REF!</definedName>
    <definedName name="Tg_Kons" localSheetId="15">#REF!</definedName>
    <definedName name="Tg_Kons" localSheetId="10">#REF!</definedName>
    <definedName name="Tg_Kons" localSheetId="12">#REF!</definedName>
    <definedName name="Tg_Kons" localSheetId="9">#REF!</definedName>
    <definedName name="Tg_Kons" localSheetId="18">#REF!</definedName>
    <definedName name="Tg_Kons" localSheetId="6">#REF!</definedName>
    <definedName name="Tg_Kons" localSheetId="17">#REF!</definedName>
    <definedName name="Tg_Kons">#REF!</definedName>
    <definedName name="Tg_Med" localSheetId="5">#REF!</definedName>
    <definedName name="Tg_Med" localSheetId="4">#REF!</definedName>
    <definedName name="Tg_Med" localSheetId="3">#REF!</definedName>
    <definedName name="Tg_Med" localSheetId="11">#REF!</definedName>
    <definedName name="Tg_Med" localSheetId="14">#REF!</definedName>
    <definedName name="Tg_Med" localSheetId="13">#REF!</definedName>
    <definedName name="Tg_Med" localSheetId="16">#REF!</definedName>
    <definedName name="Tg_Med" localSheetId="15">#REF!</definedName>
    <definedName name="Tg_Med" localSheetId="10">#REF!</definedName>
    <definedName name="Tg_Med" localSheetId="12">#REF!</definedName>
    <definedName name="Tg_Med" localSheetId="9">#REF!</definedName>
    <definedName name="Tg_Med" localSheetId="18">#REF!</definedName>
    <definedName name="Tg_Med" localSheetId="6">#REF!</definedName>
    <definedName name="Tg_Med" localSheetId="17">#REF!</definedName>
    <definedName name="Tg_Med">#REF!</definedName>
    <definedName name="Tg_Neot" localSheetId="5">#REF!</definedName>
    <definedName name="Tg_Neot" localSheetId="4">#REF!</definedName>
    <definedName name="Tg_Neot" localSheetId="3">#REF!</definedName>
    <definedName name="Tg_Neot" localSheetId="11">#REF!</definedName>
    <definedName name="Tg_Neot" localSheetId="14">#REF!</definedName>
    <definedName name="Tg_Neot" localSheetId="13">#REF!</definedName>
    <definedName name="Tg_Neot" localSheetId="16">#REF!</definedName>
    <definedName name="Tg_Neot" localSheetId="15">#REF!</definedName>
    <definedName name="Tg_Neot" localSheetId="10">#REF!</definedName>
    <definedName name="Tg_Neot" localSheetId="12">#REF!</definedName>
    <definedName name="Tg_Neot" localSheetId="9">#REF!</definedName>
    <definedName name="Tg_Neot" localSheetId="18">#REF!</definedName>
    <definedName name="Tg_Neot" localSheetId="6">#REF!</definedName>
    <definedName name="Tg_Neot" localSheetId="17">#REF!</definedName>
    <definedName name="Tg_Neot">#REF!</definedName>
    <definedName name="Tg_Nepr" localSheetId="5">#REF!</definedName>
    <definedName name="Tg_Nepr" localSheetId="4">#REF!</definedName>
    <definedName name="Tg_Nepr" localSheetId="3">#REF!</definedName>
    <definedName name="Tg_Nepr" localSheetId="11">#REF!</definedName>
    <definedName name="Tg_Nepr" localSheetId="14">#REF!</definedName>
    <definedName name="Tg_Nepr" localSheetId="13">#REF!</definedName>
    <definedName name="Tg_Nepr" localSheetId="16">#REF!</definedName>
    <definedName name="Tg_Nepr" localSheetId="15">#REF!</definedName>
    <definedName name="Tg_Nepr" localSheetId="10">#REF!</definedName>
    <definedName name="Tg_Nepr" localSheetId="12">#REF!</definedName>
    <definedName name="Tg_Nepr" localSheetId="9">#REF!</definedName>
    <definedName name="Tg_Nepr" localSheetId="18">#REF!</definedName>
    <definedName name="Tg_Nepr" localSheetId="6">#REF!</definedName>
    <definedName name="Tg_Nepr" localSheetId="17">#REF!</definedName>
    <definedName name="Tg_Nepr">#REF!</definedName>
    <definedName name="Tg_Obr" localSheetId="5">#REF!</definedName>
    <definedName name="Tg_Obr" localSheetId="4">#REF!</definedName>
    <definedName name="Tg_Obr" localSheetId="3">#REF!</definedName>
    <definedName name="Tg_Obr" localSheetId="11">#REF!</definedName>
    <definedName name="Tg_Obr" localSheetId="14">#REF!</definedName>
    <definedName name="Tg_Obr" localSheetId="13">#REF!</definedName>
    <definedName name="Tg_Obr" localSheetId="16">#REF!</definedName>
    <definedName name="Tg_Obr" localSheetId="15">#REF!</definedName>
    <definedName name="Tg_Obr" localSheetId="10">#REF!</definedName>
    <definedName name="Tg_Obr" localSheetId="12">#REF!</definedName>
    <definedName name="Tg_Obr" localSheetId="9">#REF!</definedName>
    <definedName name="Tg_Obr" localSheetId="18">#REF!</definedName>
    <definedName name="Tg_Obr" localSheetId="6">#REF!</definedName>
    <definedName name="Tg_Obr" localSheetId="17">#REF!</definedName>
    <definedName name="Tg_Obr">#REF!</definedName>
    <definedName name="Tg_Reestr" localSheetId="5">#REF!</definedName>
    <definedName name="Tg_Reestr" localSheetId="4">#REF!</definedName>
    <definedName name="Tg_Reestr" localSheetId="3">#REF!</definedName>
    <definedName name="Tg_Reestr" localSheetId="11">#REF!</definedName>
    <definedName name="Tg_Reestr" localSheetId="14">#REF!</definedName>
    <definedName name="Tg_Reestr" localSheetId="13">#REF!</definedName>
    <definedName name="Tg_Reestr" localSheetId="16">#REF!</definedName>
    <definedName name="Tg_Reestr" localSheetId="15">#REF!</definedName>
    <definedName name="Tg_Reestr" localSheetId="10">#REF!</definedName>
    <definedName name="Tg_Reestr" localSheetId="12">#REF!</definedName>
    <definedName name="Tg_Reestr" localSheetId="9">#REF!</definedName>
    <definedName name="Tg_Reestr" localSheetId="18">#REF!</definedName>
    <definedName name="Tg_Reestr" localSheetId="6">#REF!</definedName>
    <definedName name="Tg_Reestr" localSheetId="17">#REF!</definedName>
    <definedName name="Tg_Reestr">#REF!</definedName>
    <definedName name="TgDs" localSheetId="2">#REF!</definedName>
    <definedName name="TgDs" localSheetId="4">#REF!</definedName>
    <definedName name="TgDs" localSheetId="3">#REF!</definedName>
    <definedName name="TgDs" localSheetId="11">#REF!</definedName>
    <definedName name="TgDs" localSheetId="14">#REF!</definedName>
    <definedName name="TgDs" localSheetId="13">#REF!</definedName>
    <definedName name="TgDs" localSheetId="16">#REF!</definedName>
    <definedName name="TgDs" localSheetId="15">#REF!</definedName>
    <definedName name="TgDs" localSheetId="10">#REF!</definedName>
    <definedName name="TgDs" localSheetId="12">#REF!</definedName>
    <definedName name="TgDs">#REF!</definedName>
    <definedName name="TgSMP" localSheetId="18">#REF!</definedName>
    <definedName name="TgSMP">#REF!</definedName>
    <definedName name="XLRPARAMS_ISP_FIO" localSheetId="18" hidden="1">[1]XLR_NoRangeSheet!$B$6</definedName>
    <definedName name="XLRPARAMS_ISP_FIO" hidden="1">[2]XLR_NoRangeSheet!$B$6</definedName>
    <definedName name="XLRPARAMS_MP_NAME" localSheetId="18" hidden="1">[1]XLR_NoRangeSheet!$D$6</definedName>
    <definedName name="XLRPARAMS_MP_NAME" hidden="1">[2]XLR_NoRangeSheet!$D$6</definedName>
    <definedName name="XLRPARAMS_STR_PERIOD" localSheetId="18" hidden="1">[1]XLR_NoRangeSheet!$C$6</definedName>
    <definedName name="XLRPARAMS_STR_PERIOD" hidden="1">[2]XLR_NoRangeSheet!$C$6</definedName>
    <definedName name="апп" localSheetId="4">#REF!</definedName>
    <definedName name="апп" localSheetId="3">#REF!</definedName>
    <definedName name="апп" localSheetId="11">#REF!</definedName>
    <definedName name="апп" localSheetId="14">#REF!</definedName>
    <definedName name="апп" localSheetId="13">#REF!</definedName>
    <definedName name="апп" localSheetId="16">#REF!</definedName>
    <definedName name="апп" localSheetId="15">#REF!</definedName>
    <definedName name="апп" localSheetId="10">#REF!</definedName>
    <definedName name="апп" localSheetId="12">#REF!</definedName>
    <definedName name="апп" localSheetId="7">#REF!</definedName>
    <definedName name="апп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11">#REF!</definedName>
    <definedName name="_xlnm.Database" localSheetId="14">#REF!</definedName>
    <definedName name="_xlnm.Database" localSheetId="13">#REF!</definedName>
    <definedName name="_xlnm.Database" localSheetId="16">#REF!</definedName>
    <definedName name="_xlnm.Database" localSheetId="15">#REF!</definedName>
    <definedName name="_xlnm.Database" localSheetId="10">#REF!</definedName>
    <definedName name="_xlnm.Database" localSheetId="12">#REF!</definedName>
    <definedName name="_xlnm.Database" localSheetId="9">#REF!</definedName>
    <definedName name="_xlnm.Database" localSheetId="18">#REF!</definedName>
    <definedName name="_xlnm.Database" localSheetId="6">#REF!</definedName>
    <definedName name="_xlnm.Database" localSheetId="17">#REF!</definedName>
    <definedName name="_xlnm.Database">#REF!</definedName>
    <definedName name="Д" localSheetId="5">[3]Данные!$B$1:$EF$178</definedName>
    <definedName name="Д" localSheetId="3">[4]Данные!$B$1:$EF$178</definedName>
    <definedName name="Д" localSheetId="11">[5]Данные!$B$1:$EF$178</definedName>
    <definedName name="Д" localSheetId="14">[6]Данные!$B$1:$EF$178</definedName>
    <definedName name="Д" localSheetId="13">[6]Данные!$B$1:$EF$178</definedName>
    <definedName name="Д" localSheetId="16">[6]Данные!$B$1:$EF$178</definedName>
    <definedName name="Д" localSheetId="15">[6]Данные!$B$1:$EF$178</definedName>
    <definedName name="Д" localSheetId="10">[5]Данные!$B$1:$EF$178</definedName>
    <definedName name="Д" localSheetId="12">[6]Данные!$B$1:$EF$178</definedName>
    <definedName name="Д" localSheetId="9">[3]Данные!$B$1:$EF$178</definedName>
    <definedName name="Д" localSheetId="18">[3]Данные!$B$1:$EF$178</definedName>
    <definedName name="Д" localSheetId="6">[3]Данные!$B$1:$EF$178</definedName>
    <definedName name="Д" localSheetId="17">[3]Данные!$B$1:$EF$178</definedName>
    <definedName name="Д" localSheetId="7">[7]Данные!$B$1:$EF$178</definedName>
    <definedName name="Д">[4]Данные!$B$1:$EF$178</definedName>
    <definedName name="_xlnm.Print_Titles" localSheetId="4">Неотложка!$4:$10</definedName>
    <definedName name="_xlnm.Print_Titles" localSheetId="3">Обращения!$3:$6</definedName>
    <definedName name="_xlnm.Print_Titles" localSheetId="11">'Проф.диспан набл.Пр.10-21'!$2:$7</definedName>
    <definedName name="_xlnm.Print_Titles" localSheetId="14">'Проф.посещ.с др.цел. Пр.10-21 '!$2:$7</definedName>
    <definedName name="_xlnm.Print_Titles" localSheetId="13">'Проф.посещения СМП Пр.10-21'!$2:$7</definedName>
    <definedName name="_xlnm.Print_Titles" localSheetId="16">'Проф.стомат.пос.СМП Пр.10-21'!$2:$7</definedName>
    <definedName name="_xlnm.Print_Titles" localSheetId="15">'Проф.стомат.раз.пос. Пр.10-21'!$2:$7</definedName>
    <definedName name="_xlnm.Print_Titles" localSheetId="10">'Профил.свод Пр.10-21'!$2:$6</definedName>
    <definedName name="_xlnm.Print_Titles" localSheetId="12">'Разов.посеш.по забол.Пр.10-21'!$2:$7</definedName>
    <definedName name="_xlnm.Print_Titles" localSheetId="18">'СМП объемы пр 10-21 '!$4:$8</definedName>
    <definedName name="ЗД" localSheetId="5">[3]Данные!$BY$3:$DB$3</definedName>
    <definedName name="ЗД" localSheetId="3">[4]Данные!$BY$3:$DB$3</definedName>
    <definedName name="ЗД" localSheetId="11">[5]Данные!$BY$3:$DB$3</definedName>
    <definedName name="ЗД" localSheetId="14">[6]Данные!$BY$3:$DB$3</definedName>
    <definedName name="ЗД" localSheetId="13">[6]Данные!$BY$3:$DB$3</definedName>
    <definedName name="ЗД" localSheetId="16">[6]Данные!$BY$3:$DB$3</definedName>
    <definedName name="ЗД" localSheetId="15">[6]Данные!$BY$3:$DB$3</definedName>
    <definedName name="ЗД" localSheetId="10">[5]Данные!$BY$3:$DB$3</definedName>
    <definedName name="ЗД" localSheetId="12">[6]Данные!$BY$3:$DB$3</definedName>
    <definedName name="ЗД" localSheetId="9">[3]Данные!$BY$3:$DB$3</definedName>
    <definedName name="ЗД" localSheetId="18">[3]Данные!$BY$3:$DB$3</definedName>
    <definedName name="ЗД" localSheetId="6">[3]Данные!$BY$3:$DB$3</definedName>
    <definedName name="ЗД" localSheetId="17">[3]Данные!$BY$3:$DB$3</definedName>
    <definedName name="ЗД" localSheetId="7">[7]Данные!$BY$3:$DB$3</definedName>
    <definedName name="ЗД">[4]Данные!$BY$3:$DB$3</definedName>
    <definedName name="мирир" localSheetId="4">#REF!</definedName>
    <definedName name="мирир" localSheetId="3">#REF!</definedName>
    <definedName name="мирир" localSheetId="11">#REF!</definedName>
    <definedName name="мирир" localSheetId="14">#REF!</definedName>
    <definedName name="мирир" localSheetId="13">#REF!</definedName>
    <definedName name="мирир" localSheetId="16">#REF!</definedName>
    <definedName name="мирир" localSheetId="15">#REF!</definedName>
    <definedName name="мирир" localSheetId="10">#REF!</definedName>
    <definedName name="мирир" localSheetId="12">#REF!</definedName>
    <definedName name="мирир" localSheetId="7">#REF!</definedName>
    <definedName name="мирир">#REF!</definedName>
    <definedName name="_xlnm.Print_Area" localSheetId="4">Неотложка!$A$1:$Q$112</definedName>
    <definedName name="_xlnm.Print_Area" localSheetId="3">Обращения!$A$1:$AG$139</definedName>
    <definedName name="_xlnm.Print_Area" localSheetId="7">'ЭИ,ПАИ,МГИ'!$A$1:$Y$102</definedName>
    <definedName name="ппорь" localSheetId="5">#REF!</definedName>
    <definedName name="ппорь" localSheetId="4">#REF!</definedName>
    <definedName name="ппорь" localSheetId="3">#REF!</definedName>
    <definedName name="ппорь" localSheetId="11">#REF!</definedName>
    <definedName name="ппорь" localSheetId="14">#REF!</definedName>
    <definedName name="ппорь" localSheetId="13">#REF!</definedName>
    <definedName name="ппорь" localSheetId="16">#REF!</definedName>
    <definedName name="ппорь" localSheetId="15">#REF!</definedName>
    <definedName name="ппорь" localSheetId="10">#REF!</definedName>
    <definedName name="ппорь" localSheetId="12">#REF!</definedName>
    <definedName name="ппорь" localSheetId="9">#REF!</definedName>
    <definedName name="ппорь" localSheetId="18">#REF!</definedName>
    <definedName name="ппорь" localSheetId="6">#REF!</definedName>
    <definedName name="ппорь" localSheetId="17">#REF!</definedName>
    <definedName name="ппорь" localSheetId="7">#REF!</definedName>
    <definedName name="ппорь">#REF!</definedName>
    <definedName name="смп" localSheetId="4">#REF!</definedName>
    <definedName name="смп" localSheetId="3">#REF!</definedName>
    <definedName name="смп" localSheetId="11">#REF!</definedName>
    <definedName name="смп" localSheetId="14">#REF!</definedName>
    <definedName name="смп" localSheetId="13">#REF!</definedName>
    <definedName name="смп" localSheetId="16">#REF!</definedName>
    <definedName name="смп" localSheetId="15">#REF!</definedName>
    <definedName name="смп" localSheetId="10">#REF!</definedName>
    <definedName name="смп" localSheetId="12">#REF!</definedName>
    <definedName name="смп" localSheetId="9">#REF!</definedName>
    <definedName name="смп" localSheetId="18">#REF!</definedName>
    <definedName name="смп" localSheetId="17">#REF!</definedName>
    <definedName name="смп">#REF!</definedName>
    <definedName name="стер" localSheetId="4">#REF!</definedName>
    <definedName name="стер" localSheetId="3">#REF!</definedName>
    <definedName name="стер" localSheetId="16">#REF!</definedName>
    <definedName name="стер" localSheetId="15">#REF!</definedName>
    <definedName name="стер">#REF!</definedName>
    <definedName name="ттттт" localSheetId="4">#REF!</definedName>
    <definedName name="ттттт" localSheetId="3">#REF!</definedName>
    <definedName name="ттттт" localSheetId="11">#REF!</definedName>
    <definedName name="ттттт" localSheetId="14">#REF!</definedName>
    <definedName name="ттттт" localSheetId="13">#REF!</definedName>
    <definedName name="ттттт" localSheetId="16">#REF!</definedName>
    <definedName name="ттттт" localSheetId="15">#REF!</definedName>
    <definedName name="ттттт" localSheetId="10">#REF!</definedName>
    <definedName name="ттттт" localSheetId="12">#REF!</definedName>
    <definedName name="ттттт">#REF!</definedName>
    <definedName name="ФЗ" localSheetId="5">[3]Данные!$DC$3:$EF$3</definedName>
    <definedName name="ФЗ" localSheetId="3">[4]Данные!$DC$3:$EF$3</definedName>
    <definedName name="ФЗ" localSheetId="11">[5]Данные!$DC$3:$EF$3</definedName>
    <definedName name="ФЗ" localSheetId="14">[6]Данные!$DC$3:$EF$3</definedName>
    <definedName name="ФЗ" localSheetId="13">[6]Данные!$DC$3:$EF$3</definedName>
    <definedName name="ФЗ" localSheetId="16">[6]Данные!$DC$3:$EF$3</definedName>
    <definedName name="ФЗ" localSheetId="15">[6]Данные!$DC$3:$EF$3</definedName>
    <definedName name="ФЗ" localSheetId="10">[5]Данные!$DC$3:$EF$3</definedName>
    <definedName name="ФЗ" localSheetId="12">[6]Данные!$DC$3:$EF$3</definedName>
    <definedName name="ФЗ" localSheetId="9">[3]Данные!$DC$3:$EF$3</definedName>
    <definedName name="ФЗ" localSheetId="18">[3]Данные!$DC$3:$EF$3</definedName>
    <definedName name="ФЗ" localSheetId="6">[3]Данные!$DC$3:$EF$3</definedName>
    <definedName name="ФЗ" localSheetId="17">[3]Данные!$DC$3:$EF$3</definedName>
    <definedName name="ФЗ" localSheetId="7">[7]Данные!$DC$3:$EF$3</definedName>
    <definedName name="ФЗ">[4]Данные!$DC$3:$EF$3</definedName>
    <definedName name="Шт" localSheetId="5">[3]Данные!$AU$3:$BX$3</definedName>
    <definedName name="Шт" localSheetId="3">[4]Данные!$AU$3:$BX$3</definedName>
    <definedName name="Шт" localSheetId="11">[5]Данные!$AU$3:$BX$3</definedName>
    <definedName name="Шт" localSheetId="14">[6]Данные!$AU$3:$BX$3</definedName>
    <definedName name="Шт" localSheetId="13">[6]Данные!$AU$3:$BX$3</definedName>
    <definedName name="Шт" localSheetId="16">[6]Данные!$AU$3:$BX$3</definedName>
    <definedName name="Шт" localSheetId="15">[6]Данные!$AU$3:$BX$3</definedName>
    <definedName name="Шт" localSheetId="10">[5]Данные!$AU$3:$BX$3</definedName>
    <definedName name="Шт" localSheetId="12">[6]Данные!$AU$3:$BX$3</definedName>
    <definedName name="Шт" localSheetId="9">[3]Данные!$AU$3:$BX$3</definedName>
    <definedName name="Шт" localSheetId="18">[3]Данные!$AU$3:$BX$3</definedName>
    <definedName name="Шт" localSheetId="6">[3]Данные!$AU$3:$BX$3</definedName>
    <definedName name="Шт" localSheetId="17">[3]Данные!$AU$3:$BX$3</definedName>
    <definedName name="Шт" localSheetId="7">[7]Данные!$AU$3:$BX$3</definedName>
    <definedName name="Шт">[4]Данные!$AU$3:$BX$3</definedName>
    <definedName name="ЭКО" localSheetId="5">#REF!</definedName>
    <definedName name="ЭКО" localSheetId="4">#REF!</definedName>
    <definedName name="ЭКО" localSheetId="3">#REF!</definedName>
    <definedName name="ЭКО" localSheetId="11">#REF!</definedName>
    <definedName name="ЭКО" localSheetId="14">#REF!</definedName>
    <definedName name="ЭКО" localSheetId="13">#REF!</definedName>
    <definedName name="ЭКО" localSheetId="16">#REF!</definedName>
    <definedName name="ЭКО" localSheetId="15">#REF!</definedName>
    <definedName name="ЭКО" localSheetId="10">#REF!</definedName>
    <definedName name="ЭКО" localSheetId="12">#REF!</definedName>
    <definedName name="ЭКО" localSheetId="9">#REF!</definedName>
    <definedName name="ЭКО" localSheetId="18">#REF!</definedName>
    <definedName name="ЭКО" localSheetId="6">#REF!</definedName>
    <definedName name="ЭКО" localSheetId="17">#REF!</definedName>
    <definedName name="ЭКО" localSheetId="7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81" i="75" l="1"/>
  <c r="AD80" i="75"/>
  <c r="AF80" i="75" s="1"/>
  <c r="AE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D78" i="75"/>
  <c r="AF78" i="75" s="1"/>
  <c r="AE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B76" i="75"/>
  <c r="AD76" i="75" s="1"/>
  <c r="AF76" i="75" s="1"/>
  <c r="B75" i="75"/>
  <c r="AD75" i="75" s="1"/>
  <c r="AE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AD73" i="75"/>
  <c r="AF73" i="75" s="1"/>
  <c r="Q72" i="75"/>
  <c r="B72" i="75"/>
  <c r="Q71" i="75"/>
  <c r="AD71" i="75" s="1"/>
  <c r="AF71" i="75" s="1"/>
  <c r="Y70" i="75"/>
  <c r="W70" i="75"/>
  <c r="J70" i="75"/>
  <c r="I70" i="75"/>
  <c r="E70" i="75"/>
  <c r="B70" i="75"/>
  <c r="W69" i="75"/>
  <c r="P69" i="75"/>
  <c r="I69" i="75"/>
  <c r="AE68" i="75"/>
  <c r="AC68" i="75"/>
  <c r="AB68" i="75"/>
  <c r="AA68" i="75"/>
  <c r="Z68" i="75"/>
  <c r="X68" i="75"/>
  <c r="V68" i="75"/>
  <c r="U68" i="75"/>
  <c r="T68" i="75"/>
  <c r="S68" i="75"/>
  <c r="R68" i="75"/>
  <c r="O68" i="75"/>
  <c r="N68" i="75"/>
  <c r="M68" i="75"/>
  <c r="L68" i="75"/>
  <c r="K68" i="75"/>
  <c r="H68" i="75"/>
  <c r="G68" i="75"/>
  <c r="F68" i="75"/>
  <c r="D68" i="75"/>
  <c r="C68" i="75"/>
  <c r="AD67" i="75"/>
  <c r="AF67" i="75" s="1"/>
  <c r="E66" i="75"/>
  <c r="AD66" i="75" s="1"/>
  <c r="AE65" i="75"/>
  <c r="AC65" i="75"/>
  <c r="AB65" i="75"/>
  <c r="AA65" i="75"/>
  <c r="Z65" i="75"/>
  <c r="Y65" i="75"/>
  <c r="X65" i="75"/>
  <c r="W65" i="75"/>
  <c r="V65" i="75"/>
  <c r="U65" i="75"/>
  <c r="T65" i="75"/>
  <c r="S65" i="75"/>
  <c r="R65" i="75"/>
  <c r="Q65" i="75"/>
  <c r="P65" i="75"/>
  <c r="O65" i="75"/>
  <c r="N65" i="75"/>
  <c r="M65" i="75"/>
  <c r="L65" i="75"/>
  <c r="K65" i="75"/>
  <c r="J65" i="75"/>
  <c r="I65" i="75"/>
  <c r="H65" i="75"/>
  <c r="G65" i="75"/>
  <c r="F65" i="75"/>
  <c r="D65" i="75"/>
  <c r="C65" i="75"/>
  <c r="B65" i="75"/>
  <c r="D64" i="75"/>
  <c r="AC63" i="75"/>
  <c r="Q63" i="75"/>
  <c r="D63" i="75"/>
  <c r="D62" i="75"/>
  <c r="AD62" i="75" s="1"/>
  <c r="AF62" i="75" s="1"/>
  <c r="Q61" i="75"/>
  <c r="AC60" i="75"/>
  <c r="I60" i="75"/>
  <c r="D60" i="75"/>
  <c r="AE59" i="75"/>
  <c r="AC59" i="75"/>
  <c r="Z59" i="75"/>
  <c r="Q59" i="75"/>
  <c r="I59" i="75"/>
  <c r="D59" i="75"/>
  <c r="AE58" i="75"/>
  <c r="Z58" i="75"/>
  <c r="Q58" i="75"/>
  <c r="I58" i="75"/>
  <c r="D58" i="75"/>
  <c r="AE57" i="75"/>
  <c r="AC57" i="75"/>
  <c r="Z57" i="75"/>
  <c r="T57" i="75"/>
  <c r="I57" i="75"/>
  <c r="AE56" i="75"/>
  <c r="AC56" i="75"/>
  <c r="Z56" i="75"/>
  <c r="Q56" i="75"/>
  <c r="I56" i="75"/>
  <c r="D56" i="75"/>
  <c r="AE55" i="75"/>
  <c r="AC55" i="75"/>
  <c r="Z55" i="75"/>
  <c r="Y55" i="75"/>
  <c r="T55" i="75"/>
  <c r="Q55" i="75"/>
  <c r="I55" i="75"/>
  <c r="D55" i="75"/>
  <c r="AE54" i="75"/>
  <c r="AC54" i="75"/>
  <c r="Z54" i="75"/>
  <c r="Y54" i="75"/>
  <c r="T54" i="75"/>
  <c r="I54" i="75"/>
  <c r="D54" i="75"/>
  <c r="AB53" i="75"/>
  <c r="AA53" i="75"/>
  <c r="X53" i="75"/>
  <c r="W53" i="75"/>
  <c r="V53" i="75"/>
  <c r="U53" i="75"/>
  <c r="S53" i="75"/>
  <c r="R53" i="75"/>
  <c r="P53" i="75"/>
  <c r="O53" i="75"/>
  <c r="N53" i="75"/>
  <c r="M53" i="75"/>
  <c r="L53" i="75"/>
  <c r="K53" i="75"/>
  <c r="J53" i="75"/>
  <c r="H53" i="75"/>
  <c r="G53" i="75"/>
  <c r="F53" i="75"/>
  <c r="E53" i="75"/>
  <c r="C53" i="75"/>
  <c r="B53" i="75"/>
  <c r="AD52" i="75"/>
  <c r="AF52" i="75" s="1"/>
  <c r="AE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D50" i="75"/>
  <c r="AF50" i="75" s="1"/>
  <c r="AD49" i="75"/>
  <c r="AF49" i="75" s="1"/>
  <c r="E48" i="75"/>
  <c r="AD48" i="75" s="1"/>
  <c r="AD47" i="75"/>
  <c r="AF47" i="75" s="1"/>
  <c r="AE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D46" i="75"/>
  <c r="C46" i="75"/>
  <c r="B46" i="75"/>
  <c r="AD45" i="75"/>
  <c r="AF45" i="75" s="1"/>
  <c r="AD44" i="75"/>
  <c r="AF44" i="75" s="1"/>
  <c r="AE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D42" i="75"/>
  <c r="AF42" i="75" s="1"/>
  <c r="J41" i="75"/>
  <c r="AD41" i="75" s="1"/>
  <c r="AF41" i="75" s="1"/>
  <c r="E40" i="75"/>
  <c r="AE39" i="75"/>
  <c r="AC39" i="75"/>
  <c r="AB39" i="75"/>
  <c r="AA39" i="75"/>
  <c r="Z39" i="75"/>
  <c r="Y39" i="75"/>
  <c r="X39" i="75"/>
  <c r="W39" i="75"/>
  <c r="V39" i="75"/>
  <c r="U39" i="75"/>
  <c r="T39" i="75"/>
  <c r="S39" i="75"/>
  <c r="R39" i="75"/>
  <c r="Q39" i="75"/>
  <c r="P39" i="75"/>
  <c r="O39" i="75"/>
  <c r="N39" i="75"/>
  <c r="M39" i="75"/>
  <c r="L39" i="75"/>
  <c r="K39" i="75"/>
  <c r="I39" i="75"/>
  <c r="H39" i="75"/>
  <c r="G39" i="75"/>
  <c r="F39" i="75"/>
  <c r="D39" i="75"/>
  <c r="C39" i="75"/>
  <c r="B39" i="75"/>
  <c r="AD38" i="75"/>
  <c r="AF38" i="75" s="1"/>
  <c r="AD37" i="75"/>
  <c r="AF37" i="75" s="1"/>
  <c r="AD36" i="75"/>
  <c r="AD35" i="75"/>
  <c r="AF35" i="75" s="1"/>
  <c r="AD34" i="75"/>
  <c r="AF34" i="75" s="1"/>
  <c r="AD33" i="75"/>
  <c r="AF33" i="75" s="1"/>
  <c r="AE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P31" i="75"/>
  <c r="E31" i="75"/>
  <c r="AB30" i="75"/>
  <c r="R30" i="75"/>
  <c r="P30" i="75"/>
  <c r="F30" i="75"/>
  <c r="E30" i="75"/>
  <c r="B30" i="75"/>
  <c r="AE29" i="75"/>
  <c r="AC29" i="75"/>
  <c r="AA29" i="75"/>
  <c r="Z29" i="75"/>
  <c r="Y29" i="75"/>
  <c r="X29" i="75"/>
  <c r="W29" i="75"/>
  <c r="V29" i="75"/>
  <c r="U29" i="75"/>
  <c r="T29" i="75"/>
  <c r="S29" i="75"/>
  <c r="Q29" i="75"/>
  <c r="O29" i="75"/>
  <c r="N29" i="75"/>
  <c r="M29" i="75"/>
  <c r="L29" i="75"/>
  <c r="K29" i="75"/>
  <c r="J29" i="75"/>
  <c r="I29" i="75"/>
  <c r="H29" i="75"/>
  <c r="G29" i="75"/>
  <c r="D29" i="75"/>
  <c r="C29" i="75"/>
  <c r="J28" i="75"/>
  <c r="I28" i="75"/>
  <c r="Y27" i="75"/>
  <c r="P26" i="75"/>
  <c r="E26" i="75"/>
  <c r="J25" i="75"/>
  <c r="AD25" i="75" s="1"/>
  <c r="AF25" i="75" s="1"/>
  <c r="S24" i="75"/>
  <c r="S23" i="75"/>
  <c r="J23" i="75"/>
  <c r="I23" i="75"/>
  <c r="B23" i="75"/>
  <c r="B22" i="75" s="1"/>
  <c r="AE22" i="75"/>
  <c r="AC22" i="75"/>
  <c r="AB22" i="75"/>
  <c r="AA22" i="75"/>
  <c r="Z22" i="75"/>
  <c r="X22" i="75"/>
  <c r="W22" i="75"/>
  <c r="V22" i="75"/>
  <c r="U22" i="75"/>
  <c r="T22" i="75"/>
  <c r="R22" i="75"/>
  <c r="Q22" i="75"/>
  <c r="O22" i="75"/>
  <c r="N22" i="75"/>
  <c r="M22" i="75"/>
  <c r="L22" i="75"/>
  <c r="K22" i="75"/>
  <c r="H22" i="75"/>
  <c r="G22" i="75"/>
  <c r="F22" i="75"/>
  <c r="D22" i="75"/>
  <c r="C22" i="75"/>
  <c r="AD21" i="75"/>
  <c r="AF21" i="75" s="1"/>
  <c r="Y20" i="75"/>
  <c r="AE19" i="75"/>
  <c r="AC19" i="75"/>
  <c r="AB19" i="75"/>
  <c r="AA19" i="75"/>
  <c r="Z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D18" i="75"/>
  <c r="AD17" i="75" s="1"/>
  <c r="AE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E16" i="75"/>
  <c r="AD16" i="75" s="1"/>
  <c r="AE15" i="75"/>
  <c r="AC15" i="75"/>
  <c r="AB15" i="75"/>
  <c r="AA15" i="75"/>
  <c r="Z15" i="75"/>
  <c r="Y15" i="75"/>
  <c r="X15" i="75"/>
  <c r="V15" i="75"/>
  <c r="U15" i="75"/>
  <c r="T15" i="75"/>
  <c r="S15" i="75"/>
  <c r="R15" i="75"/>
  <c r="Q15" i="75"/>
  <c r="P15" i="75"/>
  <c r="O15" i="75"/>
  <c r="N15" i="75"/>
  <c r="M15" i="75"/>
  <c r="L15" i="75"/>
  <c r="K15" i="75"/>
  <c r="J15" i="75"/>
  <c r="I15" i="75"/>
  <c r="H15" i="75"/>
  <c r="G15" i="75"/>
  <c r="F15" i="75"/>
  <c r="D15" i="75"/>
  <c r="C15" i="75"/>
  <c r="B15" i="75"/>
  <c r="AD14" i="75"/>
  <c r="AF14" i="75" s="1"/>
  <c r="AD13" i="75"/>
  <c r="AF13" i="75" s="1"/>
  <c r="AE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E11" i="75"/>
  <c r="E10" i="75" s="1"/>
  <c r="AE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D10" i="75"/>
  <c r="C10" i="75"/>
  <c r="B10" i="75"/>
  <c r="Q9" i="75"/>
  <c r="E9" i="75"/>
  <c r="E7" i="75" s="1"/>
  <c r="B9" i="75"/>
  <c r="Q8" i="75"/>
  <c r="B8" i="75"/>
  <c r="AE7" i="75"/>
  <c r="AC7" i="75"/>
  <c r="AB7" i="75"/>
  <c r="AA7" i="75"/>
  <c r="Z7" i="75"/>
  <c r="Y7" i="75"/>
  <c r="X7" i="75"/>
  <c r="W7" i="75"/>
  <c r="V7" i="75"/>
  <c r="U7" i="75"/>
  <c r="T7" i="75"/>
  <c r="S7" i="75"/>
  <c r="R7" i="75"/>
  <c r="P7" i="75"/>
  <c r="O7" i="75"/>
  <c r="N7" i="75"/>
  <c r="M7" i="75"/>
  <c r="L7" i="75"/>
  <c r="K7" i="75"/>
  <c r="J7" i="75"/>
  <c r="I7" i="75"/>
  <c r="H7" i="75"/>
  <c r="G7" i="75"/>
  <c r="F7" i="75"/>
  <c r="D7" i="75"/>
  <c r="C7" i="75"/>
  <c r="B6" i="75"/>
  <c r="AD6" i="75" s="1"/>
  <c r="AD5" i="75"/>
  <c r="AF5" i="75" s="1"/>
  <c r="AE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J265" i="76"/>
  <c r="F265" i="76"/>
  <c r="E265" i="76"/>
  <c r="I265" i="76" s="1"/>
  <c r="L264" i="76"/>
  <c r="G264" i="76"/>
  <c r="I264" i="76" s="1"/>
  <c r="G263" i="76"/>
  <c r="E263" i="76"/>
  <c r="I263" i="76" s="1"/>
  <c r="L262" i="76"/>
  <c r="I262" i="76"/>
  <c r="F245" i="76"/>
  <c r="E245" i="76"/>
  <c r="L245" i="76" s="1"/>
  <c r="E244" i="76"/>
  <c r="L244" i="76" s="1"/>
  <c r="K243" i="76"/>
  <c r="J243" i="76"/>
  <c r="H243" i="76"/>
  <c r="G243" i="76"/>
  <c r="J230" i="76"/>
  <c r="J225" i="76"/>
  <c r="J223" i="76" s="1"/>
  <c r="I225" i="76"/>
  <c r="F225" i="76"/>
  <c r="E225" i="76"/>
  <c r="L224" i="76"/>
  <c r="I224" i="76"/>
  <c r="I223" i="76" s="1"/>
  <c r="G224" i="76"/>
  <c r="E224" i="76"/>
  <c r="K223" i="76"/>
  <c r="H223" i="76"/>
  <c r="G223" i="76"/>
  <c r="F223" i="76"/>
  <c r="E223" i="76"/>
  <c r="I222" i="76"/>
  <c r="I214" i="76"/>
  <c r="F202" i="76"/>
  <c r="E202" i="76"/>
  <c r="L202" i="76" s="1"/>
  <c r="F201" i="76"/>
  <c r="F200" i="76" s="1"/>
  <c r="E201" i="76"/>
  <c r="L201" i="76" s="1"/>
  <c r="K200" i="76"/>
  <c r="J200" i="76"/>
  <c r="H200" i="76"/>
  <c r="G200" i="76"/>
  <c r="E200" i="76"/>
  <c r="J199" i="76"/>
  <c r="F192" i="76"/>
  <c r="E192" i="76"/>
  <c r="G191" i="76"/>
  <c r="I191" i="76" s="1"/>
  <c r="F191" i="76"/>
  <c r="E191" i="76"/>
  <c r="L191" i="76" s="1"/>
  <c r="K190" i="76"/>
  <c r="J190" i="76"/>
  <c r="H190" i="76"/>
  <c r="I184" i="76"/>
  <c r="E184" i="76"/>
  <c r="L184" i="76" s="1"/>
  <c r="G183" i="76"/>
  <c r="E183" i="76"/>
  <c r="L183" i="76" s="1"/>
  <c r="K182" i="76"/>
  <c r="J182" i="76"/>
  <c r="H182" i="76"/>
  <c r="F182" i="76"/>
  <c r="E182" i="76"/>
  <c r="E175" i="76"/>
  <c r="L175" i="76" s="1"/>
  <c r="F174" i="76"/>
  <c r="E174" i="76"/>
  <c r="L174" i="76" s="1"/>
  <c r="K173" i="76"/>
  <c r="J173" i="76"/>
  <c r="H173" i="76"/>
  <c r="G173" i="76"/>
  <c r="F173" i="76"/>
  <c r="E173" i="76"/>
  <c r="E167" i="76"/>
  <c r="L167" i="76" s="1"/>
  <c r="I166" i="76"/>
  <c r="E166" i="76"/>
  <c r="L166" i="76" s="1"/>
  <c r="L165" i="76" s="1"/>
  <c r="K165" i="76"/>
  <c r="J165" i="76"/>
  <c r="H165" i="76"/>
  <c r="G165" i="76"/>
  <c r="F165" i="76"/>
  <c r="L161" i="76"/>
  <c r="I161" i="76"/>
  <c r="I159" i="76" s="1"/>
  <c r="L160" i="76"/>
  <c r="L159" i="76" s="1"/>
  <c r="I160" i="76"/>
  <c r="K159" i="76"/>
  <c r="J159" i="76"/>
  <c r="H159" i="76"/>
  <c r="G159" i="76"/>
  <c r="F159" i="76"/>
  <c r="E159" i="76"/>
  <c r="J149" i="76"/>
  <c r="E149" i="76"/>
  <c r="I149" i="76" s="1"/>
  <c r="L148" i="76"/>
  <c r="I148" i="76"/>
  <c r="K147" i="76"/>
  <c r="H147" i="76"/>
  <c r="G147" i="76"/>
  <c r="F147" i="76"/>
  <c r="F136" i="76"/>
  <c r="F134" i="76" s="1"/>
  <c r="E136" i="76"/>
  <c r="L136" i="76" s="1"/>
  <c r="F135" i="76"/>
  <c r="E135" i="76"/>
  <c r="L135" i="76" s="1"/>
  <c r="K134" i="76"/>
  <c r="J134" i="76"/>
  <c r="H134" i="76"/>
  <c r="G134" i="76"/>
  <c r="E132" i="76"/>
  <c r="L132" i="76" s="1"/>
  <c r="F131" i="76"/>
  <c r="E131" i="76"/>
  <c r="I131" i="76" s="1"/>
  <c r="K130" i="76"/>
  <c r="J130" i="76"/>
  <c r="H130" i="76"/>
  <c r="G130" i="76"/>
  <c r="F130" i="76"/>
  <c r="E128" i="76"/>
  <c r="I128" i="76" s="1"/>
  <c r="L127" i="76"/>
  <c r="I127" i="76"/>
  <c r="K126" i="76"/>
  <c r="J126" i="76"/>
  <c r="H126" i="76"/>
  <c r="G126" i="76"/>
  <c r="F126" i="76"/>
  <c r="E126" i="76"/>
  <c r="E125" i="76"/>
  <c r="L125" i="76" s="1"/>
  <c r="E124" i="76"/>
  <c r="I124" i="76" s="1"/>
  <c r="K123" i="76"/>
  <c r="J123" i="76"/>
  <c r="H123" i="76"/>
  <c r="G123" i="76"/>
  <c r="F123" i="76"/>
  <c r="L122" i="76"/>
  <c r="I122" i="76"/>
  <c r="F117" i="76"/>
  <c r="E117" i="76"/>
  <c r="L117" i="76" s="1"/>
  <c r="F116" i="76"/>
  <c r="F115" i="76" s="1"/>
  <c r="E116" i="76"/>
  <c r="L116" i="76" s="1"/>
  <c r="K115" i="76"/>
  <c r="J115" i="76"/>
  <c r="H115" i="76"/>
  <c r="G115" i="76"/>
  <c r="E115" i="76"/>
  <c r="L113" i="76"/>
  <c r="I113" i="76"/>
  <c r="I112" i="76"/>
  <c r="I111" i="76" s="1"/>
  <c r="E112" i="76"/>
  <c r="L112" i="76" s="1"/>
  <c r="L111" i="76" s="1"/>
  <c r="K111" i="76"/>
  <c r="J111" i="76"/>
  <c r="H111" i="76"/>
  <c r="G111" i="76"/>
  <c r="F111" i="76"/>
  <c r="L102" i="76"/>
  <c r="F102" i="76"/>
  <c r="F100" i="76" s="1"/>
  <c r="E102" i="76"/>
  <c r="E101" i="76"/>
  <c r="L101" i="76" s="1"/>
  <c r="K100" i="76"/>
  <c r="J100" i="76"/>
  <c r="H100" i="76"/>
  <c r="G100" i="76"/>
  <c r="E100" i="76"/>
  <c r="L98" i="76"/>
  <c r="I98" i="76"/>
  <c r="I97" i="76"/>
  <c r="I96" i="76" s="1"/>
  <c r="F97" i="76"/>
  <c r="E97" i="76"/>
  <c r="L97" i="76" s="1"/>
  <c r="L96" i="76" s="1"/>
  <c r="K96" i="76"/>
  <c r="J96" i="76"/>
  <c r="H96" i="76"/>
  <c r="G96" i="76"/>
  <c r="F96" i="76"/>
  <c r="E96" i="76"/>
  <c r="L93" i="76"/>
  <c r="I93" i="76"/>
  <c r="E92" i="76"/>
  <c r="L92" i="76" s="1"/>
  <c r="L90" i="76" s="1"/>
  <c r="L91" i="76"/>
  <c r="F91" i="76"/>
  <c r="E91" i="76"/>
  <c r="I91" i="76" s="1"/>
  <c r="K90" i="76"/>
  <c r="J90" i="76"/>
  <c r="H90" i="76"/>
  <c r="G90" i="76"/>
  <c r="F90" i="76"/>
  <c r="J88" i="76"/>
  <c r="J85" i="76" s="1"/>
  <c r="F87" i="76"/>
  <c r="F85" i="76" s="1"/>
  <c r="E87" i="76"/>
  <c r="L87" i="76" s="1"/>
  <c r="E86" i="76"/>
  <c r="L86" i="76" s="1"/>
  <c r="K85" i="76"/>
  <c r="H85" i="76"/>
  <c r="G85" i="76"/>
  <c r="L83" i="76"/>
  <c r="E83" i="76"/>
  <c r="I83" i="76" s="1"/>
  <c r="G82" i="76"/>
  <c r="G81" i="76" s="1"/>
  <c r="F82" i="76"/>
  <c r="F81" i="76" s="1"/>
  <c r="E82" i="76"/>
  <c r="L82" i="76" s="1"/>
  <c r="K81" i="76"/>
  <c r="J81" i="76"/>
  <c r="H81" i="76"/>
  <c r="E81" i="76"/>
  <c r="L78" i="76"/>
  <c r="E78" i="76"/>
  <c r="I78" i="76" s="1"/>
  <c r="H77" i="76"/>
  <c r="H76" i="76" s="1"/>
  <c r="H266" i="76" s="1"/>
  <c r="F77" i="76"/>
  <c r="F76" i="76" s="1"/>
  <c r="E77" i="76"/>
  <c r="L77" i="76" s="1"/>
  <c r="K76" i="76"/>
  <c r="J76" i="76"/>
  <c r="G76" i="76"/>
  <c r="E76" i="76"/>
  <c r="L71" i="76"/>
  <c r="I71" i="76"/>
  <c r="L70" i="76"/>
  <c r="I70" i="76"/>
  <c r="L69" i="76"/>
  <c r="F69" i="76"/>
  <c r="E69" i="76"/>
  <c r="I69" i="76" s="1"/>
  <c r="L68" i="76"/>
  <c r="K68" i="76"/>
  <c r="J68" i="76"/>
  <c r="H68" i="76"/>
  <c r="G68" i="76"/>
  <c r="F68" i="76"/>
  <c r="J67" i="76"/>
  <c r="E67" i="76"/>
  <c r="I67" i="76" s="1"/>
  <c r="L66" i="76"/>
  <c r="I66" i="76"/>
  <c r="L65" i="76"/>
  <c r="I65" i="76"/>
  <c r="L64" i="76"/>
  <c r="F64" i="76"/>
  <c r="E64" i="76"/>
  <c r="I64" i="76" s="1"/>
  <c r="L63" i="76"/>
  <c r="F63" i="76"/>
  <c r="E63" i="76"/>
  <c r="F62" i="76"/>
  <c r="E62" i="76"/>
  <c r="L62" i="76" s="1"/>
  <c r="F61" i="76"/>
  <c r="E61" i="76"/>
  <c r="I61" i="76" s="1"/>
  <c r="L60" i="76"/>
  <c r="F60" i="76"/>
  <c r="E60" i="76"/>
  <c r="I60" i="76" s="1"/>
  <c r="L59" i="76"/>
  <c r="F59" i="76"/>
  <c r="E59" i="76"/>
  <c r="I58" i="76"/>
  <c r="E58" i="76"/>
  <c r="L58" i="76" s="1"/>
  <c r="L57" i="76"/>
  <c r="I57" i="76"/>
  <c r="F56" i="76"/>
  <c r="E56" i="76"/>
  <c r="L56" i="76" s="1"/>
  <c r="L55" i="76"/>
  <c r="I55" i="76"/>
  <c r="L54" i="76"/>
  <c r="I54" i="76"/>
  <c r="M53" i="76"/>
  <c r="L53" i="76"/>
  <c r="I53" i="76"/>
  <c r="M52" i="76"/>
  <c r="M266" i="76" s="1"/>
  <c r="L52" i="76"/>
  <c r="I52" i="76"/>
  <c r="L51" i="76"/>
  <c r="I51" i="76"/>
  <c r="L50" i="76"/>
  <c r="H50" i="76"/>
  <c r="G50" i="76"/>
  <c r="I50" i="76" s="1"/>
  <c r="L49" i="76"/>
  <c r="I49" i="76"/>
  <c r="I48" i="76"/>
  <c r="E48" i="76"/>
  <c r="L48" i="76" s="1"/>
  <c r="E47" i="76"/>
  <c r="L47" i="76" s="1"/>
  <c r="F46" i="76"/>
  <c r="E46" i="76"/>
  <c r="L46" i="76" s="1"/>
  <c r="L45" i="76"/>
  <c r="I45" i="76"/>
  <c r="I44" i="76"/>
  <c r="F44" i="76"/>
  <c r="E44" i="76"/>
  <c r="L44" i="76" s="1"/>
  <c r="L43" i="76"/>
  <c r="I43" i="76"/>
  <c r="F42" i="76"/>
  <c r="E42" i="76"/>
  <c r="L42" i="76" s="1"/>
  <c r="L41" i="76"/>
  <c r="I41" i="76"/>
  <c r="F40" i="76"/>
  <c r="E40" i="76"/>
  <c r="L40" i="76" s="1"/>
  <c r="L39" i="76"/>
  <c r="I39" i="76"/>
  <c r="L38" i="76"/>
  <c r="I38" i="76"/>
  <c r="L37" i="76"/>
  <c r="E37" i="76"/>
  <c r="I37" i="76" s="1"/>
  <c r="L36" i="76"/>
  <c r="I36" i="76"/>
  <c r="F35" i="76"/>
  <c r="E35" i="76"/>
  <c r="I35" i="76" s="1"/>
  <c r="L34" i="76"/>
  <c r="E34" i="76"/>
  <c r="I34" i="76" s="1"/>
  <c r="L33" i="76"/>
  <c r="I33" i="76"/>
  <c r="L32" i="76"/>
  <c r="I32" i="76"/>
  <c r="L31" i="76"/>
  <c r="I31" i="76"/>
  <c r="E31" i="76"/>
  <c r="F30" i="76"/>
  <c r="E30" i="76"/>
  <c r="L30" i="76" s="1"/>
  <c r="L29" i="76"/>
  <c r="I29" i="76"/>
  <c r="L28" i="76"/>
  <c r="I28" i="76"/>
  <c r="F27" i="76"/>
  <c r="I27" i="76" s="1"/>
  <c r="E27" i="76"/>
  <c r="L27" i="76" s="1"/>
  <c r="L26" i="76"/>
  <c r="I26" i="76"/>
  <c r="L25" i="76"/>
  <c r="I25" i="76"/>
  <c r="L24" i="76"/>
  <c r="I24" i="76"/>
  <c r="L23" i="76"/>
  <c r="I23" i="76"/>
  <c r="E23" i="76"/>
  <c r="L22" i="76"/>
  <c r="I22" i="76"/>
  <c r="F22" i="76"/>
  <c r="E22" i="76"/>
  <c r="L21" i="76"/>
  <c r="I21" i="76"/>
  <c r="E21" i="76"/>
  <c r="E20" i="76"/>
  <c r="I20" i="76" s="1"/>
  <c r="L19" i="76"/>
  <c r="I19" i="76"/>
  <c r="L18" i="76"/>
  <c r="I18" i="76"/>
  <c r="F17" i="76"/>
  <c r="E17" i="76"/>
  <c r="L17" i="76" s="1"/>
  <c r="L16" i="76"/>
  <c r="I16" i="76"/>
  <c r="L15" i="76"/>
  <c r="I15" i="76"/>
  <c r="F15" i="76"/>
  <c r="E15" i="76"/>
  <c r="L14" i="76"/>
  <c r="I14" i="76"/>
  <c r="F14" i="76"/>
  <c r="E14" i="76"/>
  <c r="L13" i="76"/>
  <c r="I13" i="76"/>
  <c r="F12" i="76"/>
  <c r="E12" i="76"/>
  <c r="L12" i="76" s="1"/>
  <c r="F11" i="76"/>
  <c r="E11" i="76"/>
  <c r="L11" i="76" s="1"/>
  <c r="E10" i="76"/>
  <c r="L10" i="76" s="1"/>
  <c r="L9" i="76"/>
  <c r="I9" i="76"/>
  <c r="L8" i="76"/>
  <c r="I8" i="76"/>
  <c r="I7" i="76"/>
  <c r="E7" i="76"/>
  <c r="L7" i="76" s="1"/>
  <c r="E6" i="76"/>
  <c r="L6" i="76" s="1"/>
  <c r="E5" i="76"/>
  <c r="I5" i="76" s="1"/>
  <c r="E55" i="74"/>
  <c r="E54" i="74"/>
  <c r="E53" i="74"/>
  <c r="E52" i="74"/>
  <c r="E51" i="74"/>
  <c r="E50" i="74"/>
  <c r="E49" i="74"/>
  <c r="E48" i="74"/>
  <c r="E47" i="74"/>
  <c r="E46" i="74"/>
  <c r="E45" i="74"/>
  <c r="E44" i="74"/>
  <c r="E43" i="74"/>
  <c r="E42" i="74"/>
  <c r="E41" i="74"/>
  <c r="E40" i="74"/>
  <c r="E39" i="74"/>
  <c r="E38" i="74"/>
  <c r="E37" i="74"/>
  <c r="E36" i="74"/>
  <c r="E35" i="74"/>
  <c r="E34" i="74"/>
  <c r="E33" i="74"/>
  <c r="E32" i="74"/>
  <c r="E31" i="74"/>
  <c r="E30" i="74"/>
  <c r="E29" i="74"/>
  <c r="E28" i="74"/>
  <c r="E27" i="74"/>
  <c r="E26" i="74"/>
  <c r="E25" i="74"/>
  <c r="E24" i="74"/>
  <c r="E23" i="74"/>
  <c r="E22" i="74"/>
  <c r="E21" i="74"/>
  <c r="E20" i="74"/>
  <c r="E19" i="74"/>
  <c r="E18" i="74"/>
  <c r="E17" i="74"/>
  <c r="E16" i="74"/>
  <c r="E15" i="74"/>
  <c r="E14" i="74"/>
  <c r="E13" i="74"/>
  <c r="E12" i="74"/>
  <c r="E11" i="74" s="1"/>
  <c r="E9" i="74" s="1"/>
  <c r="J11" i="74"/>
  <c r="I11" i="74"/>
  <c r="H11" i="74"/>
  <c r="G11" i="74"/>
  <c r="G9" i="74" s="1"/>
  <c r="F11" i="74"/>
  <c r="J9" i="74"/>
  <c r="I9" i="74"/>
  <c r="H9" i="74"/>
  <c r="F9" i="74"/>
  <c r="P29" i="75" l="1"/>
  <c r="E46" i="75"/>
  <c r="AD74" i="75"/>
  <c r="W68" i="75"/>
  <c r="W82" i="75" s="1"/>
  <c r="AD31" i="75"/>
  <c r="AF31" i="75" s="1"/>
  <c r="B68" i="75"/>
  <c r="I68" i="75"/>
  <c r="E68" i="75"/>
  <c r="Q7" i="75"/>
  <c r="AF18" i="75"/>
  <c r="J39" i="75"/>
  <c r="T53" i="75"/>
  <c r="T82" i="75" s="1"/>
  <c r="E65" i="75"/>
  <c r="B74" i="75"/>
  <c r="AD63" i="75"/>
  <c r="AF63" i="75" s="1"/>
  <c r="B4" i="75"/>
  <c r="U82" i="75"/>
  <c r="R29" i="75"/>
  <c r="R82" i="75" s="1"/>
  <c r="Y53" i="75"/>
  <c r="P68" i="75"/>
  <c r="G82" i="75"/>
  <c r="J22" i="75"/>
  <c r="AD51" i="75"/>
  <c r="AD8" i="75"/>
  <c r="AF8" i="75" s="1"/>
  <c r="E39" i="75"/>
  <c r="AD64" i="75"/>
  <c r="AF64" i="75" s="1"/>
  <c r="Y68" i="75"/>
  <c r="AD9" i="75"/>
  <c r="AF9" i="75" s="1"/>
  <c r="M82" i="75"/>
  <c r="Y19" i="75"/>
  <c r="J68" i="75"/>
  <c r="AD28" i="75"/>
  <c r="AF28" i="75" s="1"/>
  <c r="I22" i="75"/>
  <c r="F29" i="75"/>
  <c r="F82" i="75" s="1"/>
  <c r="AF36" i="75"/>
  <c r="AD32" i="75"/>
  <c r="O82" i="75"/>
  <c r="B7" i="75"/>
  <c r="AB29" i="75"/>
  <c r="AB82" i="75" s="1"/>
  <c r="Q53" i="75"/>
  <c r="AF43" i="75"/>
  <c r="AF16" i="75"/>
  <c r="AD15" i="75"/>
  <c r="AD4" i="75"/>
  <c r="AF6" i="75"/>
  <c r="AF12" i="75"/>
  <c r="AD12" i="75"/>
  <c r="AD43" i="75"/>
  <c r="K82" i="75"/>
  <c r="AA82" i="75"/>
  <c r="E29" i="75"/>
  <c r="AC53" i="75"/>
  <c r="AC82" i="75" s="1"/>
  <c r="AD58" i="75"/>
  <c r="AF58" i="75" s="1"/>
  <c r="D53" i="75"/>
  <c r="D82" i="75" s="1"/>
  <c r="S22" i="75"/>
  <c r="S82" i="75" s="1"/>
  <c r="AD26" i="75"/>
  <c r="AF26" i="75" s="1"/>
  <c r="E22" i="75"/>
  <c r="C82" i="75"/>
  <c r="AD11" i="75"/>
  <c r="E15" i="75"/>
  <c r="Y22" i="75"/>
  <c r="AD27" i="75"/>
  <c r="AF27" i="75" s="1"/>
  <c r="AD30" i="75"/>
  <c r="H82" i="75"/>
  <c r="L82" i="75"/>
  <c r="N82" i="75"/>
  <c r="V82" i="75"/>
  <c r="X82" i="75"/>
  <c r="AD24" i="75"/>
  <c r="AF24" i="75" s="1"/>
  <c r="P22" i="75"/>
  <c r="B29" i="75"/>
  <c r="AD20" i="75"/>
  <c r="AD23" i="75"/>
  <c r="AD40" i="75"/>
  <c r="AF48" i="75"/>
  <c r="AD46" i="75"/>
  <c r="AD54" i="75"/>
  <c r="AE53" i="75"/>
  <c r="AE82" i="75" s="1"/>
  <c r="AD55" i="75"/>
  <c r="AF55" i="75" s="1"/>
  <c r="AD56" i="75"/>
  <c r="AF56" i="75" s="1"/>
  <c r="AD59" i="75"/>
  <c r="AF59" i="75" s="1"/>
  <c r="AD60" i="75"/>
  <c r="AF60" i="75" s="1"/>
  <c r="AD65" i="75"/>
  <c r="AF66" i="75"/>
  <c r="AF77" i="75"/>
  <c r="Z53" i="75"/>
  <c r="Z82" i="75" s="1"/>
  <c r="AD57" i="75"/>
  <c r="AF57" i="75" s="1"/>
  <c r="AD61" i="75"/>
  <c r="AF61" i="75" s="1"/>
  <c r="AD77" i="75"/>
  <c r="AF51" i="75"/>
  <c r="I53" i="75"/>
  <c r="AD69" i="75"/>
  <c r="AD70" i="75"/>
  <c r="AF70" i="75" s="1"/>
  <c r="Q68" i="75"/>
  <c r="AD72" i="75"/>
  <c r="AF72" i="75" s="1"/>
  <c r="AF81" i="75"/>
  <c r="AD79" i="75"/>
  <c r="AF75" i="75"/>
  <c r="I6" i="76"/>
  <c r="I30" i="76"/>
  <c r="I68" i="76"/>
  <c r="K266" i="76"/>
  <c r="I77" i="76"/>
  <c r="I76" i="76" s="1"/>
  <c r="I82" i="76"/>
  <c r="I81" i="76" s="1"/>
  <c r="L100" i="76"/>
  <c r="E111" i="76"/>
  <c r="L128" i="76"/>
  <c r="L134" i="76"/>
  <c r="E147" i="76"/>
  <c r="L173" i="76"/>
  <c r="L182" i="76"/>
  <c r="L192" i="76"/>
  <c r="L225" i="76"/>
  <c r="L223" i="76" s="1"/>
  <c r="I245" i="76"/>
  <c r="L35" i="76"/>
  <c r="I40" i="76"/>
  <c r="I59" i="76"/>
  <c r="L61" i="76"/>
  <c r="I63" i="76"/>
  <c r="L67" i="76"/>
  <c r="L76" i="76"/>
  <c r="L81" i="76"/>
  <c r="L124" i="76"/>
  <c r="L123" i="76" s="1"/>
  <c r="E130" i="76"/>
  <c r="L131" i="76"/>
  <c r="I147" i="76"/>
  <c r="L149" i="76"/>
  <c r="I183" i="76"/>
  <c r="I182" i="76" s="1"/>
  <c r="G190" i="76"/>
  <c r="F190" i="76"/>
  <c r="E243" i="76"/>
  <c r="L263" i="76"/>
  <c r="I62" i="76"/>
  <c r="E90" i="76"/>
  <c r="L126" i="76"/>
  <c r="L130" i="76"/>
  <c r="L115" i="76"/>
  <c r="I126" i="76"/>
  <c r="L190" i="76"/>
  <c r="L200" i="76"/>
  <c r="L85" i="76"/>
  <c r="L147" i="76"/>
  <c r="L243" i="76"/>
  <c r="E134" i="76"/>
  <c r="L265" i="76"/>
  <c r="I47" i="76"/>
  <c r="I101" i="76"/>
  <c r="I102" i="76"/>
  <c r="J147" i="76"/>
  <c r="J266" i="76" s="1"/>
  <c r="I175" i="76"/>
  <c r="G182" i="76"/>
  <c r="G266" i="76" s="1"/>
  <c r="I192" i="76"/>
  <c r="I190" i="76" s="1"/>
  <c r="F243" i="76"/>
  <c r="I244" i="76"/>
  <c r="L5" i="76"/>
  <c r="I10" i="76"/>
  <c r="I11" i="76"/>
  <c r="I12" i="76"/>
  <c r="I17" i="76"/>
  <c r="L20" i="76"/>
  <c r="I42" i="76"/>
  <c r="I46" i="76"/>
  <c r="I56" i="76"/>
  <c r="I86" i="76"/>
  <c r="I87" i="76"/>
  <c r="I92" i="76"/>
  <c r="I90" i="76" s="1"/>
  <c r="I116" i="76"/>
  <c r="I117" i="76"/>
  <c r="E123" i="76"/>
  <c r="I125" i="76"/>
  <c r="I123" i="76" s="1"/>
  <c r="I132" i="76"/>
  <c r="I130" i="76" s="1"/>
  <c r="I135" i="76"/>
  <c r="I136" i="76"/>
  <c r="E165" i="76"/>
  <c r="I167" i="76"/>
  <c r="I165" i="76" s="1"/>
  <c r="I174" i="76"/>
  <c r="I173" i="76" s="1"/>
  <c r="E190" i="76"/>
  <c r="I201" i="76"/>
  <c r="I202" i="76"/>
  <c r="E68" i="76"/>
  <c r="E85" i="76"/>
  <c r="F7" i="73"/>
  <c r="F5" i="73" s="1"/>
  <c r="K7" i="73"/>
  <c r="K5" i="73" s="1"/>
  <c r="L157" i="73"/>
  <c r="D157" i="73" s="1"/>
  <c r="L156" i="73"/>
  <c r="D156" i="73"/>
  <c r="H155" i="73"/>
  <c r="E155" i="73"/>
  <c r="E152" i="73"/>
  <c r="D152" i="73"/>
  <c r="J151" i="73"/>
  <c r="H151" i="73"/>
  <c r="E151" i="73"/>
  <c r="D151" i="73"/>
  <c r="D149" i="73"/>
  <c r="D148" i="73"/>
  <c r="G147" i="73"/>
  <c r="E147" i="73"/>
  <c r="D147" i="73" s="1"/>
  <c r="D146" i="73"/>
  <c r="D145" i="73"/>
  <c r="D144" i="73"/>
  <c r="D143" i="73"/>
  <c r="E142" i="73"/>
  <c r="D142" i="73" s="1"/>
  <c r="H141" i="73"/>
  <c r="E141" i="73"/>
  <c r="D141" i="73"/>
  <c r="D140" i="73"/>
  <c r="D139" i="73"/>
  <c r="G137" i="73"/>
  <c r="E137" i="73"/>
  <c r="D137" i="73" s="1"/>
  <c r="D133" i="73"/>
  <c r="D131" i="73"/>
  <c r="G130" i="73"/>
  <c r="E130" i="73"/>
  <c r="D130" i="73" s="1"/>
  <c r="H128" i="73"/>
  <c r="G128" i="73"/>
  <c r="E128" i="73"/>
  <c r="D128" i="73" s="1"/>
  <c r="E126" i="73"/>
  <c r="D126" i="73"/>
  <c r="D124" i="73"/>
  <c r="D123" i="73"/>
  <c r="D122" i="73"/>
  <c r="G120" i="73"/>
  <c r="G7" i="73" s="1"/>
  <c r="G5" i="73" s="1"/>
  <c r="E120" i="73"/>
  <c r="D120" i="73" s="1"/>
  <c r="D118" i="73"/>
  <c r="D117" i="73"/>
  <c r="J116" i="73"/>
  <c r="E116" i="73"/>
  <c r="D116" i="73" s="1"/>
  <c r="D115" i="73"/>
  <c r="H114" i="73"/>
  <c r="E114" i="73"/>
  <c r="D114" i="73" s="1"/>
  <c r="D113" i="73"/>
  <c r="D112" i="73"/>
  <c r="D111" i="73"/>
  <c r="D110" i="73"/>
  <c r="D109" i="73"/>
  <c r="D108" i="73"/>
  <c r="E107" i="73"/>
  <c r="D107" i="73" s="1"/>
  <c r="D106" i="73"/>
  <c r="E105" i="73"/>
  <c r="D105" i="73" s="1"/>
  <c r="D104" i="73"/>
  <c r="D103" i="73"/>
  <c r="D102" i="73"/>
  <c r="D101" i="73"/>
  <c r="I100" i="73"/>
  <c r="H100" i="73"/>
  <c r="E100" i="73"/>
  <c r="D100" i="73" s="1"/>
  <c r="D99" i="73"/>
  <c r="D98" i="73"/>
  <c r="H97" i="73"/>
  <c r="E97" i="73"/>
  <c r="D97" i="73" s="1"/>
  <c r="D96" i="73"/>
  <c r="H95" i="73"/>
  <c r="E95" i="73"/>
  <c r="D95" i="73" s="1"/>
  <c r="E94" i="73"/>
  <c r="D94" i="73" s="1"/>
  <c r="D93" i="73"/>
  <c r="E92" i="73"/>
  <c r="D92" i="73" s="1"/>
  <c r="D91" i="73"/>
  <c r="D90" i="73"/>
  <c r="E82" i="73"/>
  <c r="D82" i="73" s="1"/>
  <c r="D81" i="73"/>
  <c r="H80" i="73"/>
  <c r="E80" i="73"/>
  <c r="D80" i="73" s="1"/>
  <c r="D79" i="73"/>
  <c r="D78" i="73"/>
  <c r="E77" i="73"/>
  <c r="D77" i="73" s="1"/>
  <c r="H76" i="73"/>
  <c r="E76" i="73"/>
  <c r="D76" i="73" s="1"/>
  <c r="D75" i="73"/>
  <c r="H74" i="73"/>
  <c r="E74" i="73"/>
  <c r="D74" i="73" s="1"/>
  <c r="D73" i="73"/>
  <c r="D72" i="73"/>
  <c r="J69" i="73"/>
  <c r="E69" i="73"/>
  <c r="D69" i="73" s="1"/>
  <c r="D68" i="73"/>
  <c r="D67" i="73"/>
  <c r="D66" i="73"/>
  <c r="D65" i="73"/>
  <c r="D63" i="73"/>
  <c r="D62" i="73"/>
  <c r="D61" i="73"/>
  <c r="D60" i="73"/>
  <c r="E59" i="73"/>
  <c r="D59" i="73" s="1"/>
  <c r="D58" i="73"/>
  <c r="D57" i="73"/>
  <c r="D56" i="73"/>
  <c r="D55" i="73"/>
  <c r="J54" i="73"/>
  <c r="E54" i="73"/>
  <c r="D54" i="73" s="1"/>
  <c r="D53" i="73"/>
  <c r="J52" i="73"/>
  <c r="H52" i="73"/>
  <c r="E52" i="73"/>
  <c r="D52" i="73" s="1"/>
  <c r="D51" i="73"/>
  <c r="D50" i="73"/>
  <c r="J49" i="73"/>
  <c r="D49" i="73"/>
  <c r="D48" i="73"/>
  <c r="D47" i="73"/>
  <c r="J46" i="73"/>
  <c r="H46" i="73"/>
  <c r="E46" i="73"/>
  <c r="D46" i="73" s="1"/>
  <c r="J45" i="73"/>
  <c r="E45" i="73"/>
  <c r="D45" i="73" s="1"/>
  <c r="J44" i="73"/>
  <c r="E44" i="73"/>
  <c r="D44" i="73"/>
  <c r="D43" i="73"/>
  <c r="D42" i="73"/>
  <c r="J41" i="73"/>
  <c r="H41" i="73"/>
  <c r="E41" i="73"/>
  <c r="D41" i="73" s="1"/>
  <c r="E40" i="73"/>
  <c r="D40" i="73"/>
  <c r="D39" i="73"/>
  <c r="D36" i="73"/>
  <c r="J35" i="73"/>
  <c r="E35" i="73"/>
  <c r="D35" i="73" s="1"/>
  <c r="E34" i="73"/>
  <c r="D34" i="73" s="1"/>
  <c r="H33" i="73"/>
  <c r="E33" i="73"/>
  <c r="D33" i="73"/>
  <c r="D32" i="73"/>
  <c r="D30" i="73"/>
  <c r="D29" i="73"/>
  <c r="D28" i="73"/>
  <c r="D27" i="73"/>
  <c r="E26" i="73"/>
  <c r="D26" i="73" s="1"/>
  <c r="I25" i="73"/>
  <c r="I7" i="73" s="1"/>
  <c r="I5" i="73" s="1"/>
  <c r="D25" i="73"/>
  <c r="E24" i="73"/>
  <c r="D24" i="73" s="1"/>
  <c r="D23" i="73"/>
  <c r="D22" i="73"/>
  <c r="D20" i="73"/>
  <c r="D19" i="73"/>
  <c r="J18" i="73"/>
  <c r="D18" i="73"/>
  <c r="D17" i="73"/>
  <c r="D16" i="73"/>
  <c r="D15" i="73"/>
  <c r="J14" i="73"/>
  <c r="E14" i="73"/>
  <c r="D14" i="73" s="1"/>
  <c r="H13" i="73"/>
  <c r="E13" i="73"/>
  <c r="D13" i="73" s="1"/>
  <c r="D12" i="73"/>
  <c r="D11" i="73"/>
  <c r="D10" i="73"/>
  <c r="D9" i="73"/>
  <c r="D8" i="73"/>
  <c r="I82" i="75" l="1"/>
  <c r="Y82" i="75"/>
  <c r="AF17" i="75"/>
  <c r="J82" i="75"/>
  <c r="AD7" i="75"/>
  <c r="AF46" i="75"/>
  <c r="P82" i="75"/>
  <c r="E82" i="75"/>
  <c r="Q82" i="75"/>
  <c r="B82" i="75"/>
  <c r="AF32" i="75"/>
  <c r="AF23" i="75"/>
  <c r="AD22" i="75"/>
  <c r="AF79" i="75"/>
  <c r="AF20" i="75"/>
  <c r="AD19" i="75"/>
  <c r="AF4" i="75"/>
  <c r="AF15" i="75"/>
  <c r="AF69" i="75"/>
  <c r="AD68" i="75"/>
  <c r="AF74" i="75"/>
  <c r="AF54" i="75"/>
  <c r="AD53" i="75"/>
  <c r="AF65" i="75"/>
  <c r="AF40" i="75"/>
  <c r="AD39" i="75"/>
  <c r="AD29" i="75"/>
  <c r="AF30" i="75"/>
  <c r="AD10" i="75"/>
  <c r="AF11" i="75"/>
  <c r="AF7" i="75"/>
  <c r="I243" i="76"/>
  <c r="E266" i="76"/>
  <c r="F266" i="76"/>
  <c r="L266" i="76"/>
  <c r="I134" i="76"/>
  <c r="I115" i="76"/>
  <c r="I100" i="76"/>
  <c r="I85" i="76"/>
  <c r="I200" i="76"/>
  <c r="L155" i="73"/>
  <c r="L7" i="73" s="1"/>
  <c r="L5" i="73" s="1"/>
  <c r="J7" i="73"/>
  <c r="J5" i="73" s="1"/>
  <c r="H7" i="73"/>
  <c r="H5" i="73" s="1"/>
  <c r="E7" i="73"/>
  <c r="E5" i="73" s="1"/>
  <c r="D155" i="73"/>
  <c r="D7" i="73" s="1"/>
  <c r="D5" i="73" s="1"/>
  <c r="AD82" i="75" l="1"/>
  <c r="AF39" i="75"/>
  <c r="AF19" i="75"/>
  <c r="AF10" i="75"/>
  <c r="AF29" i="75"/>
  <c r="AF22" i="75"/>
  <c r="AF53" i="75"/>
  <c r="AF68" i="75"/>
  <c r="I266" i="76"/>
  <c r="F30" i="72"/>
  <c r="E30" i="72"/>
  <c r="D30" i="72" s="1"/>
  <c r="F29" i="72"/>
  <c r="E29" i="72"/>
  <c r="D29" i="72" s="1"/>
  <c r="F28" i="72"/>
  <c r="E28" i="72"/>
  <c r="D28" i="72" s="1"/>
  <c r="F27" i="72"/>
  <c r="E27" i="72"/>
  <c r="D27" i="72" s="1"/>
  <c r="F26" i="72"/>
  <c r="E26" i="72"/>
  <c r="F25" i="72"/>
  <c r="E25" i="72"/>
  <c r="F24" i="72"/>
  <c r="E24" i="72"/>
  <c r="F23" i="72"/>
  <c r="E23" i="72"/>
  <c r="F22" i="72"/>
  <c r="E22" i="72"/>
  <c r="F21" i="72"/>
  <c r="E21" i="72"/>
  <c r="F20" i="72"/>
  <c r="E20" i="72"/>
  <c r="F19" i="72"/>
  <c r="E19" i="72"/>
  <c r="D19" i="72" s="1"/>
  <c r="F18" i="72"/>
  <c r="E18" i="72"/>
  <c r="D18" i="72" s="1"/>
  <c r="F17" i="72"/>
  <c r="E17" i="72"/>
  <c r="F16" i="72"/>
  <c r="E16" i="72"/>
  <c r="D16" i="72" s="1"/>
  <c r="F15" i="72"/>
  <c r="E15" i="72"/>
  <c r="F14" i="72"/>
  <c r="E14" i="72"/>
  <c r="D14" i="72" s="1"/>
  <c r="F13" i="72"/>
  <c r="E13" i="72"/>
  <c r="F12" i="72"/>
  <c r="E12" i="72"/>
  <c r="D12" i="72" s="1"/>
  <c r="F11" i="72"/>
  <c r="E11" i="72"/>
  <c r="F10" i="72"/>
  <c r="E10" i="72"/>
  <c r="F9" i="72"/>
  <c r="E9" i="72"/>
  <c r="J8" i="72"/>
  <c r="I8" i="72"/>
  <c r="H8" i="72"/>
  <c r="F8" i="72" s="1"/>
  <c r="G8" i="72"/>
  <c r="AF82" i="75" l="1"/>
  <c r="D23" i="72"/>
  <c r="D11" i="72"/>
  <c r="D13" i="72"/>
  <c r="D17" i="72"/>
  <c r="D9" i="72"/>
  <c r="D10" i="72"/>
  <c r="D15" i="72"/>
  <c r="D20" i="72"/>
  <c r="D21" i="72"/>
  <c r="D22" i="72"/>
  <c r="D24" i="72"/>
  <c r="D25" i="72"/>
  <c r="D26" i="72"/>
  <c r="E8" i="72"/>
  <c r="D8" i="72" s="1"/>
  <c r="L26" i="59" l="1"/>
  <c r="Q8" i="59"/>
  <c r="P8" i="59"/>
  <c r="P6" i="59" s="1"/>
  <c r="O8" i="59"/>
  <c r="O6" i="59" s="1"/>
  <c r="N8" i="59"/>
  <c r="N6" i="59" s="1"/>
  <c r="K8" i="59"/>
  <c r="J8" i="59"/>
  <c r="J6" i="59" s="1"/>
  <c r="I8" i="59"/>
  <c r="H8" i="59"/>
  <c r="H6" i="59" s="1"/>
  <c r="G8" i="59"/>
  <c r="F8" i="59"/>
  <c r="F6" i="59" s="1"/>
  <c r="E8" i="59"/>
  <c r="E6" i="59" s="1"/>
  <c r="Q6" i="59"/>
  <c r="K6" i="59"/>
  <c r="I6" i="59"/>
  <c r="G6" i="59"/>
  <c r="D8" i="59"/>
  <c r="D6" i="59" s="1"/>
  <c r="I158" i="70" l="1"/>
  <c r="D158" i="70"/>
  <c r="I157" i="70"/>
  <c r="I154" i="70"/>
  <c r="I153" i="70"/>
  <c r="I151" i="70"/>
  <c r="I149" i="70"/>
  <c r="D149" i="70"/>
  <c r="I148" i="70"/>
  <c r="I146" i="70"/>
  <c r="I145" i="70"/>
  <c r="I144" i="70"/>
  <c r="I142" i="70"/>
  <c r="D142" i="70"/>
  <c r="I141" i="70"/>
  <c r="I138" i="70"/>
  <c r="I137" i="70"/>
  <c r="I135" i="70"/>
  <c r="I133" i="70"/>
  <c r="D133" i="70"/>
  <c r="I132" i="70"/>
  <c r="I130" i="70"/>
  <c r="I129" i="70"/>
  <c r="I128" i="70"/>
  <c r="I126" i="70"/>
  <c r="D126" i="70"/>
  <c r="I125" i="70"/>
  <c r="I122" i="70"/>
  <c r="I121" i="70"/>
  <c r="I119" i="70"/>
  <c r="I117" i="70"/>
  <c r="D117" i="70"/>
  <c r="I116" i="70"/>
  <c r="I114" i="70"/>
  <c r="I113" i="70"/>
  <c r="I112" i="70"/>
  <c r="I110" i="70"/>
  <c r="D110" i="70"/>
  <c r="I109" i="70"/>
  <c r="I107" i="70"/>
  <c r="I106" i="70"/>
  <c r="I103" i="70"/>
  <c r="I102" i="70"/>
  <c r="I99" i="70"/>
  <c r="I98" i="70"/>
  <c r="I95" i="70"/>
  <c r="I94" i="70"/>
  <c r="I91" i="70"/>
  <c r="I90" i="70"/>
  <c r="I87" i="70"/>
  <c r="I86" i="70"/>
  <c r="I85" i="70"/>
  <c r="I84" i="70"/>
  <c r="D83" i="70"/>
  <c r="I82" i="70"/>
  <c r="D81" i="70"/>
  <c r="D79" i="70"/>
  <c r="D77" i="70"/>
  <c r="D76" i="70"/>
  <c r="D75" i="70"/>
  <c r="I74" i="70"/>
  <c r="D73" i="70"/>
  <c r="D71" i="70"/>
  <c r="D69" i="70"/>
  <c r="D68" i="70"/>
  <c r="D67" i="70"/>
  <c r="I66" i="70"/>
  <c r="D65" i="70"/>
  <c r="D63" i="70"/>
  <c r="D61" i="70"/>
  <c r="D60" i="70"/>
  <c r="D59" i="70"/>
  <c r="I58" i="70"/>
  <c r="I57" i="70"/>
  <c r="I56" i="70"/>
  <c r="D56" i="70"/>
  <c r="D55" i="70"/>
  <c r="I53" i="70"/>
  <c r="I52" i="70"/>
  <c r="I51" i="70"/>
  <c r="D51" i="70"/>
  <c r="I49" i="70"/>
  <c r="D49" i="70"/>
  <c r="I48" i="70"/>
  <c r="D47" i="70"/>
  <c r="I45" i="70"/>
  <c r="I44" i="70"/>
  <c r="D43" i="70"/>
  <c r="I42" i="70"/>
  <c r="I41" i="70"/>
  <c r="I40" i="70"/>
  <c r="D40" i="70"/>
  <c r="D39" i="70"/>
  <c r="I37" i="70"/>
  <c r="I35" i="70"/>
  <c r="D35" i="70"/>
  <c r="I33" i="70"/>
  <c r="I32" i="70"/>
  <c r="I31" i="70"/>
  <c r="I29" i="70"/>
  <c r="I27" i="70"/>
  <c r="D27" i="70"/>
  <c r="I25" i="70"/>
  <c r="I24" i="70"/>
  <c r="I23" i="70"/>
  <c r="I21" i="70"/>
  <c r="I20" i="70"/>
  <c r="D19" i="70"/>
  <c r="I17" i="70"/>
  <c r="D14" i="70"/>
  <c r="I12" i="70"/>
  <c r="G10" i="70"/>
  <c r="G160" i="70" s="1"/>
  <c r="K10" i="70"/>
  <c r="K160" i="70" s="1"/>
  <c r="I9" i="70"/>
  <c r="D9" i="70"/>
  <c r="I88" i="70" l="1"/>
  <c r="I89" i="70"/>
  <c r="I92" i="70"/>
  <c r="I93" i="70"/>
  <c r="I96" i="70"/>
  <c r="I97" i="70"/>
  <c r="I100" i="70"/>
  <c r="I101" i="70"/>
  <c r="I104" i="70"/>
  <c r="I105" i="70"/>
  <c r="I108" i="70"/>
  <c r="I115" i="70"/>
  <c r="D116" i="70"/>
  <c r="I124" i="70"/>
  <c r="D125" i="70"/>
  <c r="I131" i="70"/>
  <c r="D132" i="70"/>
  <c r="I140" i="70"/>
  <c r="D141" i="70"/>
  <c r="I147" i="70"/>
  <c r="D148" i="70"/>
  <c r="I156" i="70"/>
  <c r="D157" i="70"/>
  <c r="D11" i="70"/>
  <c r="I13" i="70"/>
  <c r="D17" i="70"/>
  <c r="I19" i="70"/>
  <c r="D20" i="70"/>
  <c r="D22" i="70"/>
  <c r="I22" i="70"/>
  <c r="D25" i="70"/>
  <c r="I30" i="70"/>
  <c r="D33" i="70"/>
  <c r="I38" i="70"/>
  <c r="D45" i="70"/>
  <c r="I47" i="70"/>
  <c r="D52" i="70"/>
  <c r="I54" i="70"/>
  <c r="I64" i="70"/>
  <c r="D66" i="70"/>
  <c r="I72" i="70"/>
  <c r="D74" i="70"/>
  <c r="I80" i="70"/>
  <c r="D82" i="70"/>
  <c r="I111" i="70"/>
  <c r="D112" i="70"/>
  <c r="D114" i="70"/>
  <c r="I118" i="70"/>
  <c r="I127" i="70"/>
  <c r="D128" i="70"/>
  <c r="D130" i="70"/>
  <c r="I134" i="70"/>
  <c r="I143" i="70"/>
  <c r="D144" i="70"/>
  <c r="D146" i="70"/>
  <c r="I150" i="70"/>
  <c r="I14" i="70"/>
  <c r="I16" i="70"/>
  <c r="F10" i="70"/>
  <c r="D31" i="70"/>
  <c r="D41" i="70"/>
  <c r="D48" i="70"/>
  <c r="I50" i="70"/>
  <c r="D57" i="70"/>
  <c r="I62" i="70"/>
  <c r="D64" i="70"/>
  <c r="I70" i="70"/>
  <c r="D72" i="70"/>
  <c r="I78" i="70"/>
  <c r="E10" i="70"/>
  <c r="E160" i="70" s="1"/>
  <c r="D12" i="70"/>
  <c r="D15" i="70"/>
  <c r="J10" i="70"/>
  <c r="J160" i="70" s="1"/>
  <c r="D23" i="70"/>
  <c r="I28" i="70"/>
  <c r="I36" i="70"/>
  <c r="I43" i="70"/>
  <c r="D80" i="70"/>
  <c r="I11" i="70"/>
  <c r="D13" i="70"/>
  <c r="I15" i="70"/>
  <c r="H10" i="70"/>
  <c r="H160" i="70" s="1"/>
  <c r="M10" i="70"/>
  <c r="M8" i="70" s="1"/>
  <c r="D18" i="70"/>
  <c r="I18" i="70"/>
  <c r="D21" i="70"/>
  <c r="I26" i="70"/>
  <c r="D29" i="70"/>
  <c r="I34" i="70"/>
  <c r="D37" i="70"/>
  <c r="I39" i="70"/>
  <c r="D44" i="70"/>
  <c r="I46" i="70"/>
  <c r="D53" i="70"/>
  <c r="I55" i="70"/>
  <c r="I60" i="70"/>
  <c r="D62" i="70"/>
  <c r="I68" i="70"/>
  <c r="D70" i="70"/>
  <c r="I76" i="70"/>
  <c r="D78" i="70"/>
  <c r="D113" i="70"/>
  <c r="I120" i="70"/>
  <c r="D121" i="70"/>
  <c r="I123" i="70"/>
  <c r="D129" i="70"/>
  <c r="I136" i="70"/>
  <c r="D137" i="70"/>
  <c r="I139" i="70"/>
  <c r="D145" i="70"/>
  <c r="I152" i="70"/>
  <c r="D153" i="70"/>
  <c r="I155" i="70"/>
  <c r="F160" i="70"/>
  <c r="F8" i="70"/>
  <c r="J8" i="70"/>
  <c r="K162" i="70"/>
  <c r="K164" i="70" s="1"/>
  <c r="D16" i="70"/>
  <c r="L10" i="70"/>
  <c r="G8" i="70"/>
  <c r="K8" i="70"/>
  <c r="G162" i="70"/>
  <c r="G164" i="70" s="1"/>
  <c r="D24" i="70"/>
  <c r="D26" i="70"/>
  <c r="D28" i="70"/>
  <c r="D30" i="70"/>
  <c r="D32" i="70"/>
  <c r="D34" i="70"/>
  <c r="D36" i="70"/>
  <c r="D38" i="70"/>
  <c r="D42" i="70"/>
  <c r="D46" i="70"/>
  <c r="D50" i="70"/>
  <c r="D54" i="70"/>
  <c r="D58" i="70"/>
  <c r="I59" i="70"/>
  <c r="I61" i="70"/>
  <c r="I63" i="70"/>
  <c r="I65" i="70"/>
  <c r="I67" i="70"/>
  <c r="I69" i="70"/>
  <c r="I71" i="70"/>
  <c r="I73" i="70"/>
  <c r="I75" i="70"/>
  <c r="I77" i="70"/>
  <c r="I79" i="70"/>
  <c r="I81" i="70"/>
  <c r="I83" i="70"/>
  <c r="D118" i="70"/>
  <c r="D120" i="70"/>
  <c r="D134" i="70"/>
  <c r="D136" i="70"/>
  <c r="D150" i="70"/>
  <c r="D152" i="70"/>
  <c r="D84" i="70"/>
  <c r="D86" i="70"/>
  <c r="D88" i="70"/>
  <c r="D90" i="70"/>
  <c r="D92" i="70"/>
  <c r="D94" i="70"/>
  <c r="D96" i="70"/>
  <c r="D98" i="70"/>
  <c r="D100" i="70"/>
  <c r="D102" i="70"/>
  <c r="D104" i="70"/>
  <c r="D106" i="70"/>
  <c r="D108" i="70"/>
  <c r="D122" i="70"/>
  <c r="D124" i="70"/>
  <c r="D138" i="70"/>
  <c r="D140" i="70"/>
  <c r="D154" i="70"/>
  <c r="D156" i="70"/>
  <c r="D87" i="70"/>
  <c r="D91" i="70"/>
  <c r="D95" i="70"/>
  <c r="D99" i="70"/>
  <c r="D103" i="70"/>
  <c r="D107" i="70"/>
  <c r="D111" i="70"/>
  <c r="D115" i="70"/>
  <c r="D119" i="70"/>
  <c r="D123" i="70"/>
  <c r="D127" i="70"/>
  <c r="D131" i="70"/>
  <c r="D135" i="70"/>
  <c r="D139" i="70"/>
  <c r="D143" i="70"/>
  <c r="D147" i="70"/>
  <c r="D151" i="70"/>
  <c r="D155" i="70"/>
  <c r="D85" i="70"/>
  <c r="D89" i="70"/>
  <c r="D93" i="70"/>
  <c r="D97" i="70"/>
  <c r="D101" i="70"/>
  <c r="D105" i="70"/>
  <c r="D109" i="70"/>
  <c r="E8" i="70" l="1"/>
  <c r="M160" i="70"/>
  <c r="D10" i="70"/>
  <c r="H8" i="70"/>
  <c r="D8" i="70" s="1"/>
  <c r="L160" i="70"/>
  <c r="L8" i="70"/>
  <c r="I8" i="70" s="1"/>
  <c r="I10" i="70"/>
  <c r="M162" i="70"/>
  <c r="M164" i="70" s="1"/>
  <c r="J162" i="70"/>
  <c r="J164" i="70" s="1"/>
  <c r="E162" i="70"/>
  <c r="E164" i="70" s="1"/>
  <c r="H162" i="70"/>
  <c r="H164" i="70" s="1"/>
  <c r="F162" i="70"/>
  <c r="F164" i="70" s="1"/>
  <c r="E166" i="70" l="1"/>
  <c r="E168" i="70" s="1"/>
  <c r="L162" i="70"/>
  <c r="L164" i="70" s="1"/>
  <c r="J166" i="70" s="1"/>
  <c r="J168" i="70" s="1"/>
  <c r="D158" i="69" l="1"/>
  <c r="D156" i="69"/>
  <c r="D153" i="69"/>
  <c r="D152" i="69"/>
  <c r="D148" i="69"/>
  <c r="D147" i="69"/>
  <c r="D144" i="69"/>
  <c r="D142" i="69"/>
  <c r="D140" i="69"/>
  <c r="D137" i="69"/>
  <c r="D136" i="69"/>
  <c r="D132" i="69"/>
  <c r="D131" i="69"/>
  <c r="D128" i="69"/>
  <c r="D126" i="69"/>
  <c r="D124" i="69"/>
  <c r="D121" i="69"/>
  <c r="D120" i="69"/>
  <c r="D116" i="69"/>
  <c r="D115" i="69"/>
  <c r="D112" i="69"/>
  <c r="D110" i="69"/>
  <c r="D108" i="69"/>
  <c r="D105" i="69"/>
  <c r="D104" i="69"/>
  <c r="D100" i="69"/>
  <c r="D99" i="69"/>
  <c r="D96" i="69"/>
  <c r="D94" i="69"/>
  <c r="D92" i="69"/>
  <c r="D89" i="69"/>
  <c r="D88" i="69"/>
  <c r="D84" i="69"/>
  <c r="D83" i="69"/>
  <c r="D80" i="69"/>
  <c r="D78" i="69"/>
  <c r="D76" i="69"/>
  <c r="D73" i="69"/>
  <c r="D72" i="69"/>
  <c r="D68" i="69"/>
  <c r="D67" i="69"/>
  <c r="D64" i="69"/>
  <c r="D62" i="69"/>
  <c r="D60" i="69"/>
  <c r="D57" i="69"/>
  <c r="D56" i="69"/>
  <c r="D52" i="69"/>
  <c r="D51" i="69"/>
  <c r="D48" i="69"/>
  <c r="D46" i="69"/>
  <c r="D44" i="69"/>
  <c r="D41" i="69"/>
  <c r="D40" i="69"/>
  <c r="D36" i="69"/>
  <c r="D35" i="69"/>
  <c r="D32" i="69"/>
  <c r="D30" i="69"/>
  <c r="D26" i="69"/>
  <c r="D24" i="69"/>
  <c r="D21" i="69"/>
  <c r="D20" i="69"/>
  <c r="D16" i="69"/>
  <c r="D15" i="69"/>
  <c r="D12" i="69"/>
  <c r="N10" i="69"/>
  <c r="N8" i="69" s="1"/>
  <c r="J10" i="69"/>
  <c r="J8" i="69" s="1"/>
  <c r="F10" i="69"/>
  <c r="F8" i="69" s="1"/>
  <c r="D9" i="69"/>
  <c r="D139" i="69" l="1"/>
  <c r="D145" i="69"/>
  <c r="D150" i="69"/>
  <c r="D155" i="69"/>
  <c r="D11" i="69"/>
  <c r="I10" i="69"/>
  <c r="I8" i="69" s="1"/>
  <c r="M10" i="69"/>
  <c r="M8" i="69" s="1"/>
  <c r="H10" i="69"/>
  <c r="H8" i="69" s="1"/>
  <c r="L10" i="69"/>
  <c r="L8" i="69" s="1"/>
  <c r="P10" i="69"/>
  <c r="P8" i="69" s="1"/>
  <c r="D17" i="69"/>
  <c r="D22" i="69"/>
  <c r="D27" i="69"/>
  <c r="D31" i="69"/>
  <c r="D37" i="69"/>
  <c r="D42" i="69"/>
  <c r="D47" i="69"/>
  <c r="D53" i="69"/>
  <c r="D58" i="69"/>
  <c r="D63" i="69"/>
  <c r="D69" i="69"/>
  <c r="D74" i="69"/>
  <c r="D79" i="69"/>
  <c r="D85" i="69"/>
  <c r="D90" i="69"/>
  <c r="D95" i="69"/>
  <c r="D101" i="69"/>
  <c r="D106" i="69"/>
  <c r="D111" i="69"/>
  <c r="D117" i="69"/>
  <c r="D122" i="69"/>
  <c r="D127" i="69"/>
  <c r="D133" i="69"/>
  <c r="D138" i="69"/>
  <c r="D143" i="69"/>
  <c r="D149" i="69"/>
  <c r="D154" i="69"/>
  <c r="D14" i="69"/>
  <c r="D19" i="69"/>
  <c r="D25" i="69"/>
  <c r="D29" i="69"/>
  <c r="D34" i="69"/>
  <c r="D39" i="69"/>
  <c r="D45" i="69"/>
  <c r="D50" i="69"/>
  <c r="D55" i="69"/>
  <c r="D61" i="69"/>
  <c r="D66" i="69"/>
  <c r="D71" i="69"/>
  <c r="D77" i="69"/>
  <c r="D82" i="69"/>
  <c r="D87" i="69"/>
  <c r="D93" i="69"/>
  <c r="D98" i="69"/>
  <c r="D103" i="69"/>
  <c r="D109" i="69"/>
  <c r="D114" i="69"/>
  <c r="D119" i="69"/>
  <c r="D125" i="69"/>
  <c r="D130" i="69"/>
  <c r="D135" i="69"/>
  <c r="D141" i="69"/>
  <c r="D146" i="69"/>
  <c r="D151" i="69"/>
  <c r="D157" i="69"/>
  <c r="D13" i="69"/>
  <c r="K10" i="69"/>
  <c r="K8" i="69" s="1"/>
  <c r="O10" i="69"/>
  <c r="O8" i="69" s="1"/>
  <c r="D18" i="69"/>
  <c r="D23" i="69"/>
  <c r="D28" i="69"/>
  <c r="D33" i="69"/>
  <c r="D38" i="69"/>
  <c r="D43" i="69"/>
  <c r="D49" i="69"/>
  <c r="D54" i="69"/>
  <c r="D59" i="69"/>
  <c r="D65" i="69"/>
  <c r="D70" i="69"/>
  <c r="D75" i="69"/>
  <c r="D81" i="69"/>
  <c r="D86" i="69"/>
  <c r="D91" i="69"/>
  <c r="D97" i="69"/>
  <c r="D102" i="69"/>
  <c r="D107" i="69"/>
  <c r="D113" i="69"/>
  <c r="D118" i="69"/>
  <c r="D123" i="69"/>
  <c r="D129" i="69"/>
  <c r="D134" i="69"/>
  <c r="G10" i="69"/>
  <c r="G8" i="69" s="1"/>
  <c r="E10" i="69"/>
  <c r="D10" i="69" l="1"/>
  <c r="E8" i="69"/>
  <c r="D8" i="69" l="1"/>
  <c r="J158" i="68" l="1"/>
  <c r="E158" i="68"/>
  <c r="D158" i="68" s="1"/>
  <c r="J157" i="68"/>
  <c r="E157" i="68"/>
  <c r="D157" i="68" s="1"/>
  <c r="J156" i="68"/>
  <c r="E156" i="68"/>
  <c r="D156" i="68" s="1"/>
  <c r="J155" i="68"/>
  <c r="E155" i="68"/>
  <c r="J154" i="68"/>
  <c r="E154" i="68"/>
  <c r="D154" i="68" s="1"/>
  <c r="J153" i="68"/>
  <c r="E153" i="68"/>
  <c r="J152" i="68"/>
  <c r="E152" i="68"/>
  <c r="D152" i="68" s="1"/>
  <c r="J151" i="68"/>
  <c r="E151" i="68"/>
  <c r="J150" i="68"/>
  <c r="E150" i="68"/>
  <c r="D150" i="68" s="1"/>
  <c r="J149" i="68"/>
  <c r="E149" i="68"/>
  <c r="D149" i="68" s="1"/>
  <c r="J148" i="68"/>
  <c r="E148" i="68"/>
  <c r="J147" i="68"/>
  <c r="E147" i="68"/>
  <c r="J146" i="68"/>
  <c r="E146" i="68"/>
  <c r="J145" i="68"/>
  <c r="E145" i="68"/>
  <c r="D145" i="68" s="1"/>
  <c r="J144" i="68"/>
  <c r="E144" i="68"/>
  <c r="J143" i="68"/>
  <c r="E143" i="68"/>
  <c r="J142" i="68"/>
  <c r="E142" i="68"/>
  <c r="J141" i="68"/>
  <c r="E141" i="68"/>
  <c r="J140" i="68"/>
  <c r="E140" i="68"/>
  <c r="J139" i="68"/>
  <c r="E139" i="68"/>
  <c r="J138" i="68"/>
  <c r="E138" i="68"/>
  <c r="J137" i="68"/>
  <c r="E137" i="68"/>
  <c r="J136" i="68"/>
  <c r="E136" i="68"/>
  <c r="J135" i="68"/>
  <c r="E135" i="68"/>
  <c r="J134" i="68"/>
  <c r="E134" i="68"/>
  <c r="J133" i="68"/>
  <c r="E133" i="68"/>
  <c r="J132" i="68"/>
  <c r="E132" i="68"/>
  <c r="J131" i="68"/>
  <c r="E131" i="68"/>
  <c r="J130" i="68"/>
  <c r="E130" i="68"/>
  <c r="J129" i="68"/>
  <c r="E129" i="68"/>
  <c r="D129" i="68" s="1"/>
  <c r="J128" i="68"/>
  <c r="E128" i="68"/>
  <c r="D128" i="68" s="1"/>
  <c r="J127" i="68"/>
  <c r="E127" i="68"/>
  <c r="J126" i="68"/>
  <c r="E126" i="68"/>
  <c r="D126" i="68" s="1"/>
  <c r="J125" i="68"/>
  <c r="E125" i="68"/>
  <c r="J124" i="68"/>
  <c r="E124" i="68"/>
  <c r="D124" i="68" s="1"/>
  <c r="J123" i="68"/>
  <c r="E123" i="68"/>
  <c r="J122" i="68"/>
  <c r="E122" i="68"/>
  <c r="D122" i="68" s="1"/>
  <c r="J121" i="68"/>
  <c r="E121" i="68"/>
  <c r="J120" i="68"/>
  <c r="E120" i="68"/>
  <c r="D120" i="68" s="1"/>
  <c r="J119" i="68"/>
  <c r="E119" i="68"/>
  <c r="J118" i="68"/>
  <c r="E118" i="68"/>
  <c r="D118" i="68" s="1"/>
  <c r="J117" i="68"/>
  <c r="E117" i="68"/>
  <c r="J116" i="68"/>
  <c r="E116" i="68"/>
  <c r="J115" i="68"/>
  <c r="E115" i="68"/>
  <c r="J114" i="68"/>
  <c r="E114" i="68"/>
  <c r="J113" i="68"/>
  <c r="E113" i="68"/>
  <c r="J112" i="68"/>
  <c r="E112" i="68"/>
  <c r="J111" i="68"/>
  <c r="E111" i="68"/>
  <c r="J110" i="68"/>
  <c r="E110" i="68"/>
  <c r="J109" i="68"/>
  <c r="E109" i="68"/>
  <c r="J108" i="68"/>
  <c r="E108" i="68"/>
  <c r="J107" i="68"/>
  <c r="E107" i="68"/>
  <c r="J106" i="68"/>
  <c r="E106" i="68"/>
  <c r="J105" i="68"/>
  <c r="E105" i="68"/>
  <c r="J104" i="68"/>
  <c r="E104" i="68"/>
  <c r="J103" i="68"/>
  <c r="E103" i="68"/>
  <c r="J102" i="68"/>
  <c r="E102" i="68"/>
  <c r="J101" i="68"/>
  <c r="E101" i="68"/>
  <c r="J100" i="68"/>
  <c r="E100" i="68"/>
  <c r="J99" i="68"/>
  <c r="E99" i="68"/>
  <c r="J98" i="68"/>
  <c r="E98" i="68"/>
  <c r="J97" i="68"/>
  <c r="D97" i="68" s="1"/>
  <c r="E97" i="68"/>
  <c r="J96" i="68"/>
  <c r="E96" i="68"/>
  <c r="D96" i="68" s="1"/>
  <c r="J95" i="68"/>
  <c r="E95" i="68"/>
  <c r="J94" i="68"/>
  <c r="E94" i="68"/>
  <c r="D94" i="68" s="1"/>
  <c r="J93" i="68"/>
  <c r="E93" i="68"/>
  <c r="D93" i="68" s="1"/>
  <c r="J92" i="68"/>
  <c r="E92" i="68"/>
  <c r="D92" i="68" s="1"/>
  <c r="J91" i="68"/>
  <c r="E91" i="68"/>
  <c r="J90" i="68"/>
  <c r="E90" i="68"/>
  <c r="D90" i="68" s="1"/>
  <c r="J89" i="68"/>
  <c r="E89" i="68"/>
  <c r="J88" i="68"/>
  <c r="E88" i="68"/>
  <c r="D88" i="68" s="1"/>
  <c r="J87" i="68"/>
  <c r="E87" i="68"/>
  <c r="J86" i="68"/>
  <c r="E86" i="68"/>
  <c r="D86" i="68" s="1"/>
  <c r="J85" i="68"/>
  <c r="E85" i="68"/>
  <c r="D85" i="68" s="1"/>
  <c r="J84" i="68"/>
  <c r="E84" i="68"/>
  <c r="J83" i="68"/>
  <c r="E83" i="68"/>
  <c r="J82" i="68"/>
  <c r="E82" i="68"/>
  <c r="J81" i="68"/>
  <c r="E81" i="68"/>
  <c r="D81" i="68" s="1"/>
  <c r="J80" i="68"/>
  <c r="E80" i="68"/>
  <c r="J79" i="68"/>
  <c r="E79" i="68"/>
  <c r="J78" i="68"/>
  <c r="E78" i="68"/>
  <c r="J77" i="68"/>
  <c r="E77" i="68"/>
  <c r="J76" i="68"/>
  <c r="E76" i="68"/>
  <c r="J75" i="68"/>
  <c r="E75" i="68"/>
  <c r="J74" i="68"/>
  <c r="E74" i="68"/>
  <c r="J73" i="68"/>
  <c r="E73" i="68"/>
  <c r="J72" i="68"/>
  <c r="E72" i="68"/>
  <c r="J71" i="68"/>
  <c r="E71" i="68"/>
  <c r="J70" i="68"/>
  <c r="E70" i="68"/>
  <c r="J69" i="68"/>
  <c r="E69" i="68"/>
  <c r="J68" i="68"/>
  <c r="E68" i="68"/>
  <c r="J67" i="68"/>
  <c r="E67" i="68"/>
  <c r="J66" i="68"/>
  <c r="E66" i="68"/>
  <c r="J65" i="68"/>
  <c r="E65" i="68"/>
  <c r="D65" i="68"/>
  <c r="J64" i="68"/>
  <c r="E64" i="68"/>
  <c r="J63" i="68"/>
  <c r="E63" i="68"/>
  <c r="J62" i="68"/>
  <c r="E62" i="68"/>
  <c r="J61" i="68"/>
  <c r="E61" i="68"/>
  <c r="D61" i="68" s="1"/>
  <c r="J60" i="68"/>
  <c r="E60" i="68"/>
  <c r="J59" i="68"/>
  <c r="E59" i="68"/>
  <c r="J58" i="68"/>
  <c r="E58" i="68"/>
  <c r="J57" i="68"/>
  <c r="E57" i="68"/>
  <c r="J56" i="68"/>
  <c r="E56" i="68"/>
  <c r="J55" i="68"/>
  <c r="E55" i="68"/>
  <c r="J54" i="68"/>
  <c r="E54" i="68"/>
  <c r="J53" i="68"/>
  <c r="E53" i="68"/>
  <c r="D53" i="68" s="1"/>
  <c r="J52" i="68"/>
  <c r="E52" i="68"/>
  <c r="J51" i="68"/>
  <c r="E51" i="68"/>
  <c r="J50" i="68"/>
  <c r="E50" i="68"/>
  <c r="J49" i="68"/>
  <c r="E49" i="68"/>
  <c r="D49" i="68" s="1"/>
  <c r="J48" i="68"/>
  <c r="E48" i="68"/>
  <c r="J47" i="68"/>
  <c r="E47" i="68"/>
  <c r="J46" i="68"/>
  <c r="E46" i="68"/>
  <c r="J45" i="68"/>
  <c r="E45" i="68"/>
  <c r="J44" i="68"/>
  <c r="E44" i="68"/>
  <c r="J43" i="68"/>
  <c r="E43" i="68"/>
  <c r="J42" i="68"/>
  <c r="E42" i="68"/>
  <c r="J41" i="68"/>
  <c r="E41" i="68"/>
  <c r="J40" i="68"/>
  <c r="E40" i="68"/>
  <c r="J39" i="68"/>
  <c r="E39" i="68"/>
  <c r="J38" i="68"/>
  <c r="E38" i="68"/>
  <c r="J37" i="68"/>
  <c r="E37" i="68"/>
  <c r="J36" i="68"/>
  <c r="E36" i="68"/>
  <c r="J35" i="68"/>
  <c r="E35" i="68"/>
  <c r="J34" i="68"/>
  <c r="E34" i="68"/>
  <c r="J33" i="68"/>
  <c r="E33" i="68"/>
  <c r="D33" i="68"/>
  <c r="J32" i="68"/>
  <c r="E32" i="68"/>
  <c r="D32" i="68" s="1"/>
  <c r="J31" i="68"/>
  <c r="E31" i="68"/>
  <c r="J30" i="68"/>
  <c r="E30" i="68"/>
  <c r="D30" i="68" s="1"/>
  <c r="J29" i="68"/>
  <c r="E29" i="68"/>
  <c r="D29" i="68" s="1"/>
  <c r="J28" i="68"/>
  <c r="E28" i="68"/>
  <c r="D28" i="68" s="1"/>
  <c r="J27" i="68"/>
  <c r="E27" i="68"/>
  <c r="J26" i="68"/>
  <c r="E26" i="68"/>
  <c r="D26" i="68" s="1"/>
  <c r="J25" i="68"/>
  <c r="E25" i="68"/>
  <c r="J24" i="68"/>
  <c r="E24" i="68"/>
  <c r="D24" i="68" s="1"/>
  <c r="J23" i="68"/>
  <c r="E23" i="68"/>
  <c r="J22" i="68"/>
  <c r="E22" i="68"/>
  <c r="D22" i="68" s="1"/>
  <c r="J21" i="68"/>
  <c r="E21" i="68"/>
  <c r="D21" i="68" s="1"/>
  <c r="J20" i="68"/>
  <c r="E20" i="68"/>
  <c r="J19" i="68"/>
  <c r="E19" i="68"/>
  <c r="J18" i="68"/>
  <c r="E18" i="68"/>
  <c r="J17" i="68"/>
  <c r="E17" i="68"/>
  <c r="D17" i="68" s="1"/>
  <c r="J16" i="68"/>
  <c r="E16" i="68"/>
  <c r="J15" i="68"/>
  <c r="E15" i="68"/>
  <c r="J14" i="68"/>
  <c r="E14" i="68"/>
  <c r="J13" i="68"/>
  <c r="E13" i="68"/>
  <c r="J12" i="68"/>
  <c r="E12" i="68"/>
  <c r="J11" i="68"/>
  <c r="E11" i="68"/>
  <c r="P10" i="68"/>
  <c r="O10" i="68"/>
  <c r="O8" i="68" s="1"/>
  <c r="N10" i="68"/>
  <c r="N8" i="68" s="1"/>
  <c r="M10" i="68"/>
  <c r="M8" i="68" s="1"/>
  <c r="L10" i="68"/>
  <c r="L8" i="68" s="1"/>
  <c r="K10" i="68"/>
  <c r="K8" i="68" s="1"/>
  <c r="I10" i="68"/>
  <c r="I8" i="68" s="1"/>
  <c r="H10" i="68"/>
  <c r="H8" i="68" s="1"/>
  <c r="G10" i="68"/>
  <c r="F10" i="68"/>
  <c r="F8" i="68" s="1"/>
  <c r="J9" i="68"/>
  <c r="E9" i="68"/>
  <c r="P8" i="68"/>
  <c r="D54" i="68" l="1"/>
  <c r="D56" i="68"/>
  <c r="D58" i="68"/>
  <c r="D60" i="68"/>
  <c r="D62" i="68"/>
  <c r="D64" i="68"/>
  <c r="D113" i="68"/>
  <c r="D117" i="68"/>
  <c r="D125" i="68"/>
  <c r="D12" i="68"/>
  <c r="D13" i="68"/>
  <c r="D14" i="68"/>
  <c r="D16" i="68"/>
  <c r="D37" i="68"/>
  <c r="D38" i="68"/>
  <c r="D40" i="68"/>
  <c r="D42" i="68"/>
  <c r="D44" i="68"/>
  <c r="D45" i="68"/>
  <c r="D46" i="68"/>
  <c r="D48" i="68"/>
  <c r="D69" i="68"/>
  <c r="D70" i="68"/>
  <c r="D72" i="68"/>
  <c r="D74" i="68"/>
  <c r="D76" i="68"/>
  <c r="D77" i="68"/>
  <c r="D78" i="68"/>
  <c r="D80" i="68"/>
  <c r="D101" i="68"/>
  <c r="D102" i="68"/>
  <c r="D104" i="68"/>
  <c r="D106" i="68"/>
  <c r="D108" i="68"/>
  <c r="D109" i="68"/>
  <c r="D110" i="68"/>
  <c r="D112" i="68"/>
  <c r="D133" i="68"/>
  <c r="D134" i="68"/>
  <c r="D136" i="68"/>
  <c r="D138" i="68"/>
  <c r="D140" i="68"/>
  <c r="D141" i="68"/>
  <c r="D142" i="68"/>
  <c r="D144" i="68"/>
  <c r="D9" i="68"/>
  <c r="D11" i="68"/>
  <c r="D25" i="68"/>
  <c r="D27" i="68"/>
  <c r="D41" i="68"/>
  <c r="D43" i="68"/>
  <c r="D57" i="68"/>
  <c r="D59" i="68"/>
  <c r="D73" i="68"/>
  <c r="D75" i="68"/>
  <c r="D89" i="68"/>
  <c r="D91" i="68"/>
  <c r="D105" i="68"/>
  <c r="D107" i="68"/>
  <c r="D121" i="68"/>
  <c r="D123" i="68"/>
  <c r="D137" i="68"/>
  <c r="D139" i="68"/>
  <c r="D153" i="68"/>
  <c r="D155" i="68"/>
  <c r="D15" i="68"/>
  <c r="D31" i="68"/>
  <c r="D47" i="68"/>
  <c r="D63" i="68"/>
  <c r="D79" i="68"/>
  <c r="D95" i="68"/>
  <c r="D111" i="68"/>
  <c r="D127" i="68"/>
  <c r="D143" i="68"/>
  <c r="E10" i="68"/>
  <c r="D19" i="68"/>
  <c r="D35" i="68"/>
  <c r="D51" i="68"/>
  <c r="D67" i="68"/>
  <c r="D83" i="68"/>
  <c r="D99" i="68"/>
  <c r="D115" i="68"/>
  <c r="D131" i="68"/>
  <c r="D147" i="68"/>
  <c r="G8" i="68"/>
  <c r="E8" i="68" s="1"/>
  <c r="D18" i="68"/>
  <c r="D20" i="68"/>
  <c r="D23" i="68"/>
  <c r="D34" i="68"/>
  <c r="D36" i="68"/>
  <c r="D39" i="68"/>
  <c r="D50" i="68"/>
  <c r="D52" i="68"/>
  <c r="D55" i="68"/>
  <c r="D66" i="68"/>
  <c r="D68" i="68"/>
  <c r="D71" i="68"/>
  <c r="D82" i="68"/>
  <c r="D84" i="68"/>
  <c r="D87" i="68"/>
  <c r="D98" i="68"/>
  <c r="D100" i="68"/>
  <c r="D103" i="68"/>
  <c r="D114" i="68"/>
  <c r="D116" i="68"/>
  <c r="D119" i="68"/>
  <c r="D130" i="68"/>
  <c r="D132" i="68"/>
  <c r="D135" i="68"/>
  <c r="D146" i="68"/>
  <c r="D148" i="68"/>
  <c r="D151" i="68"/>
  <c r="J8" i="68"/>
  <c r="J10" i="68"/>
  <c r="D10" i="68" l="1"/>
  <c r="D8" i="68"/>
  <c r="E12" i="66" l="1"/>
  <c r="E13" i="66"/>
  <c r="E14" i="66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54" i="66"/>
  <c r="E55" i="66"/>
  <c r="E56" i="66"/>
  <c r="E57" i="66"/>
  <c r="E58" i="66"/>
  <c r="E59" i="66"/>
  <c r="E60" i="66"/>
  <c r="E61" i="66"/>
  <c r="E62" i="66"/>
  <c r="E63" i="66"/>
  <c r="E64" i="66"/>
  <c r="E65" i="66"/>
  <c r="E66" i="66"/>
  <c r="E67" i="66"/>
  <c r="E68" i="66"/>
  <c r="E69" i="66"/>
  <c r="E70" i="66"/>
  <c r="E71" i="66"/>
  <c r="E72" i="66"/>
  <c r="E73" i="66"/>
  <c r="E74" i="66"/>
  <c r="E75" i="66"/>
  <c r="E76" i="66"/>
  <c r="E77" i="66"/>
  <c r="E78" i="66"/>
  <c r="E79" i="66"/>
  <c r="E80" i="66"/>
  <c r="E81" i="66"/>
  <c r="E82" i="66"/>
  <c r="E83" i="66"/>
  <c r="E84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100" i="66"/>
  <c r="E101" i="66"/>
  <c r="E102" i="66"/>
  <c r="E103" i="66"/>
  <c r="E104" i="66"/>
  <c r="E105" i="66"/>
  <c r="E106" i="66"/>
  <c r="E107" i="66"/>
  <c r="E108" i="66"/>
  <c r="E109" i="66"/>
  <c r="E110" i="66"/>
  <c r="E111" i="66"/>
  <c r="E112" i="66"/>
  <c r="E113" i="66"/>
  <c r="E114" i="66"/>
  <c r="E115" i="66"/>
  <c r="E116" i="66"/>
  <c r="E117" i="66"/>
  <c r="E118" i="66"/>
  <c r="E119" i="66"/>
  <c r="E120" i="66"/>
  <c r="E121" i="66"/>
  <c r="E122" i="66"/>
  <c r="E123" i="66"/>
  <c r="E124" i="66"/>
  <c r="E125" i="66"/>
  <c r="E126" i="66"/>
  <c r="E127" i="66"/>
  <c r="E128" i="66"/>
  <c r="E129" i="66"/>
  <c r="E130" i="66"/>
  <c r="E131" i="66"/>
  <c r="E132" i="66"/>
  <c r="E133" i="66"/>
  <c r="E134" i="66"/>
  <c r="E135" i="66"/>
  <c r="E136" i="66"/>
  <c r="E137" i="66"/>
  <c r="E138" i="66"/>
  <c r="E139" i="66"/>
  <c r="E140" i="66"/>
  <c r="E141" i="66"/>
  <c r="E142" i="66"/>
  <c r="E143" i="66"/>
  <c r="E144" i="66"/>
  <c r="E145" i="66"/>
  <c r="E146" i="66"/>
  <c r="E147" i="66"/>
  <c r="E148" i="66"/>
  <c r="E149" i="66"/>
  <c r="E150" i="66"/>
  <c r="E151" i="66"/>
  <c r="E152" i="66"/>
  <c r="E153" i="66"/>
  <c r="E154" i="66"/>
  <c r="E155" i="66"/>
  <c r="E156" i="66"/>
  <c r="E157" i="66"/>
  <c r="E158" i="66"/>
  <c r="E11" i="66"/>
  <c r="T158" i="67"/>
  <c r="Q158" i="67"/>
  <c r="J158" i="67"/>
  <c r="E158" i="67"/>
  <c r="D158" i="67" s="1"/>
  <c r="T157" i="67"/>
  <c r="Q157" i="67"/>
  <c r="J157" i="67"/>
  <c r="E157" i="67"/>
  <c r="T156" i="67"/>
  <c r="Q156" i="67"/>
  <c r="J156" i="67"/>
  <c r="E156" i="67"/>
  <c r="T155" i="67"/>
  <c r="Q155" i="67"/>
  <c r="J155" i="67"/>
  <c r="E155" i="67"/>
  <c r="T154" i="67"/>
  <c r="Q154" i="67"/>
  <c r="J154" i="67"/>
  <c r="E154" i="67"/>
  <c r="T153" i="67"/>
  <c r="Q153" i="67"/>
  <c r="J153" i="67"/>
  <c r="E153" i="67"/>
  <c r="T152" i="67"/>
  <c r="Q152" i="67"/>
  <c r="J152" i="67"/>
  <c r="E152" i="67"/>
  <c r="T151" i="67"/>
  <c r="Q151" i="67"/>
  <c r="J151" i="67"/>
  <c r="E151" i="67"/>
  <c r="T150" i="67"/>
  <c r="Q150" i="67"/>
  <c r="J150" i="67"/>
  <c r="E150" i="67"/>
  <c r="D150" i="67" s="1"/>
  <c r="T149" i="67"/>
  <c r="Q149" i="67"/>
  <c r="J149" i="67"/>
  <c r="E149" i="67"/>
  <c r="T148" i="67"/>
  <c r="Q148" i="67"/>
  <c r="J148" i="67"/>
  <c r="E148" i="67"/>
  <c r="T147" i="67"/>
  <c r="Q147" i="67"/>
  <c r="J147" i="67"/>
  <c r="E147" i="67"/>
  <c r="T146" i="67"/>
  <c r="Q146" i="67"/>
  <c r="J146" i="67"/>
  <c r="E146" i="67"/>
  <c r="D146" i="67" s="1"/>
  <c r="T145" i="67"/>
  <c r="Q145" i="67"/>
  <c r="J145" i="67"/>
  <c r="E145" i="67"/>
  <c r="T144" i="67"/>
  <c r="Q144" i="67"/>
  <c r="J144" i="67"/>
  <c r="E144" i="67"/>
  <c r="T143" i="67"/>
  <c r="Q143" i="67"/>
  <c r="J143" i="67"/>
  <c r="E143" i="67"/>
  <c r="T142" i="67"/>
  <c r="Q142" i="67"/>
  <c r="J142" i="67"/>
  <c r="E142" i="67"/>
  <c r="T141" i="67"/>
  <c r="Q141" i="67"/>
  <c r="J141" i="67"/>
  <c r="E141" i="67"/>
  <c r="T140" i="67"/>
  <c r="Q140" i="67"/>
  <c r="J140" i="67"/>
  <c r="E140" i="67"/>
  <c r="T139" i="67"/>
  <c r="Q139" i="67"/>
  <c r="J139" i="67"/>
  <c r="E139" i="67"/>
  <c r="T138" i="67"/>
  <c r="Q138" i="67"/>
  <c r="J138" i="67"/>
  <c r="E138" i="67"/>
  <c r="T137" i="67"/>
  <c r="Q137" i="67"/>
  <c r="J137" i="67"/>
  <c r="E137" i="67"/>
  <c r="T136" i="67"/>
  <c r="Q136" i="67"/>
  <c r="J136" i="67"/>
  <c r="E136" i="67"/>
  <c r="T135" i="67"/>
  <c r="Q135" i="67"/>
  <c r="J135" i="67"/>
  <c r="E135" i="67"/>
  <c r="T134" i="67"/>
  <c r="Q134" i="67"/>
  <c r="J134" i="67"/>
  <c r="E134" i="67"/>
  <c r="T133" i="67"/>
  <c r="Q133" i="67"/>
  <c r="J133" i="67"/>
  <c r="E133" i="67"/>
  <c r="T132" i="67"/>
  <c r="Q132" i="67"/>
  <c r="J132" i="67"/>
  <c r="E132" i="67"/>
  <c r="T131" i="67"/>
  <c r="Q131" i="67"/>
  <c r="J131" i="67"/>
  <c r="E131" i="67"/>
  <c r="T129" i="67"/>
  <c r="Q129" i="67"/>
  <c r="J129" i="67"/>
  <c r="E129" i="67"/>
  <c r="T128" i="67"/>
  <c r="Q128" i="67"/>
  <c r="J128" i="67"/>
  <c r="E128" i="67"/>
  <c r="T127" i="67"/>
  <c r="Q127" i="67"/>
  <c r="J127" i="67"/>
  <c r="E127" i="67"/>
  <c r="T126" i="67"/>
  <c r="Q126" i="67"/>
  <c r="J126" i="67"/>
  <c r="E126" i="67"/>
  <c r="T125" i="67"/>
  <c r="Q125" i="67"/>
  <c r="J125" i="67"/>
  <c r="E125" i="67"/>
  <c r="T124" i="67"/>
  <c r="Q124" i="67"/>
  <c r="J124" i="67"/>
  <c r="E124" i="67"/>
  <c r="T123" i="67"/>
  <c r="Q123" i="67"/>
  <c r="J123" i="67"/>
  <c r="E123" i="67"/>
  <c r="T122" i="67"/>
  <c r="Q122" i="67"/>
  <c r="J122" i="67"/>
  <c r="E122" i="67"/>
  <c r="T121" i="67"/>
  <c r="Q121" i="67"/>
  <c r="J121" i="67"/>
  <c r="E121" i="67"/>
  <c r="T120" i="67"/>
  <c r="Q120" i="67"/>
  <c r="J120" i="67"/>
  <c r="E120" i="67"/>
  <c r="T119" i="67"/>
  <c r="Q119" i="67"/>
  <c r="J119" i="67"/>
  <c r="E119" i="67"/>
  <c r="T118" i="67"/>
  <c r="Q118" i="67"/>
  <c r="J118" i="67"/>
  <c r="E118" i="67"/>
  <c r="T117" i="67"/>
  <c r="Q117" i="67"/>
  <c r="J117" i="67"/>
  <c r="E117" i="67"/>
  <c r="T116" i="67"/>
  <c r="Q116" i="67"/>
  <c r="J116" i="67"/>
  <c r="E116" i="67"/>
  <c r="T115" i="67"/>
  <c r="Q115" i="67"/>
  <c r="J115" i="67"/>
  <c r="E115" i="67"/>
  <c r="T114" i="67"/>
  <c r="Q114" i="67"/>
  <c r="J114" i="67"/>
  <c r="E114" i="67"/>
  <c r="T113" i="67"/>
  <c r="Q113" i="67"/>
  <c r="J113" i="67"/>
  <c r="E113" i="67"/>
  <c r="T112" i="67"/>
  <c r="Q112" i="67"/>
  <c r="J112" i="67"/>
  <c r="E112" i="67"/>
  <c r="T111" i="67"/>
  <c r="Q111" i="67"/>
  <c r="J111" i="67"/>
  <c r="E111" i="67"/>
  <c r="T110" i="67"/>
  <c r="Q110" i="67"/>
  <c r="J110" i="67"/>
  <c r="E110" i="67"/>
  <c r="T109" i="67"/>
  <c r="Q109" i="67"/>
  <c r="J109" i="67"/>
  <c r="E109" i="67"/>
  <c r="T108" i="67"/>
  <c r="Q108" i="67"/>
  <c r="J108" i="67"/>
  <c r="E108" i="67"/>
  <c r="T107" i="67"/>
  <c r="Q107" i="67"/>
  <c r="J107" i="67"/>
  <c r="E107" i="67"/>
  <c r="T106" i="67"/>
  <c r="Q106" i="67"/>
  <c r="J106" i="67"/>
  <c r="E106" i="67"/>
  <c r="T105" i="67"/>
  <c r="Q105" i="67"/>
  <c r="J105" i="67"/>
  <c r="E105" i="67"/>
  <c r="T104" i="67"/>
  <c r="Q104" i="67"/>
  <c r="J104" i="67"/>
  <c r="E104" i="67"/>
  <c r="T103" i="67"/>
  <c r="Q103" i="67"/>
  <c r="J103" i="67"/>
  <c r="E103" i="67"/>
  <c r="T102" i="67"/>
  <c r="Q102" i="67"/>
  <c r="J102" i="67"/>
  <c r="E102" i="67"/>
  <c r="T101" i="67"/>
  <c r="Q101" i="67"/>
  <c r="J101" i="67"/>
  <c r="E101" i="67"/>
  <c r="T100" i="67"/>
  <c r="Q100" i="67"/>
  <c r="J100" i="67"/>
  <c r="E100" i="67"/>
  <c r="T99" i="67"/>
  <c r="Q99" i="67"/>
  <c r="J99" i="67"/>
  <c r="E99" i="67"/>
  <c r="T98" i="67"/>
  <c r="Q98" i="67"/>
  <c r="J98" i="67"/>
  <c r="E98" i="67"/>
  <c r="T97" i="67"/>
  <c r="Q97" i="67"/>
  <c r="J97" i="67"/>
  <c r="E97" i="67"/>
  <c r="T96" i="67"/>
  <c r="Q96" i="67"/>
  <c r="J96" i="67"/>
  <c r="E96" i="67"/>
  <c r="T95" i="67"/>
  <c r="Q95" i="67"/>
  <c r="J95" i="67"/>
  <c r="E95" i="67"/>
  <c r="T94" i="67"/>
  <c r="Q94" i="67"/>
  <c r="J94" i="67"/>
  <c r="E94" i="67"/>
  <c r="T93" i="67"/>
  <c r="Q93" i="67"/>
  <c r="J93" i="67"/>
  <c r="E93" i="67"/>
  <c r="T92" i="67"/>
  <c r="Q92" i="67"/>
  <c r="J92" i="67"/>
  <c r="E92" i="67"/>
  <c r="T91" i="67"/>
  <c r="Q91" i="67"/>
  <c r="J91" i="67"/>
  <c r="E91" i="67"/>
  <c r="T90" i="67"/>
  <c r="Q90" i="67"/>
  <c r="J90" i="67"/>
  <c r="E90" i="67"/>
  <c r="T89" i="67"/>
  <c r="Q89" i="67"/>
  <c r="J89" i="67"/>
  <c r="E89" i="67"/>
  <c r="D89" i="67" s="1"/>
  <c r="T88" i="67"/>
  <c r="Q88" i="67"/>
  <c r="J88" i="67"/>
  <c r="E88" i="67"/>
  <c r="T87" i="67"/>
  <c r="Q87" i="67"/>
  <c r="J87" i="67"/>
  <c r="E87" i="67"/>
  <c r="T86" i="67"/>
  <c r="Q86" i="67"/>
  <c r="J86" i="67"/>
  <c r="E86" i="67"/>
  <c r="T85" i="67"/>
  <c r="Q85" i="67"/>
  <c r="J85" i="67"/>
  <c r="E85" i="67"/>
  <c r="T84" i="67"/>
  <c r="Q84" i="67"/>
  <c r="J84" i="67"/>
  <c r="E84" i="67"/>
  <c r="T83" i="67"/>
  <c r="Q83" i="67"/>
  <c r="J83" i="67"/>
  <c r="E83" i="67"/>
  <c r="T82" i="67"/>
  <c r="Q82" i="67"/>
  <c r="J82" i="67"/>
  <c r="E82" i="67"/>
  <c r="T81" i="67"/>
  <c r="Q81" i="67"/>
  <c r="J81" i="67"/>
  <c r="E81" i="67"/>
  <c r="T80" i="67"/>
  <c r="Q80" i="67"/>
  <c r="J80" i="67"/>
  <c r="E80" i="67"/>
  <c r="T79" i="67"/>
  <c r="Q79" i="67"/>
  <c r="J79" i="67"/>
  <c r="E79" i="67"/>
  <c r="T78" i="67"/>
  <c r="Q78" i="67"/>
  <c r="J78" i="67"/>
  <c r="E78" i="67"/>
  <c r="T77" i="67"/>
  <c r="Q77" i="67"/>
  <c r="J77" i="67"/>
  <c r="E77" i="67"/>
  <c r="T76" i="67"/>
  <c r="Q76" i="67"/>
  <c r="J76" i="67"/>
  <c r="E76" i="67"/>
  <c r="T75" i="67"/>
  <c r="Q75" i="67"/>
  <c r="J75" i="67"/>
  <c r="E75" i="67"/>
  <c r="T74" i="67"/>
  <c r="Q74" i="67"/>
  <c r="J74" i="67"/>
  <c r="E74" i="67"/>
  <c r="T73" i="67"/>
  <c r="Q73" i="67"/>
  <c r="J73" i="67"/>
  <c r="E73" i="67"/>
  <c r="T72" i="67"/>
  <c r="Q72" i="67"/>
  <c r="J72" i="67"/>
  <c r="E72" i="67"/>
  <c r="T71" i="67"/>
  <c r="Q71" i="67"/>
  <c r="J71" i="67"/>
  <c r="E71" i="67"/>
  <c r="T70" i="67"/>
  <c r="Q70" i="67"/>
  <c r="J70" i="67"/>
  <c r="E70" i="67"/>
  <c r="T69" i="67"/>
  <c r="Q69" i="67"/>
  <c r="J69" i="67"/>
  <c r="E69" i="67"/>
  <c r="T68" i="67"/>
  <c r="Q68" i="67"/>
  <c r="J68" i="67"/>
  <c r="E68" i="67"/>
  <c r="T67" i="67"/>
  <c r="Q67" i="67"/>
  <c r="J67" i="67"/>
  <c r="E67" i="67"/>
  <c r="T66" i="67"/>
  <c r="Q66" i="67"/>
  <c r="J66" i="67"/>
  <c r="E66" i="67"/>
  <c r="T65" i="67"/>
  <c r="Q65" i="67"/>
  <c r="J65" i="67"/>
  <c r="E65" i="67"/>
  <c r="T64" i="67"/>
  <c r="Q64" i="67"/>
  <c r="J64" i="67"/>
  <c r="E64" i="67"/>
  <c r="T63" i="67"/>
  <c r="Q63" i="67"/>
  <c r="J63" i="67"/>
  <c r="E63" i="67"/>
  <c r="T62" i="67"/>
  <c r="Q62" i="67"/>
  <c r="J62" i="67"/>
  <c r="E62" i="67"/>
  <c r="T61" i="67"/>
  <c r="Q61" i="67"/>
  <c r="J61" i="67"/>
  <c r="E61" i="67"/>
  <c r="T60" i="67"/>
  <c r="Q60" i="67"/>
  <c r="J60" i="67"/>
  <c r="E60" i="67"/>
  <c r="T59" i="67"/>
  <c r="Q59" i="67"/>
  <c r="J59" i="67"/>
  <c r="E59" i="67"/>
  <c r="T58" i="67"/>
  <c r="Q58" i="67"/>
  <c r="J58" i="67"/>
  <c r="E58" i="67"/>
  <c r="T57" i="67"/>
  <c r="Q57" i="67"/>
  <c r="J57" i="67"/>
  <c r="E57" i="67"/>
  <c r="T56" i="67"/>
  <c r="Q56" i="67"/>
  <c r="J56" i="67"/>
  <c r="E56" i="67"/>
  <c r="T55" i="67"/>
  <c r="Q55" i="67"/>
  <c r="J55" i="67"/>
  <c r="E55" i="67"/>
  <c r="T54" i="67"/>
  <c r="Q54" i="67"/>
  <c r="J54" i="67"/>
  <c r="E54" i="67"/>
  <c r="T53" i="67"/>
  <c r="Q53" i="67"/>
  <c r="J53" i="67"/>
  <c r="E53" i="67"/>
  <c r="T52" i="67"/>
  <c r="Q52" i="67"/>
  <c r="J52" i="67"/>
  <c r="E52" i="67"/>
  <c r="T51" i="67"/>
  <c r="Q51" i="67"/>
  <c r="J51" i="67"/>
  <c r="E51" i="67"/>
  <c r="T50" i="67"/>
  <c r="Q50" i="67"/>
  <c r="J50" i="67"/>
  <c r="E50" i="67"/>
  <c r="T49" i="67"/>
  <c r="Q49" i="67"/>
  <c r="J49" i="67"/>
  <c r="E49" i="67"/>
  <c r="T48" i="67"/>
  <c r="Q48" i="67"/>
  <c r="J48" i="67"/>
  <c r="E48" i="67"/>
  <c r="T47" i="67"/>
  <c r="Q47" i="67"/>
  <c r="J47" i="67"/>
  <c r="E47" i="67"/>
  <c r="T46" i="67"/>
  <c r="Q46" i="67"/>
  <c r="J46" i="67"/>
  <c r="E46" i="67"/>
  <c r="T45" i="67"/>
  <c r="Q45" i="67"/>
  <c r="J45" i="67"/>
  <c r="E45" i="67"/>
  <c r="T44" i="67"/>
  <c r="Q44" i="67"/>
  <c r="J44" i="67"/>
  <c r="E44" i="67"/>
  <c r="T43" i="67"/>
  <c r="Q43" i="67"/>
  <c r="J43" i="67"/>
  <c r="E43" i="67"/>
  <c r="T42" i="67"/>
  <c r="Q42" i="67"/>
  <c r="J42" i="67"/>
  <c r="E42" i="67"/>
  <c r="T41" i="67"/>
  <c r="Q41" i="67"/>
  <c r="J41" i="67"/>
  <c r="E41" i="67"/>
  <c r="T40" i="67"/>
  <c r="Q40" i="67"/>
  <c r="J40" i="67"/>
  <c r="E40" i="67"/>
  <c r="T39" i="67"/>
  <c r="Q39" i="67"/>
  <c r="J39" i="67"/>
  <c r="E39" i="67"/>
  <c r="T38" i="67"/>
  <c r="Q38" i="67"/>
  <c r="J38" i="67"/>
  <c r="E38" i="67"/>
  <c r="T37" i="67"/>
  <c r="Q37" i="67"/>
  <c r="J37" i="67"/>
  <c r="E37" i="67"/>
  <c r="T36" i="67"/>
  <c r="Q36" i="67"/>
  <c r="J36" i="67"/>
  <c r="E36" i="67"/>
  <c r="T35" i="67"/>
  <c r="Q35" i="67"/>
  <c r="J35" i="67"/>
  <c r="E35" i="67"/>
  <c r="T34" i="67"/>
  <c r="Q34" i="67"/>
  <c r="J34" i="67"/>
  <c r="E34" i="67"/>
  <c r="T33" i="67"/>
  <c r="Q33" i="67"/>
  <c r="J33" i="67"/>
  <c r="E33" i="67"/>
  <c r="T32" i="67"/>
  <c r="Q32" i="67"/>
  <c r="J32" i="67"/>
  <c r="E32" i="67"/>
  <c r="T31" i="67"/>
  <c r="Q31" i="67"/>
  <c r="J31" i="67"/>
  <c r="E31" i="67"/>
  <c r="T30" i="67"/>
  <c r="Q30" i="67"/>
  <c r="J30" i="67"/>
  <c r="E30" i="67"/>
  <c r="T29" i="67"/>
  <c r="Q29" i="67"/>
  <c r="J29" i="67"/>
  <c r="E29" i="67"/>
  <c r="T28" i="67"/>
  <c r="Q28" i="67"/>
  <c r="J28" i="67"/>
  <c r="E28" i="67"/>
  <c r="T27" i="67"/>
  <c r="Q27" i="67"/>
  <c r="J27" i="67"/>
  <c r="E27" i="67"/>
  <c r="T26" i="67"/>
  <c r="Q26" i="67"/>
  <c r="J26" i="67"/>
  <c r="E26" i="67"/>
  <c r="T25" i="67"/>
  <c r="Q25" i="67"/>
  <c r="J25" i="67"/>
  <c r="E25" i="67"/>
  <c r="T24" i="67"/>
  <c r="Q24" i="67"/>
  <c r="J24" i="67"/>
  <c r="E24" i="67"/>
  <c r="T23" i="67"/>
  <c r="Q23" i="67"/>
  <c r="J23" i="67"/>
  <c r="E23" i="67"/>
  <c r="T22" i="67"/>
  <c r="Q22" i="67"/>
  <c r="J22" i="67"/>
  <c r="E22" i="67"/>
  <c r="T21" i="67"/>
  <c r="Q21" i="67"/>
  <c r="J21" i="67"/>
  <c r="E21" i="67"/>
  <c r="T20" i="67"/>
  <c r="Q20" i="67"/>
  <c r="J20" i="67"/>
  <c r="E20" i="67"/>
  <c r="T19" i="67"/>
  <c r="Q19" i="67"/>
  <c r="J19" i="67"/>
  <c r="E19" i="67"/>
  <c r="T18" i="67"/>
  <c r="Q18" i="67"/>
  <c r="J18" i="67"/>
  <c r="E18" i="67"/>
  <c r="T17" i="67"/>
  <c r="Q17" i="67"/>
  <c r="J17" i="67"/>
  <c r="E17" i="67"/>
  <c r="T16" i="67"/>
  <c r="Q16" i="67"/>
  <c r="J16" i="67"/>
  <c r="E16" i="67"/>
  <c r="T15" i="67"/>
  <c r="Q15" i="67"/>
  <c r="J15" i="67"/>
  <c r="E15" i="67"/>
  <c r="T14" i="67"/>
  <c r="Q14" i="67"/>
  <c r="J14" i="67"/>
  <c r="E14" i="67"/>
  <c r="T13" i="67"/>
  <c r="Q13" i="67"/>
  <c r="J13" i="67"/>
  <c r="E13" i="67"/>
  <c r="T12" i="67"/>
  <c r="Q12" i="67"/>
  <c r="J12" i="67"/>
  <c r="E12" i="67"/>
  <c r="T11" i="67"/>
  <c r="Q11" i="67"/>
  <c r="J11" i="67"/>
  <c r="E11" i="67"/>
  <c r="Z10" i="67"/>
  <c r="Y10" i="67"/>
  <c r="X10" i="67"/>
  <c r="X8" i="67" s="1"/>
  <c r="W10" i="67"/>
  <c r="V10" i="67"/>
  <c r="U10" i="67"/>
  <c r="S10" i="67"/>
  <c r="Q10" i="67" s="1"/>
  <c r="R10" i="67"/>
  <c r="P10" i="67"/>
  <c r="O10" i="67"/>
  <c r="N10" i="67"/>
  <c r="N8" i="67" s="1"/>
  <c r="M10" i="67"/>
  <c r="L10" i="67"/>
  <c r="K10" i="67"/>
  <c r="I10" i="67"/>
  <c r="I8" i="67" s="1"/>
  <c r="H10" i="67"/>
  <c r="G10" i="67"/>
  <c r="F10" i="67"/>
  <c r="T9" i="67"/>
  <c r="Q9" i="67"/>
  <c r="J9" i="67"/>
  <c r="E9" i="67"/>
  <c r="Z8" i="67"/>
  <c r="Y8" i="67"/>
  <c r="W8" i="67"/>
  <c r="V8" i="67"/>
  <c r="U8" i="67"/>
  <c r="R8" i="67"/>
  <c r="P8" i="67"/>
  <c r="O8" i="67"/>
  <c r="M8" i="67"/>
  <c r="L8" i="67"/>
  <c r="K8" i="67"/>
  <c r="H8" i="67"/>
  <c r="G8" i="67"/>
  <c r="F8" i="67"/>
  <c r="S8" i="67" l="1"/>
  <c r="Q8" i="67" s="1"/>
  <c r="D85" i="67"/>
  <c r="D87" i="67"/>
  <c r="D88" i="67"/>
  <c r="D37" i="67"/>
  <c r="D41" i="67"/>
  <c r="D125" i="67"/>
  <c r="D42" i="67"/>
  <c r="D46" i="67"/>
  <c r="D50" i="67"/>
  <c r="D54" i="67"/>
  <c r="D58" i="67"/>
  <c r="D62" i="67"/>
  <c r="D66" i="67"/>
  <c r="D70" i="67"/>
  <c r="D74" i="67"/>
  <c r="D93" i="67"/>
  <c r="D97" i="67"/>
  <c r="D101" i="67"/>
  <c r="D105" i="67"/>
  <c r="D109" i="67"/>
  <c r="D113" i="67"/>
  <c r="D117" i="67"/>
  <c r="D151" i="67"/>
  <c r="E8" i="67"/>
  <c r="E10" i="67"/>
  <c r="D33" i="67"/>
  <c r="D35" i="67"/>
  <c r="D36" i="67"/>
  <c r="D77" i="67"/>
  <c r="D121" i="67"/>
  <c r="D122" i="67"/>
  <c r="D134" i="67"/>
  <c r="D136" i="67"/>
  <c r="D137" i="67"/>
  <c r="D140" i="67"/>
  <c r="D141" i="67"/>
  <c r="D144" i="67"/>
  <c r="D145" i="67"/>
  <c r="D154" i="67"/>
  <c r="T8" i="67"/>
  <c r="T10" i="67"/>
  <c r="D14" i="67"/>
  <c r="D18" i="67"/>
  <c r="D22" i="67"/>
  <c r="D26" i="67"/>
  <c r="D30" i="67"/>
  <c r="D39" i="67"/>
  <c r="D40" i="67"/>
  <c r="D45" i="67"/>
  <c r="D49" i="67"/>
  <c r="D53" i="67"/>
  <c r="D57" i="67"/>
  <c r="D61" i="67"/>
  <c r="D65" i="67"/>
  <c r="D69" i="67"/>
  <c r="D73" i="67"/>
  <c r="D78" i="67"/>
  <c r="D82" i="67"/>
  <c r="D91" i="67"/>
  <c r="D92" i="67"/>
  <c r="D95" i="67"/>
  <c r="D96" i="67"/>
  <c r="D99" i="67"/>
  <c r="D100" i="67"/>
  <c r="D103" i="67"/>
  <c r="D104" i="67"/>
  <c r="D107" i="67"/>
  <c r="D108" i="67"/>
  <c r="D111" i="67"/>
  <c r="D112" i="67"/>
  <c r="D115" i="67"/>
  <c r="D116" i="67"/>
  <c r="D119" i="67"/>
  <c r="D120" i="67"/>
  <c r="D126" i="67"/>
  <c r="D131" i="67"/>
  <c r="D148" i="67"/>
  <c r="D149" i="67"/>
  <c r="D155" i="67"/>
  <c r="J10" i="67"/>
  <c r="D13" i="67"/>
  <c r="D17" i="67"/>
  <c r="D21" i="67"/>
  <c r="D25" i="67"/>
  <c r="D29" i="67"/>
  <c r="D34" i="67"/>
  <c r="D43" i="67"/>
  <c r="D44" i="67"/>
  <c r="D47" i="67"/>
  <c r="D48" i="67"/>
  <c r="D51" i="67"/>
  <c r="D52" i="67"/>
  <c r="D55" i="67"/>
  <c r="D56" i="67"/>
  <c r="D59" i="67"/>
  <c r="D60" i="67"/>
  <c r="D63" i="67"/>
  <c r="D64" i="67"/>
  <c r="D67" i="67"/>
  <c r="D68" i="67"/>
  <c r="D71" i="67"/>
  <c r="D72" i="67"/>
  <c r="D75" i="67"/>
  <c r="D76" i="67"/>
  <c r="D81" i="67"/>
  <c r="D86" i="67"/>
  <c r="D123" i="67"/>
  <c r="D124" i="67"/>
  <c r="D129" i="67"/>
  <c r="D135" i="67"/>
  <c r="D139" i="67"/>
  <c r="D143" i="67"/>
  <c r="D152" i="67"/>
  <c r="D153" i="67"/>
  <c r="D9" i="67"/>
  <c r="D11" i="67"/>
  <c r="D12" i="67"/>
  <c r="D15" i="67"/>
  <c r="D16" i="67"/>
  <c r="D19" i="67"/>
  <c r="D20" i="67"/>
  <c r="D23" i="67"/>
  <c r="D24" i="67"/>
  <c r="D27" i="67"/>
  <c r="D28" i="67"/>
  <c r="D31" i="67"/>
  <c r="D32" i="67"/>
  <c r="D38" i="67"/>
  <c r="D79" i="67"/>
  <c r="D80" i="67"/>
  <c r="D83" i="67"/>
  <c r="D84" i="67"/>
  <c r="D90" i="67"/>
  <c r="D94" i="67"/>
  <c r="D98" i="67"/>
  <c r="D102" i="67"/>
  <c r="D106" i="67"/>
  <c r="D110" i="67"/>
  <c r="D114" i="67"/>
  <c r="D118" i="67"/>
  <c r="D127" i="67"/>
  <c r="D128" i="67"/>
  <c r="D132" i="67"/>
  <c r="D133" i="67"/>
  <c r="D138" i="67"/>
  <c r="D142" i="67"/>
  <c r="D147" i="67"/>
  <c r="D156" i="67"/>
  <c r="D157" i="67"/>
  <c r="J8" i="67"/>
  <c r="D10" i="67" l="1"/>
  <c r="D8" i="67" s="1"/>
  <c r="H158" i="66"/>
  <c r="D158" i="66" s="1"/>
  <c r="H157" i="66"/>
  <c r="D157" i="66" s="1"/>
  <c r="H156" i="66"/>
  <c r="H155" i="66"/>
  <c r="D155" i="66" s="1"/>
  <c r="H154" i="66"/>
  <c r="D154" i="66" s="1"/>
  <c r="H153" i="66"/>
  <c r="H152" i="66"/>
  <c r="D152" i="66" s="1"/>
  <c r="H151" i="66"/>
  <c r="H150" i="66"/>
  <c r="D150" i="66" s="1"/>
  <c r="H149" i="66"/>
  <c r="D149" i="66" s="1"/>
  <c r="H148" i="66"/>
  <c r="H147" i="66"/>
  <c r="D147" i="66" s="1"/>
  <c r="H146" i="66"/>
  <c r="D146" i="66" s="1"/>
  <c r="H145" i="66"/>
  <c r="H144" i="66"/>
  <c r="D144" i="66" s="1"/>
  <c r="H143" i="66"/>
  <c r="H142" i="66"/>
  <c r="D142" i="66" s="1"/>
  <c r="H141" i="66"/>
  <c r="H140" i="66"/>
  <c r="D140" i="66" s="1"/>
  <c r="H139" i="66"/>
  <c r="D139" i="66" s="1"/>
  <c r="H138" i="66"/>
  <c r="D138" i="66" s="1"/>
  <c r="H137" i="66"/>
  <c r="D137" i="66" s="1"/>
  <c r="H136" i="66"/>
  <c r="H135" i="66"/>
  <c r="D135" i="66" s="1"/>
  <c r="H134" i="66"/>
  <c r="D134" i="66"/>
  <c r="H133" i="66"/>
  <c r="D133" i="66" s="1"/>
  <c r="H132" i="66"/>
  <c r="D132" i="66" s="1"/>
  <c r="H131" i="66"/>
  <c r="D131" i="66" s="1"/>
  <c r="H130" i="66"/>
  <c r="D130" i="66" s="1"/>
  <c r="H129" i="66"/>
  <c r="D129" i="66" s="1"/>
  <c r="H128" i="66"/>
  <c r="D128" i="66" s="1"/>
  <c r="H127" i="66"/>
  <c r="D127" i="66" s="1"/>
  <c r="H126" i="66"/>
  <c r="D126" i="66" s="1"/>
  <c r="H125" i="66"/>
  <c r="D125" i="66" s="1"/>
  <c r="H124" i="66"/>
  <c r="H123" i="66"/>
  <c r="D123" i="66" s="1"/>
  <c r="H122" i="66"/>
  <c r="H121" i="66"/>
  <c r="D121" i="66" s="1"/>
  <c r="H120" i="66"/>
  <c r="D120" i="66" s="1"/>
  <c r="H119" i="66"/>
  <c r="H118" i="66"/>
  <c r="D118" i="66" s="1"/>
  <c r="H117" i="66"/>
  <c r="H116" i="66"/>
  <c r="D116" i="66" s="1"/>
  <c r="H115" i="66"/>
  <c r="D115" i="66"/>
  <c r="H114" i="66"/>
  <c r="H113" i="66"/>
  <c r="D113" i="66" s="1"/>
  <c r="H112" i="66"/>
  <c r="D112" i="66" s="1"/>
  <c r="H111" i="66"/>
  <c r="H110" i="66"/>
  <c r="D110" i="66" s="1"/>
  <c r="H109" i="66"/>
  <c r="H108" i="66"/>
  <c r="D108" i="66" s="1"/>
  <c r="H107" i="66"/>
  <c r="D107" i="66" s="1"/>
  <c r="H106" i="66"/>
  <c r="H105" i="66"/>
  <c r="D105" i="66" s="1"/>
  <c r="H104" i="66"/>
  <c r="D104" i="66" s="1"/>
  <c r="H103" i="66"/>
  <c r="H102" i="66"/>
  <c r="D102" i="66" s="1"/>
  <c r="H101" i="66"/>
  <c r="D101" i="66" s="1"/>
  <c r="H100" i="66"/>
  <c r="H99" i="66"/>
  <c r="D99" i="66" s="1"/>
  <c r="H98" i="66"/>
  <c r="H97" i="66"/>
  <c r="D97" i="66" s="1"/>
  <c r="H96" i="66"/>
  <c r="D96" i="66" s="1"/>
  <c r="H95" i="66"/>
  <c r="H94" i="66"/>
  <c r="D94" i="66" s="1"/>
  <c r="H93" i="66"/>
  <c r="D93" i="66" s="1"/>
  <c r="H92" i="66"/>
  <c r="H91" i="66"/>
  <c r="D91" i="66" s="1"/>
  <c r="H90" i="66"/>
  <c r="H89" i="66"/>
  <c r="D89" i="66" s="1"/>
  <c r="H88" i="66"/>
  <c r="D88" i="66" s="1"/>
  <c r="H87" i="66"/>
  <c r="H86" i="66"/>
  <c r="D86" i="66" s="1"/>
  <c r="H85" i="66"/>
  <c r="D85" i="66" s="1"/>
  <c r="H84" i="66"/>
  <c r="H83" i="66"/>
  <c r="D83" i="66" s="1"/>
  <c r="H82" i="66"/>
  <c r="H81" i="66"/>
  <c r="D81" i="66" s="1"/>
  <c r="H80" i="66"/>
  <c r="D80" i="66" s="1"/>
  <c r="H79" i="66"/>
  <c r="H78" i="66"/>
  <c r="D78" i="66" s="1"/>
  <c r="H77" i="66"/>
  <c r="D77" i="66" s="1"/>
  <c r="H76" i="66"/>
  <c r="H75" i="66"/>
  <c r="D75" i="66" s="1"/>
  <c r="H74" i="66"/>
  <c r="H73" i="66"/>
  <c r="D73" i="66" s="1"/>
  <c r="H72" i="66"/>
  <c r="D72" i="66" s="1"/>
  <c r="H71" i="66"/>
  <c r="H70" i="66"/>
  <c r="D70" i="66" s="1"/>
  <c r="H69" i="66"/>
  <c r="D69" i="66" s="1"/>
  <c r="H68" i="66"/>
  <c r="H67" i="66"/>
  <c r="D67" i="66" s="1"/>
  <c r="H66" i="66"/>
  <c r="D66" i="66" s="1"/>
  <c r="H65" i="66"/>
  <c r="D65" i="66" s="1"/>
  <c r="H64" i="66"/>
  <c r="H63" i="66"/>
  <c r="D63" i="66" s="1"/>
  <c r="H62" i="66"/>
  <c r="D62" i="66" s="1"/>
  <c r="H61" i="66"/>
  <c r="H60" i="66"/>
  <c r="D60" i="66" s="1"/>
  <c r="H59" i="66"/>
  <c r="D59" i="66" s="1"/>
  <c r="H58" i="66"/>
  <c r="H57" i="66"/>
  <c r="D57" i="66" s="1"/>
  <c r="H56" i="66"/>
  <c r="H55" i="66"/>
  <c r="D55" i="66" s="1"/>
  <c r="H54" i="66"/>
  <c r="D54" i="66" s="1"/>
  <c r="H53" i="66"/>
  <c r="H52" i="66"/>
  <c r="D52" i="66" s="1"/>
  <c r="H51" i="66"/>
  <c r="D51" i="66"/>
  <c r="H50" i="66"/>
  <c r="H49" i="66"/>
  <c r="D49" i="66" s="1"/>
  <c r="H48" i="66"/>
  <c r="H47" i="66"/>
  <c r="D47" i="66" s="1"/>
  <c r="H46" i="66"/>
  <c r="D46" i="66" s="1"/>
  <c r="H45" i="66"/>
  <c r="H44" i="66"/>
  <c r="D44" i="66" s="1"/>
  <c r="H43" i="66"/>
  <c r="D43" i="66" s="1"/>
  <c r="H42" i="66"/>
  <c r="H41" i="66"/>
  <c r="D41" i="66" s="1"/>
  <c r="H40" i="66"/>
  <c r="D40" i="66" s="1"/>
  <c r="H39" i="66"/>
  <c r="H38" i="66"/>
  <c r="D38" i="66" s="1"/>
  <c r="H37" i="66"/>
  <c r="H36" i="66"/>
  <c r="D36" i="66"/>
  <c r="H35" i="66"/>
  <c r="D35" i="66" s="1"/>
  <c r="H34" i="66"/>
  <c r="D34" i="66" s="1"/>
  <c r="H33" i="66"/>
  <c r="D33" i="66" s="1"/>
  <c r="H32" i="66"/>
  <c r="H31" i="66"/>
  <c r="D31" i="66" s="1"/>
  <c r="H30" i="66"/>
  <c r="D30" i="66" s="1"/>
  <c r="H29" i="66"/>
  <c r="H28" i="66"/>
  <c r="D28" i="66" s="1"/>
  <c r="H27" i="66"/>
  <c r="H26" i="66"/>
  <c r="D26" i="66" s="1"/>
  <c r="H25" i="66"/>
  <c r="D25" i="66"/>
  <c r="H24" i="66"/>
  <c r="D24" i="66" s="1"/>
  <c r="H23" i="66"/>
  <c r="D23" i="66" s="1"/>
  <c r="H22" i="66"/>
  <c r="H21" i="66"/>
  <c r="D21" i="66" s="1"/>
  <c r="H20" i="66"/>
  <c r="D20" i="66" s="1"/>
  <c r="H19" i="66"/>
  <c r="H18" i="66"/>
  <c r="D18" i="66" s="1"/>
  <c r="H17" i="66"/>
  <c r="H16" i="66"/>
  <c r="D16" i="66" s="1"/>
  <c r="H15" i="66"/>
  <c r="D15" i="66" s="1"/>
  <c r="H14" i="66"/>
  <c r="H13" i="66"/>
  <c r="D13" i="66" s="1"/>
  <c r="H12" i="66"/>
  <c r="D12" i="66" s="1"/>
  <c r="H11" i="66"/>
  <c r="N10" i="66"/>
  <c r="N8" i="66" s="1"/>
  <c r="M10" i="66"/>
  <c r="L10" i="66"/>
  <c r="L8" i="66" s="1"/>
  <c r="K10" i="66"/>
  <c r="K8" i="66" s="1"/>
  <c r="J10" i="66"/>
  <c r="J8" i="66" s="1"/>
  <c r="I10" i="66"/>
  <c r="G10" i="66"/>
  <c r="G8" i="66" s="1"/>
  <c r="F10" i="66"/>
  <c r="F8" i="66" s="1"/>
  <c r="H9" i="66"/>
  <c r="E9" i="66"/>
  <c r="M8" i="66"/>
  <c r="I8" i="66"/>
  <c r="E8" i="66" l="1"/>
  <c r="H10" i="66"/>
  <c r="D9" i="66"/>
  <c r="D11" i="66"/>
  <c r="D14" i="66"/>
  <c r="D37" i="66"/>
  <c r="D39" i="66"/>
  <c r="D48" i="66"/>
  <c r="D50" i="66"/>
  <c r="D53" i="66"/>
  <c r="D64" i="66"/>
  <c r="D74" i="66"/>
  <c r="D76" i="66"/>
  <c r="D79" i="66"/>
  <c r="D90" i="66"/>
  <c r="D92" i="66"/>
  <c r="D95" i="66"/>
  <c r="D103" i="66"/>
  <c r="D106" i="66"/>
  <c r="D117" i="66"/>
  <c r="D119" i="66"/>
  <c r="D122" i="66"/>
  <c r="D136" i="66"/>
  <c r="D141" i="66"/>
  <c r="D151" i="66"/>
  <c r="D153" i="66"/>
  <c r="D156" i="66"/>
  <c r="E10" i="66"/>
  <c r="D17" i="66"/>
  <c r="D19" i="66"/>
  <c r="D22" i="66"/>
  <c r="D27" i="66"/>
  <c r="D29" i="66"/>
  <c r="D32" i="66"/>
  <c r="D42" i="66"/>
  <c r="D45" i="66"/>
  <c r="D56" i="66"/>
  <c r="D58" i="66"/>
  <c r="D61" i="66"/>
  <c r="D68" i="66"/>
  <c r="D71" i="66"/>
  <c r="D82" i="66"/>
  <c r="D84" i="66"/>
  <c r="D87" i="66"/>
  <c r="D98" i="66"/>
  <c r="D100" i="66"/>
  <c r="D109" i="66"/>
  <c r="D111" i="66"/>
  <c r="D114" i="66"/>
  <c r="D124" i="66"/>
  <c r="D143" i="66"/>
  <c r="D145" i="66"/>
  <c r="D148" i="66"/>
  <c r="H8" i="66"/>
  <c r="D10" i="66" l="1"/>
  <c r="D8" i="66"/>
  <c r="H158" i="65" l="1"/>
  <c r="D158" i="65" s="1"/>
  <c r="H157" i="65"/>
  <c r="D157" i="65" s="1"/>
  <c r="H156" i="65"/>
  <c r="E156" i="65"/>
  <c r="H155" i="65"/>
  <c r="E155" i="65"/>
  <c r="H154" i="65"/>
  <c r="E154" i="65"/>
  <c r="H153" i="65"/>
  <c r="E153" i="65"/>
  <c r="H152" i="65"/>
  <c r="E152" i="65"/>
  <c r="H151" i="65"/>
  <c r="E151" i="65"/>
  <c r="H150" i="65"/>
  <c r="E150" i="65"/>
  <c r="H149" i="65"/>
  <c r="E149" i="65"/>
  <c r="H148" i="65"/>
  <c r="E148" i="65"/>
  <c r="H147" i="65"/>
  <c r="E147" i="65"/>
  <c r="H146" i="65"/>
  <c r="E146" i="65"/>
  <c r="H145" i="65"/>
  <c r="E145" i="65"/>
  <c r="H144" i="65"/>
  <c r="E144" i="65"/>
  <c r="H143" i="65"/>
  <c r="E143" i="65"/>
  <c r="H142" i="65"/>
  <c r="D142" i="65" s="1"/>
  <c r="H141" i="65"/>
  <c r="E141" i="65"/>
  <c r="H140" i="65"/>
  <c r="D140" i="65" s="1"/>
  <c r="H139" i="65"/>
  <c r="E139" i="65"/>
  <c r="H138" i="65"/>
  <c r="D138" i="65" s="1"/>
  <c r="H137" i="65"/>
  <c r="D137" i="65" s="1"/>
  <c r="H136" i="65"/>
  <c r="E136" i="65"/>
  <c r="H135" i="65"/>
  <c r="D135" i="65" s="1"/>
  <c r="H134" i="65"/>
  <c r="D134" i="65" s="1"/>
  <c r="H133" i="65"/>
  <c r="D133" i="65" s="1"/>
  <c r="H132" i="65"/>
  <c r="D132" i="65" s="1"/>
  <c r="H131" i="65"/>
  <c r="E131" i="65"/>
  <c r="H130" i="65"/>
  <c r="D130" i="65" s="1"/>
  <c r="H129" i="65"/>
  <c r="E129" i="65"/>
  <c r="H128" i="65"/>
  <c r="D128" i="65" s="1"/>
  <c r="H127" i="65"/>
  <c r="D127" i="65" s="1"/>
  <c r="H126" i="65"/>
  <c r="D126" i="65" s="1"/>
  <c r="H125" i="65"/>
  <c r="E125" i="65"/>
  <c r="H124" i="65"/>
  <c r="E124" i="65"/>
  <c r="H123" i="65"/>
  <c r="D123" i="65" s="1"/>
  <c r="H122" i="65"/>
  <c r="E122" i="65"/>
  <c r="H121" i="65"/>
  <c r="E121" i="65"/>
  <c r="H120" i="65"/>
  <c r="E120" i="65"/>
  <c r="H119" i="65"/>
  <c r="E119" i="65"/>
  <c r="H118" i="65"/>
  <c r="E118" i="65"/>
  <c r="H117" i="65"/>
  <c r="E117" i="65"/>
  <c r="H116" i="65"/>
  <c r="E116" i="65"/>
  <c r="H115" i="65"/>
  <c r="E115" i="65"/>
  <c r="H114" i="65"/>
  <c r="E114" i="65"/>
  <c r="H113" i="65"/>
  <c r="E113" i="65"/>
  <c r="H112" i="65"/>
  <c r="E112" i="65"/>
  <c r="H111" i="65"/>
  <c r="E111" i="65"/>
  <c r="H110" i="65"/>
  <c r="E110" i="65"/>
  <c r="H109" i="65"/>
  <c r="E109" i="65"/>
  <c r="H108" i="65"/>
  <c r="E108" i="65"/>
  <c r="H107" i="65"/>
  <c r="E107" i="65"/>
  <c r="H106" i="65"/>
  <c r="E106" i="65"/>
  <c r="H105" i="65"/>
  <c r="E105" i="65"/>
  <c r="H104" i="65"/>
  <c r="E104" i="65"/>
  <c r="H103" i="65"/>
  <c r="E103" i="65"/>
  <c r="H102" i="65"/>
  <c r="D102" i="65" s="1"/>
  <c r="H101" i="65"/>
  <c r="E101" i="65"/>
  <c r="H100" i="65"/>
  <c r="E100" i="65"/>
  <c r="H99" i="65"/>
  <c r="E99" i="65"/>
  <c r="H98" i="65"/>
  <c r="E98" i="65"/>
  <c r="H97" i="65"/>
  <c r="E97" i="65"/>
  <c r="H96" i="65"/>
  <c r="E96" i="65"/>
  <c r="H95" i="65"/>
  <c r="E95" i="65"/>
  <c r="H94" i="65"/>
  <c r="E94" i="65"/>
  <c r="H93" i="65"/>
  <c r="E93" i="65"/>
  <c r="H92" i="65"/>
  <c r="E92" i="65"/>
  <c r="H91" i="65"/>
  <c r="E91" i="65"/>
  <c r="H90" i="65"/>
  <c r="E90" i="65"/>
  <c r="H89" i="65"/>
  <c r="E89" i="65"/>
  <c r="H88" i="65"/>
  <c r="E88" i="65"/>
  <c r="H87" i="65"/>
  <c r="E87" i="65"/>
  <c r="H86" i="65"/>
  <c r="E86" i="65"/>
  <c r="H85" i="65"/>
  <c r="E85" i="65"/>
  <c r="H84" i="65"/>
  <c r="E84" i="65"/>
  <c r="H83" i="65"/>
  <c r="E83" i="65"/>
  <c r="H82" i="65"/>
  <c r="E82" i="65"/>
  <c r="H81" i="65"/>
  <c r="E81" i="65"/>
  <c r="H80" i="65"/>
  <c r="E80" i="65"/>
  <c r="H79" i="65"/>
  <c r="E79" i="65"/>
  <c r="H78" i="65"/>
  <c r="E78" i="65"/>
  <c r="H77" i="65"/>
  <c r="E77" i="65"/>
  <c r="H76" i="65"/>
  <c r="E76" i="65"/>
  <c r="H75" i="65"/>
  <c r="E75" i="65"/>
  <c r="H74" i="65"/>
  <c r="E74" i="65"/>
  <c r="H73" i="65"/>
  <c r="E73" i="65"/>
  <c r="H72" i="65"/>
  <c r="E72" i="65"/>
  <c r="H71" i="65"/>
  <c r="E71" i="65"/>
  <c r="H70" i="65"/>
  <c r="D70" i="65" s="1"/>
  <c r="E70" i="65"/>
  <c r="H69" i="65"/>
  <c r="E69" i="65"/>
  <c r="H68" i="65"/>
  <c r="E68" i="65"/>
  <c r="H67" i="65"/>
  <c r="D67" i="65" s="1"/>
  <c r="H66" i="65"/>
  <c r="D66" i="65" s="1"/>
  <c r="H65" i="65"/>
  <c r="E65" i="65"/>
  <c r="H64" i="65"/>
  <c r="E64" i="65"/>
  <c r="H63" i="65"/>
  <c r="E63" i="65"/>
  <c r="H62" i="65"/>
  <c r="E62" i="65"/>
  <c r="H61" i="65"/>
  <c r="E61" i="65"/>
  <c r="H60" i="65"/>
  <c r="E60" i="65"/>
  <c r="H59" i="65"/>
  <c r="E59" i="65"/>
  <c r="H58" i="65"/>
  <c r="E58" i="65"/>
  <c r="H57" i="65"/>
  <c r="E57" i="65"/>
  <c r="H56" i="65"/>
  <c r="E56" i="65"/>
  <c r="H55" i="65"/>
  <c r="E55" i="65"/>
  <c r="H54" i="65"/>
  <c r="E54" i="65"/>
  <c r="H53" i="65"/>
  <c r="E53" i="65"/>
  <c r="H52" i="65"/>
  <c r="E52" i="65"/>
  <c r="H51" i="65"/>
  <c r="E51" i="65"/>
  <c r="H50" i="65"/>
  <c r="E50" i="65"/>
  <c r="H49" i="65"/>
  <c r="E49" i="65"/>
  <c r="H48" i="65"/>
  <c r="E48" i="65"/>
  <c r="H47" i="65"/>
  <c r="E47" i="65"/>
  <c r="H46" i="65"/>
  <c r="E46" i="65"/>
  <c r="H45" i="65"/>
  <c r="E45" i="65"/>
  <c r="H44" i="65"/>
  <c r="E44" i="65"/>
  <c r="H43" i="65"/>
  <c r="E43" i="65"/>
  <c r="H42" i="65"/>
  <c r="E42" i="65"/>
  <c r="H41" i="65"/>
  <c r="D41" i="65" s="1"/>
  <c r="H40" i="65"/>
  <c r="E40" i="65"/>
  <c r="H39" i="65"/>
  <c r="E39" i="65"/>
  <c r="H38" i="65"/>
  <c r="E38" i="65"/>
  <c r="H37" i="65"/>
  <c r="E37" i="65"/>
  <c r="H36" i="65"/>
  <c r="E36" i="65"/>
  <c r="H35" i="65"/>
  <c r="D35" i="65" s="1"/>
  <c r="H34" i="65"/>
  <c r="D34" i="65"/>
  <c r="H33" i="65"/>
  <c r="E33" i="65"/>
  <c r="H32" i="65"/>
  <c r="E32" i="65"/>
  <c r="D32" i="65" s="1"/>
  <c r="H31" i="65"/>
  <c r="E31" i="65"/>
  <c r="H30" i="65"/>
  <c r="E30" i="65"/>
  <c r="H29" i="65"/>
  <c r="E29" i="65"/>
  <c r="H28" i="65"/>
  <c r="E28" i="65"/>
  <c r="D28" i="65" s="1"/>
  <c r="H27" i="65"/>
  <c r="E27" i="65"/>
  <c r="H26" i="65"/>
  <c r="E26" i="65"/>
  <c r="D26" i="65" s="1"/>
  <c r="H25" i="65"/>
  <c r="E25" i="65"/>
  <c r="H24" i="65"/>
  <c r="D24" i="65" s="1"/>
  <c r="H23" i="65"/>
  <c r="D23" i="65" s="1"/>
  <c r="H22" i="65"/>
  <c r="E22" i="65"/>
  <c r="H21" i="65"/>
  <c r="E21" i="65"/>
  <c r="H20" i="65"/>
  <c r="E20" i="65"/>
  <c r="H19" i="65"/>
  <c r="E19" i="65"/>
  <c r="D19" i="65" s="1"/>
  <c r="H18" i="65"/>
  <c r="E18" i="65"/>
  <c r="H17" i="65"/>
  <c r="E17" i="65"/>
  <c r="H16" i="65"/>
  <c r="E16" i="65"/>
  <c r="H15" i="65"/>
  <c r="E15" i="65"/>
  <c r="H14" i="65"/>
  <c r="E14" i="65"/>
  <c r="H13" i="65"/>
  <c r="E13" i="65"/>
  <c r="H12" i="65"/>
  <c r="E12" i="65"/>
  <c r="H11" i="65"/>
  <c r="E11" i="65"/>
  <c r="N10" i="65"/>
  <c r="N8" i="65" s="1"/>
  <c r="M10" i="65"/>
  <c r="M8" i="65" s="1"/>
  <c r="L10" i="65"/>
  <c r="L8" i="65" s="1"/>
  <c r="K10" i="65"/>
  <c r="K8" i="65" s="1"/>
  <c r="J10" i="65"/>
  <c r="J8" i="65" s="1"/>
  <c r="I10" i="65"/>
  <c r="G10" i="65"/>
  <c r="G8" i="65" s="1"/>
  <c r="F10" i="65"/>
  <c r="F8" i="65" s="1"/>
  <c r="H9" i="65"/>
  <c r="E9" i="65"/>
  <c r="D83" i="65" l="1"/>
  <c r="D87" i="65"/>
  <c r="D153" i="65"/>
  <c r="D9" i="65"/>
  <c r="D14" i="65"/>
  <c r="D18" i="65"/>
  <c r="D90" i="65"/>
  <c r="D145" i="65"/>
  <c r="D147" i="65"/>
  <c r="D151" i="65"/>
  <c r="D154" i="65"/>
  <c r="D36" i="65"/>
  <c r="D40" i="65"/>
  <c r="D82" i="65"/>
  <c r="D84" i="65"/>
  <c r="D88" i="65"/>
  <c r="D111" i="65"/>
  <c r="D119" i="65"/>
  <c r="D121" i="65"/>
  <c r="D141" i="65"/>
  <c r="D155" i="65"/>
  <c r="D11" i="65"/>
  <c r="D13" i="65"/>
  <c r="D17" i="65"/>
  <c r="D25" i="65"/>
  <c r="D29" i="65"/>
  <c r="D33" i="65"/>
  <c r="D39" i="65"/>
  <c r="D43" i="65"/>
  <c r="D45" i="65"/>
  <c r="D47" i="65"/>
  <c r="D49" i="65"/>
  <c r="D51" i="65"/>
  <c r="D53" i="65"/>
  <c r="D55" i="65"/>
  <c r="D57" i="65"/>
  <c r="D59" i="65"/>
  <c r="D61" i="65"/>
  <c r="D63" i="65"/>
  <c r="D65" i="65"/>
  <c r="D103" i="65"/>
  <c r="D105" i="65"/>
  <c r="D109" i="65"/>
  <c r="D21" i="65"/>
  <c r="D74" i="65"/>
  <c r="D76" i="65"/>
  <c r="D80" i="65"/>
  <c r="D113" i="65"/>
  <c r="D117" i="65"/>
  <c r="D15" i="65"/>
  <c r="D30" i="65"/>
  <c r="D91" i="65"/>
  <c r="D95" i="65"/>
  <c r="D99" i="65"/>
  <c r="D107" i="65"/>
  <c r="D129" i="65"/>
  <c r="D149" i="65"/>
  <c r="D71" i="65"/>
  <c r="D86" i="65"/>
  <c r="D115" i="65"/>
  <c r="D78" i="65"/>
  <c r="D93" i="65"/>
  <c r="D97" i="65"/>
  <c r="D101" i="65"/>
  <c r="D22" i="65"/>
  <c r="D37" i="65"/>
  <c r="D68" i="65"/>
  <c r="D72" i="65"/>
  <c r="D75" i="65"/>
  <c r="D79" i="65"/>
  <c r="D125" i="65"/>
  <c r="D131" i="65"/>
  <c r="D143" i="65"/>
  <c r="D146" i="65"/>
  <c r="D150" i="65"/>
  <c r="D16" i="65"/>
  <c r="D31" i="65"/>
  <c r="D38" i="65"/>
  <c r="D69" i="65"/>
  <c r="D77" i="65"/>
  <c r="D85" i="65"/>
  <c r="D92" i="65"/>
  <c r="D94" i="65"/>
  <c r="D96" i="65"/>
  <c r="D98" i="65"/>
  <c r="D100" i="65"/>
  <c r="D136" i="65"/>
  <c r="D144" i="65"/>
  <c r="D152" i="65"/>
  <c r="D20" i="65"/>
  <c r="D27" i="65"/>
  <c r="D42" i="65"/>
  <c r="D44" i="65"/>
  <c r="D46" i="65"/>
  <c r="D48" i="65"/>
  <c r="D50" i="65"/>
  <c r="D52" i="65"/>
  <c r="D54" i="65"/>
  <c r="D56" i="65"/>
  <c r="D58" i="65"/>
  <c r="D60" i="65"/>
  <c r="D62" i="65"/>
  <c r="D64" i="65"/>
  <c r="D73" i="65"/>
  <c r="D81" i="65"/>
  <c r="D89" i="65"/>
  <c r="D124" i="65"/>
  <c r="D139" i="65"/>
  <c r="D148" i="65"/>
  <c r="D156" i="65"/>
  <c r="H10" i="65"/>
  <c r="H8" i="65" s="1"/>
  <c r="I8" i="65"/>
  <c r="D12" i="65"/>
  <c r="E10" i="65"/>
  <c r="E8" i="65" s="1"/>
  <c r="D104" i="65"/>
  <c r="D108" i="65"/>
  <c r="D112" i="65"/>
  <c r="D116" i="65"/>
  <c r="D120" i="65"/>
  <c r="D106" i="65"/>
  <c r="D110" i="65"/>
  <c r="D114" i="65"/>
  <c r="D118" i="65"/>
  <c r="D122" i="65"/>
  <c r="D10" i="65" l="1"/>
  <c r="D8" i="65" s="1"/>
  <c r="K157" i="64" l="1"/>
  <c r="H157" i="64"/>
  <c r="K156" i="64"/>
  <c r="E156" i="64"/>
  <c r="K155" i="64"/>
  <c r="H155" i="64"/>
  <c r="K154" i="64"/>
  <c r="H154" i="64"/>
  <c r="K153" i="64"/>
  <c r="K152" i="64"/>
  <c r="H152" i="64"/>
  <c r="K151" i="64"/>
  <c r="H151" i="64"/>
  <c r="K150" i="64"/>
  <c r="H150" i="64"/>
  <c r="K149" i="64"/>
  <c r="K148" i="64"/>
  <c r="H148" i="64"/>
  <c r="K147" i="64"/>
  <c r="H147" i="64"/>
  <c r="K146" i="64"/>
  <c r="H146" i="64"/>
  <c r="K145" i="64"/>
  <c r="H145" i="64"/>
  <c r="K144" i="64"/>
  <c r="E144" i="64"/>
  <c r="K143" i="64"/>
  <c r="H143" i="64"/>
  <c r="D143" i="64" s="1"/>
  <c r="E143" i="64"/>
  <c r="K142" i="64"/>
  <c r="H142" i="64"/>
  <c r="K141" i="64"/>
  <c r="H141" i="64"/>
  <c r="K140" i="64"/>
  <c r="K139" i="64"/>
  <c r="H139" i="64"/>
  <c r="K138" i="64"/>
  <c r="H138" i="64"/>
  <c r="K137" i="64"/>
  <c r="H137" i="64"/>
  <c r="K136" i="64"/>
  <c r="E136" i="64"/>
  <c r="K135" i="64"/>
  <c r="H135" i="64"/>
  <c r="E135" i="64"/>
  <c r="K134" i="64"/>
  <c r="H134" i="64"/>
  <c r="K133" i="64"/>
  <c r="E133" i="64"/>
  <c r="K132" i="64"/>
  <c r="H132" i="64"/>
  <c r="K131" i="64"/>
  <c r="E131" i="64"/>
  <c r="K130" i="64"/>
  <c r="H130" i="64"/>
  <c r="K129" i="64"/>
  <c r="H129" i="64"/>
  <c r="E129" i="64"/>
  <c r="K128" i="64"/>
  <c r="H128" i="64"/>
  <c r="K127" i="64"/>
  <c r="H127" i="64"/>
  <c r="K126" i="64"/>
  <c r="H126" i="64"/>
  <c r="K125" i="64"/>
  <c r="H125" i="64"/>
  <c r="K124" i="64"/>
  <c r="K123" i="64"/>
  <c r="H123" i="64"/>
  <c r="K122" i="64"/>
  <c r="H122" i="64"/>
  <c r="K121" i="64"/>
  <c r="H121" i="64"/>
  <c r="K120" i="64"/>
  <c r="E120" i="64"/>
  <c r="K119" i="64"/>
  <c r="H119" i="64"/>
  <c r="E119" i="64"/>
  <c r="K118" i="64"/>
  <c r="H118" i="64"/>
  <c r="K117" i="64"/>
  <c r="H117" i="64"/>
  <c r="K116" i="64"/>
  <c r="K115" i="64"/>
  <c r="H115" i="64"/>
  <c r="K114" i="64"/>
  <c r="H114" i="64"/>
  <c r="K113" i="64"/>
  <c r="H113" i="64"/>
  <c r="K112" i="64"/>
  <c r="E112" i="64"/>
  <c r="K111" i="64"/>
  <c r="H111" i="64"/>
  <c r="E111" i="64"/>
  <c r="K110" i="64"/>
  <c r="H110" i="64"/>
  <c r="K109" i="64"/>
  <c r="H109" i="64"/>
  <c r="K108" i="64"/>
  <c r="K107" i="64"/>
  <c r="H107" i="64"/>
  <c r="K106" i="64"/>
  <c r="H106" i="64"/>
  <c r="K105" i="64"/>
  <c r="H105" i="64"/>
  <c r="K104" i="64"/>
  <c r="E104" i="64"/>
  <c r="K103" i="64"/>
  <c r="H103" i="64"/>
  <c r="E103" i="64"/>
  <c r="K102" i="64"/>
  <c r="H102" i="64"/>
  <c r="K101" i="64"/>
  <c r="E101" i="64"/>
  <c r="K100" i="64"/>
  <c r="H100" i="64"/>
  <c r="K99" i="64"/>
  <c r="E99" i="64"/>
  <c r="K98" i="64"/>
  <c r="H98" i="64"/>
  <c r="K97" i="64"/>
  <c r="H97" i="64"/>
  <c r="E97" i="64"/>
  <c r="K96" i="64"/>
  <c r="H96" i="64"/>
  <c r="K95" i="64"/>
  <c r="H95" i="64"/>
  <c r="K94" i="64"/>
  <c r="H94" i="64"/>
  <c r="K93" i="64"/>
  <c r="H93" i="64"/>
  <c r="K92" i="64"/>
  <c r="K91" i="64"/>
  <c r="H91" i="64"/>
  <c r="K90" i="64"/>
  <c r="H90" i="64"/>
  <c r="K89" i="64"/>
  <c r="H89" i="64"/>
  <c r="K88" i="64"/>
  <c r="E88" i="64"/>
  <c r="K87" i="64"/>
  <c r="H87" i="64"/>
  <c r="E87" i="64"/>
  <c r="K86" i="64"/>
  <c r="H86" i="64"/>
  <c r="K85" i="64"/>
  <c r="H85" i="64"/>
  <c r="K84" i="64"/>
  <c r="K83" i="64"/>
  <c r="H83" i="64"/>
  <c r="K82" i="64"/>
  <c r="H82" i="64"/>
  <c r="K81" i="64"/>
  <c r="H81" i="64"/>
  <c r="K80" i="64"/>
  <c r="E80" i="64"/>
  <c r="K79" i="64"/>
  <c r="H79" i="64"/>
  <c r="E79" i="64"/>
  <c r="K78" i="64"/>
  <c r="H78" i="64"/>
  <c r="K77" i="64"/>
  <c r="H77" i="64"/>
  <c r="K76" i="64"/>
  <c r="H76" i="64"/>
  <c r="K75" i="64"/>
  <c r="E75" i="64"/>
  <c r="K74" i="64"/>
  <c r="E74" i="64"/>
  <c r="K73" i="64"/>
  <c r="E73" i="64"/>
  <c r="K72" i="64"/>
  <c r="H72" i="64"/>
  <c r="K71" i="64"/>
  <c r="K70" i="64"/>
  <c r="H70" i="64"/>
  <c r="K69" i="64"/>
  <c r="K68" i="64"/>
  <c r="H68" i="64"/>
  <c r="K67" i="64"/>
  <c r="E67" i="64"/>
  <c r="K66" i="64"/>
  <c r="E66" i="64"/>
  <c r="K65" i="64"/>
  <c r="E65" i="64"/>
  <c r="K64" i="64"/>
  <c r="H64" i="64"/>
  <c r="K63" i="64"/>
  <c r="K62" i="64"/>
  <c r="H62" i="64"/>
  <c r="K61" i="64"/>
  <c r="K60" i="64"/>
  <c r="H60" i="64"/>
  <c r="K59" i="64"/>
  <c r="E59" i="64"/>
  <c r="K58" i="64"/>
  <c r="E58" i="64"/>
  <c r="K57" i="64"/>
  <c r="E57" i="64"/>
  <c r="K56" i="64"/>
  <c r="H56" i="64"/>
  <c r="K55" i="64"/>
  <c r="K54" i="64"/>
  <c r="H54" i="64"/>
  <c r="K53" i="64"/>
  <c r="K52" i="64"/>
  <c r="H52" i="64"/>
  <c r="K51" i="64"/>
  <c r="E51" i="64"/>
  <c r="K50" i="64"/>
  <c r="E50" i="64"/>
  <c r="K49" i="64"/>
  <c r="E49" i="64"/>
  <c r="K48" i="64"/>
  <c r="H48" i="64"/>
  <c r="K47" i="64"/>
  <c r="K46" i="64"/>
  <c r="H46" i="64"/>
  <c r="K45" i="64"/>
  <c r="K44" i="64"/>
  <c r="H44" i="64"/>
  <c r="K43" i="64"/>
  <c r="E43" i="64"/>
  <c r="K42" i="64"/>
  <c r="E42" i="64"/>
  <c r="K41" i="64"/>
  <c r="E41" i="64"/>
  <c r="K40" i="64"/>
  <c r="H40" i="64"/>
  <c r="K39" i="64"/>
  <c r="K38" i="64"/>
  <c r="H38" i="64"/>
  <c r="K37" i="64"/>
  <c r="K36" i="64"/>
  <c r="H36" i="64"/>
  <c r="K35" i="64"/>
  <c r="E35" i="64"/>
  <c r="K34" i="64"/>
  <c r="E34" i="64"/>
  <c r="K33" i="64"/>
  <c r="E33" i="64"/>
  <c r="K32" i="64"/>
  <c r="H32" i="64"/>
  <c r="K31" i="64"/>
  <c r="K30" i="64"/>
  <c r="H30" i="64"/>
  <c r="K29" i="64"/>
  <c r="K28" i="64"/>
  <c r="H28" i="64"/>
  <c r="K27" i="64"/>
  <c r="E27" i="64"/>
  <c r="K26" i="64"/>
  <c r="E26" i="64"/>
  <c r="K25" i="64"/>
  <c r="E25" i="64"/>
  <c r="K24" i="64"/>
  <c r="H24" i="64"/>
  <c r="K23" i="64"/>
  <c r="H23" i="64"/>
  <c r="K22" i="64"/>
  <c r="K21" i="64"/>
  <c r="H21" i="64"/>
  <c r="K20" i="64"/>
  <c r="E20" i="64"/>
  <c r="K19" i="64"/>
  <c r="H19" i="64"/>
  <c r="K18" i="64"/>
  <c r="K17" i="64"/>
  <c r="H17" i="64"/>
  <c r="K16" i="64"/>
  <c r="H16" i="64"/>
  <c r="K15" i="64"/>
  <c r="E15" i="64"/>
  <c r="K14" i="64"/>
  <c r="H14" i="64"/>
  <c r="K13" i="64"/>
  <c r="H13" i="64"/>
  <c r="K12" i="64"/>
  <c r="H12" i="64"/>
  <c r="K11" i="64"/>
  <c r="E11" i="64"/>
  <c r="K10" i="64"/>
  <c r="H10" i="64"/>
  <c r="Q9" i="64"/>
  <c r="Q7" i="64" s="1"/>
  <c r="P9" i="64"/>
  <c r="O9" i="64"/>
  <c r="O7" i="64" s="1"/>
  <c r="N9" i="64"/>
  <c r="M9" i="64"/>
  <c r="M7" i="64" s="1"/>
  <c r="L9" i="64"/>
  <c r="H8" i="64"/>
  <c r="E8" i="64"/>
  <c r="N7" i="64" l="1"/>
  <c r="P7" i="64"/>
  <c r="D111" i="64"/>
  <c r="D103" i="64"/>
  <c r="D135" i="64"/>
  <c r="D87" i="64"/>
  <c r="D79" i="64"/>
  <c r="D119" i="64"/>
  <c r="K8" i="64"/>
  <c r="D8" i="64" s="1"/>
  <c r="H11" i="64"/>
  <c r="D11" i="64" s="1"/>
  <c r="E16" i="64"/>
  <c r="H20" i="64"/>
  <c r="D20" i="64" s="1"/>
  <c r="E28" i="64"/>
  <c r="E29" i="64"/>
  <c r="E32" i="64"/>
  <c r="D32" i="64" s="1"/>
  <c r="H34" i="64"/>
  <c r="D34" i="64" s="1"/>
  <c r="E38" i="64"/>
  <c r="E39" i="64"/>
  <c r="E44" i="64"/>
  <c r="E45" i="64"/>
  <c r="E48" i="64"/>
  <c r="D48" i="64" s="1"/>
  <c r="H50" i="64"/>
  <c r="D50" i="64" s="1"/>
  <c r="E54" i="64"/>
  <c r="E55" i="64"/>
  <c r="E60" i="64"/>
  <c r="E61" i="64"/>
  <c r="E64" i="64"/>
  <c r="D64" i="64" s="1"/>
  <c r="H66" i="64"/>
  <c r="D66" i="64" s="1"/>
  <c r="E70" i="64"/>
  <c r="E71" i="64"/>
  <c r="E76" i="64"/>
  <c r="H80" i="64"/>
  <c r="D80" i="64" s="1"/>
  <c r="H88" i="64"/>
  <c r="D88" i="64" s="1"/>
  <c r="E93" i="64"/>
  <c r="D93" i="64" s="1"/>
  <c r="E95" i="64"/>
  <c r="D95" i="64" s="1"/>
  <c r="H101" i="64"/>
  <c r="D101" i="64" s="1"/>
  <c r="E105" i="64"/>
  <c r="E107" i="64"/>
  <c r="D107" i="64" s="1"/>
  <c r="H108" i="64"/>
  <c r="E113" i="64"/>
  <c r="D113" i="64" s="1"/>
  <c r="E115" i="64"/>
  <c r="D115" i="64" s="1"/>
  <c r="H116" i="64"/>
  <c r="E121" i="64"/>
  <c r="E123" i="64"/>
  <c r="D123" i="64" s="1"/>
  <c r="H124" i="64"/>
  <c r="E128" i="64"/>
  <c r="D128" i="64" s="1"/>
  <c r="H131" i="64"/>
  <c r="H136" i="64"/>
  <c r="D136" i="64" s="1"/>
  <c r="H144" i="64"/>
  <c r="D144" i="64" s="1"/>
  <c r="E148" i="64"/>
  <c r="D148" i="64" s="1"/>
  <c r="H149" i="64"/>
  <c r="E151" i="64"/>
  <c r="D151" i="64" s="1"/>
  <c r="H156" i="64"/>
  <c r="D156" i="64" s="1"/>
  <c r="L7" i="64"/>
  <c r="E12" i="64"/>
  <c r="D12" i="64" s="1"/>
  <c r="H15" i="64"/>
  <c r="D15" i="64" s="1"/>
  <c r="H18" i="64"/>
  <c r="E21" i="64"/>
  <c r="D21" i="64" s="1"/>
  <c r="H22" i="64"/>
  <c r="E24" i="64"/>
  <c r="D24" i="64" s="1"/>
  <c r="H26" i="64"/>
  <c r="D26" i="64" s="1"/>
  <c r="E30" i="64"/>
  <c r="D30" i="64" s="1"/>
  <c r="E31" i="64"/>
  <c r="E36" i="64"/>
  <c r="E37" i="64"/>
  <c r="E40" i="64"/>
  <c r="D40" i="64" s="1"/>
  <c r="H42" i="64"/>
  <c r="D42" i="64" s="1"/>
  <c r="E46" i="64"/>
  <c r="D46" i="64" s="1"/>
  <c r="E47" i="64"/>
  <c r="E52" i="64"/>
  <c r="D52" i="64" s="1"/>
  <c r="E53" i="64"/>
  <c r="E56" i="64"/>
  <c r="D56" i="64" s="1"/>
  <c r="H58" i="64"/>
  <c r="D58" i="64" s="1"/>
  <c r="E62" i="64"/>
  <c r="D62" i="64" s="1"/>
  <c r="E63" i="64"/>
  <c r="E68" i="64"/>
  <c r="D68" i="64" s="1"/>
  <c r="E69" i="64"/>
  <c r="E72" i="64"/>
  <c r="D72" i="64" s="1"/>
  <c r="H74" i="64"/>
  <c r="D74" i="64" s="1"/>
  <c r="E81" i="64"/>
  <c r="D81" i="64" s="1"/>
  <c r="E83" i="64"/>
  <c r="D83" i="64" s="1"/>
  <c r="H84" i="64"/>
  <c r="E89" i="64"/>
  <c r="D89" i="64" s="1"/>
  <c r="E91" i="64"/>
  <c r="D91" i="64" s="1"/>
  <c r="H92" i="64"/>
  <c r="E96" i="64"/>
  <c r="D96" i="64" s="1"/>
  <c r="H99" i="64"/>
  <c r="D99" i="64" s="1"/>
  <c r="H104" i="64"/>
  <c r="D104" i="64" s="1"/>
  <c r="H112" i="64"/>
  <c r="D112" i="64" s="1"/>
  <c r="H120" i="64"/>
  <c r="D120" i="64" s="1"/>
  <c r="E125" i="64"/>
  <c r="D125" i="64" s="1"/>
  <c r="E127" i="64"/>
  <c r="D127" i="64" s="1"/>
  <c r="H133" i="64"/>
  <c r="D133" i="64" s="1"/>
  <c r="E137" i="64"/>
  <c r="D137" i="64" s="1"/>
  <c r="E139" i="64"/>
  <c r="D139" i="64" s="1"/>
  <c r="H140" i="64"/>
  <c r="E147" i="64"/>
  <c r="D147" i="64" s="1"/>
  <c r="E152" i="64"/>
  <c r="D152" i="64" s="1"/>
  <c r="H153" i="64"/>
  <c r="E155" i="64"/>
  <c r="D155" i="64" s="1"/>
  <c r="D16" i="64"/>
  <c r="J9" i="64"/>
  <c r="J7" i="64" s="1"/>
  <c r="E10" i="64"/>
  <c r="D10" i="64" s="1"/>
  <c r="E14" i="64"/>
  <c r="D14" i="64" s="1"/>
  <c r="E18" i="64"/>
  <c r="D18" i="64" s="1"/>
  <c r="E22" i="64"/>
  <c r="D38" i="64"/>
  <c r="D54" i="64"/>
  <c r="D70" i="64"/>
  <c r="E85" i="64"/>
  <c r="D85" i="64" s="1"/>
  <c r="E117" i="64"/>
  <c r="D117" i="64" s="1"/>
  <c r="D131" i="64"/>
  <c r="I9" i="64"/>
  <c r="F9" i="64"/>
  <c r="K9" i="64"/>
  <c r="G9" i="64"/>
  <c r="G7" i="64" s="1"/>
  <c r="E13" i="64"/>
  <c r="D13" i="64" s="1"/>
  <c r="E17" i="64"/>
  <c r="D17" i="64" s="1"/>
  <c r="E19" i="64"/>
  <c r="D19" i="64" s="1"/>
  <c r="E23" i="64"/>
  <c r="D23" i="64" s="1"/>
  <c r="D28" i="64"/>
  <c r="D36" i="64"/>
  <c r="D44" i="64"/>
  <c r="D60" i="64"/>
  <c r="D76" i="64"/>
  <c r="E77" i="64"/>
  <c r="D77" i="64" s="1"/>
  <c r="E109" i="64"/>
  <c r="D109" i="64" s="1"/>
  <c r="E141" i="64"/>
  <c r="D141" i="64" s="1"/>
  <c r="D97" i="64"/>
  <c r="D105" i="64"/>
  <c r="D121" i="64"/>
  <c r="D129" i="64"/>
  <c r="E145" i="64"/>
  <c r="D145" i="64" s="1"/>
  <c r="H25" i="64"/>
  <c r="D25" i="64" s="1"/>
  <c r="H27" i="64"/>
  <c r="D27" i="64" s="1"/>
  <c r="H29" i="64"/>
  <c r="H31" i="64"/>
  <c r="H33" i="64"/>
  <c r="D33" i="64" s="1"/>
  <c r="H35" i="64"/>
  <c r="D35" i="64" s="1"/>
  <c r="H37" i="64"/>
  <c r="D37" i="64" s="1"/>
  <c r="H39" i="64"/>
  <c r="H41" i="64"/>
  <c r="D41" i="64" s="1"/>
  <c r="H43" i="64"/>
  <c r="D43" i="64" s="1"/>
  <c r="H45" i="64"/>
  <c r="H47" i="64"/>
  <c r="H49" i="64"/>
  <c r="D49" i="64" s="1"/>
  <c r="H51" i="64"/>
  <c r="D51" i="64" s="1"/>
  <c r="H53" i="64"/>
  <c r="H55" i="64"/>
  <c r="H57" i="64"/>
  <c r="D57" i="64" s="1"/>
  <c r="H59" i="64"/>
  <c r="D59" i="64" s="1"/>
  <c r="H61" i="64"/>
  <c r="H63" i="64"/>
  <c r="H65" i="64"/>
  <c r="D65" i="64" s="1"/>
  <c r="H67" i="64"/>
  <c r="D67" i="64" s="1"/>
  <c r="H69" i="64"/>
  <c r="D69" i="64" s="1"/>
  <c r="H71" i="64"/>
  <c r="H73" i="64"/>
  <c r="D73" i="64" s="1"/>
  <c r="H75" i="64"/>
  <c r="D75" i="64" s="1"/>
  <c r="E84" i="64"/>
  <c r="E92" i="64"/>
  <c r="E100" i="64"/>
  <c r="D100" i="64" s="1"/>
  <c r="E108" i="64"/>
  <c r="D108" i="64" s="1"/>
  <c r="E116" i="64"/>
  <c r="E124" i="64"/>
  <c r="E132" i="64"/>
  <c r="D132" i="64" s="1"/>
  <c r="E140" i="64"/>
  <c r="D140" i="64" s="1"/>
  <c r="E149" i="64"/>
  <c r="D149" i="64" s="1"/>
  <c r="E153" i="64"/>
  <c r="E157" i="64"/>
  <c r="D157" i="64" s="1"/>
  <c r="E78" i="64"/>
  <c r="D78" i="64" s="1"/>
  <c r="E82" i="64"/>
  <c r="D82" i="64" s="1"/>
  <c r="E86" i="64"/>
  <c r="D86" i="64" s="1"/>
  <c r="E90" i="64"/>
  <c r="D90" i="64" s="1"/>
  <c r="E94" i="64"/>
  <c r="D94" i="64" s="1"/>
  <c r="E98" i="64"/>
  <c r="D98" i="64" s="1"/>
  <c r="E102" i="64"/>
  <c r="D102" i="64" s="1"/>
  <c r="E106" i="64"/>
  <c r="D106" i="64" s="1"/>
  <c r="E110" i="64"/>
  <c r="D110" i="64" s="1"/>
  <c r="E114" i="64"/>
  <c r="D114" i="64" s="1"/>
  <c r="E118" i="64"/>
  <c r="D118" i="64" s="1"/>
  <c r="E122" i="64"/>
  <c r="D122" i="64" s="1"/>
  <c r="E126" i="64"/>
  <c r="D126" i="64" s="1"/>
  <c r="E130" i="64"/>
  <c r="D130" i="64" s="1"/>
  <c r="E134" i="64"/>
  <c r="D134" i="64" s="1"/>
  <c r="E138" i="64"/>
  <c r="D138" i="64" s="1"/>
  <c r="E142" i="64"/>
  <c r="D142" i="64" s="1"/>
  <c r="E146" i="64"/>
  <c r="D146" i="64" s="1"/>
  <c r="E150" i="64"/>
  <c r="D150" i="64" s="1"/>
  <c r="E154" i="64"/>
  <c r="D154" i="64" s="1"/>
  <c r="D53" i="64" l="1"/>
  <c r="D153" i="64"/>
  <c r="D63" i="64"/>
  <c r="D31" i="64"/>
  <c r="D22" i="64"/>
  <c r="K7" i="64"/>
  <c r="D55" i="64"/>
  <c r="D116" i="64"/>
  <c r="D84" i="64"/>
  <c r="D39" i="64"/>
  <c r="D61" i="64"/>
  <c r="D45" i="64"/>
  <c r="D29" i="64"/>
  <c r="D124" i="64"/>
  <c r="D92" i="64"/>
  <c r="D71" i="64"/>
  <c r="D47" i="64"/>
  <c r="F7" i="64"/>
  <c r="E9" i="64"/>
  <c r="H9" i="64"/>
  <c r="I7" i="64"/>
  <c r="H7" i="64" l="1"/>
  <c r="D9" i="64"/>
  <c r="E7" i="64"/>
  <c r="D7" i="64" l="1"/>
  <c r="F111" i="61" l="1"/>
  <c r="E111" i="61"/>
  <c r="D111" i="61" s="1"/>
  <c r="O110" i="61"/>
  <c r="N110" i="61" s="1"/>
  <c r="G110" i="61"/>
  <c r="D110" i="61"/>
  <c r="D109" i="61"/>
  <c r="D108" i="61"/>
  <c r="N107" i="61"/>
  <c r="F107" i="61"/>
  <c r="D107" i="61" s="1"/>
  <c r="D106" i="61"/>
  <c r="G105" i="61"/>
  <c r="D105" i="61"/>
  <c r="G104" i="61"/>
  <c r="D104" i="61"/>
  <c r="G103" i="61"/>
  <c r="D103" i="61"/>
  <c r="G102" i="61"/>
  <c r="D102" i="61"/>
  <c r="G101" i="61"/>
  <c r="D101" i="61"/>
  <c r="G100" i="61"/>
  <c r="D100" i="61"/>
  <c r="D99" i="61"/>
  <c r="G98" i="61"/>
  <c r="D98" i="61"/>
  <c r="G97" i="61"/>
  <c r="D97" i="61"/>
  <c r="G96" i="61"/>
  <c r="D96" i="61"/>
  <c r="G95" i="61"/>
  <c r="D95" i="61"/>
  <c r="I94" i="61"/>
  <c r="H94" i="61"/>
  <c r="G94" i="61" s="1"/>
  <c r="F94" i="61"/>
  <c r="E94" i="61"/>
  <c r="D94" i="61" s="1"/>
  <c r="G93" i="61"/>
  <c r="D93" i="61"/>
  <c r="G92" i="61"/>
  <c r="D92" i="61"/>
  <c r="G91" i="61"/>
  <c r="D91" i="61"/>
  <c r="G90" i="61"/>
  <c r="D90" i="61"/>
  <c r="G89" i="61"/>
  <c r="D89" i="61"/>
  <c r="E88" i="61"/>
  <c r="D88" i="61" s="1"/>
  <c r="G87" i="61"/>
  <c r="D87" i="61"/>
  <c r="D86" i="61"/>
  <c r="G85" i="61"/>
  <c r="D85" i="61"/>
  <c r="N84" i="61"/>
  <c r="D84" i="61"/>
  <c r="D83" i="61"/>
  <c r="G82" i="61"/>
  <c r="D82" i="61"/>
  <c r="N81" i="61"/>
  <c r="D81" i="61"/>
  <c r="N80" i="61"/>
  <c r="D80" i="61"/>
  <c r="G79" i="61"/>
  <c r="D79" i="61"/>
  <c r="E78" i="61"/>
  <c r="D78" i="61" s="1"/>
  <c r="D77" i="61"/>
  <c r="D76" i="61"/>
  <c r="E75" i="61"/>
  <c r="D75" i="61" s="1"/>
  <c r="E74" i="61"/>
  <c r="D74" i="61" s="1"/>
  <c r="E73" i="61"/>
  <c r="D73" i="61" s="1"/>
  <c r="D72" i="61"/>
  <c r="D71" i="61"/>
  <c r="G70" i="61"/>
  <c r="D70" i="61"/>
  <c r="D69" i="61"/>
  <c r="D68" i="61"/>
  <c r="G67" i="61"/>
  <c r="D67" i="61"/>
  <c r="G66" i="61"/>
  <c r="D66" i="61"/>
  <c r="N65" i="61"/>
  <c r="D65" i="61"/>
  <c r="N64" i="61"/>
  <c r="D64" i="61"/>
  <c r="D63" i="61"/>
  <c r="D62" i="61"/>
  <c r="G61" i="61"/>
  <c r="D61" i="61"/>
  <c r="G60" i="61"/>
  <c r="F60" i="61"/>
  <c r="E60" i="61"/>
  <c r="D60" i="61" s="1"/>
  <c r="G59" i="61"/>
  <c r="D59" i="61"/>
  <c r="G58" i="61"/>
  <c r="D58" i="61"/>
  <c r="G57" i="61"/>
  <c r="D57" i="61"/>
  <c r="G56" i="61"/>
  <c r="D56" i="61"/>
  <c r="G55" i="61"/>
  <c r="D55" i="61"/>
  <c r="G54" i="61"/>
  <c r="D54" i="61"/>
  <c r="G53" i="61"/>
  <c r="D53" i="61"/>
  <c r="G52" i="61"/>
  <c r="D52" i="61"/>
  <c r="G51" i="61"/>
  <c r="E51" i="61"/>
  <c r="D51" i="61" s="1"/>
  <c r="G50" i="61"/>
  <c r="E50" i="61"/>
  <c r="D50" i="61" s="1"/>
  <c r="G49" i="61"/>
  <c r="D49" i="61"/>
  <c r="G48" i="61"/>
  <c r="E48" i="61"/>
  <c r="D48" i="61" s="1"/>
  <c r="G47" i="61"/>
  <c r="D47" i="61"/>
  <c r="G46" i="61"/>
  <c r="D46" i="61"/>
  <c r="G45" i="61"/>
  <c r="E45" i="61"/>
  <c r="D45" i="61" s="1"/>
  <c r="G44" i="61"/>
  <c r="D44" i="61"/>
  <c r="G43" i="61"/>
  <c r="D43" i="61"/>
  <c r="D42" i="61"/>
  <c r="I41" i="61"/>
  <c r="H41" i="61"/>
  <c r="F41" i="61"/>
  <c r="E41" i="61"/>
  <c r="G40" i="61"/>
  <c r="E40" i="61"/>
  <c r="D40" i="61" s="1"/>
  <c r="D39" i="61"/>
  <c r="G38" i="61"/>
  <c r="D38" i="61"/>
  <c r="N37" i="61"/>
  <c r="D37" i="61"/>
  <c r="H36" i="61"/>
  <c r="G36" i="61" s="1"/>
  <c r="E36" i="61"/>
  <c r="D36" i="61" s="1"/>
  <c r="O35" i="61"/>
  <c r="N35" i="61" s="1"/>
  <c r="D35" i="61"/>
  <c r="G34" i="61"/>
  <c r="D34" i="61"/>
  <c r="G33" i="61"/>
  <c r="D33" i="61"/>
  <c r="G32" i="61"/>
  <c r="D32" i="61"/>
  <c r="G31" i="61"/>
  <c r="D31" i="61"/>
  <c r="G30" i="61"/>
  <c r="D30" i="61"/>
  <c r="G29" i="61"/>
  <c r="D29" i="61"/>
  <c r="G28" i="61"/>
  <c r="D28" i="61"/>
  <c r="G27" i="61"/>
  <c r="F27" i="61"/>
  <c r="D27" i="61" s="1"/>
  <c r="G26" i="61"/>
  <c r="D26" i="61"/>
  <c r="G25" i="61"/>
  <c r="D25" i="61"/>
  <c r="G24" i="61"/>
  <c r="D24" i="61"/>
  <c r="G23" i="61"/>
  <c r="D23" i="61"/>
  <c r="G22" i="61"/>
  <c r="D22" i="61"/>
  <c r="G21" i="61"/>
  <c r="D21" i="61"/>
  <c r="G20" i="61"/>
  <c r="D20" i="61"/>
  <c r="G19" i="61"/>
  <c r="D19" i="61"/>
  <c r="G18" i="61"/>
  <c r="D18" i="61"/>
  <c r="G17" i="61"/>
  <c r="D17" i="61"/>
  <c r="G16" i="61"/>
  <c r="D16" i="61"/>
  <c r="G15" i="61"/>
  <c r="D15" i="61"/>
  <c r="G14" i="61"/>
  <c r="D14" i="61"/>
  <c r="S13" i="61"/>
  <c r="R13" i="61"/>
  <c r="R11" i="61" s="1"/>
  <c r="Q13" i="61"/>
  <c r="P13" i="61"/>
  <c r="P11" i="61" s="1"/>
  <c r="M13" i="61"/>
  <c r="M11" i="61" s="1"/>
  <c r="L13" i="61"/>
  <c r="L11" i="61" s="1"/>
  <c r="K13" i="61"/>
  <c r="K11" i="61" s="1"/>
  <c r="J13" i="61"/>
  <c r="H13" i="61"/>
  <c r="H11" i="61" s="1"/>
  <c r="S11" i="61"/>
  <c r="Q11" i="61"/>
  <c r="J11" i="61"/>
  <c r="D41" i="61" l="1"/>
  <c r="F13" i="61"/>
  <c r="F11" i="61" s="1"/>
  <c r="O13" i="61"/>
  <c r="O11" i="61" s="1"/>
  <c r="N13" i="61"/>
  <c r="N11" i="61" s="1"/>
  <c r="I13" i="61"/>
  <c r="I11" i="61" s="1"/>
  <c r="G41" i="61"/>
  <c r="G13" i="61" s="1"/>
  <c r="G11" i="61" s="1"/>
  <c r="D13" i="61"/>
  <c r="D11" i="61" s="1"/>
  <c r="E13" i="61"/>
  <c r="E11" i="61" s="1"/>
  <c r="X138" i="60"/>
  <c r="W138" i="60"/>
  <c r="V138" i="60"/>
  <c r="Q138" i="60"/>
  <c r="P138" i="60"/>
  <c r="O138" i="60"/>
  <c r="F138" i="60" s="1"/>
  <c r="N138" i="60"/>
  <c r="M138" i="60"/>
  <c r="L138" i="60"/>
  <c r="K138" i="60"/>
  <c r="X137" i="60"/>
  <c r="W137" i="60"/>
  <c r="V137" i="60"/>
  <c r="Q137" i="60"/>
  <c r="P137" i="60"/>
  <c r="O137" i="60"/>
  <c r="F137" i="60" s="1"/>
  <c r="N137" i="60"/>
  <c r="M137" i="60"/>
  <c r="L137" i="60"/>
  <c r="K137" i="60"/>
  <c r="X136" i="60"/>
  <c r="W136" i="60"/>
  <c r="V136" i="60"/>
  <c r="Q136" i="60"/>
  <c r="P136" i="60"/>
  <c r="O136" i="60"/>
  <c r="N136" i="60"/>
  <c r="M136" i="60"/>
  <c r="L136" i="60"/>
  <c r="K136" i="60"/>
  <c r="X135" i="60"/>
  <c r="W135" i="60"/>
  <c r="V135" i="60"/>
  <c r="Q135" i="60"/>
  <c r="P135" i="60"/>
  <c r="O135" i="60"/>
  <c r="N135" i="60"/>
  <c r="M135" i="60"/>
  <c r="L135" i="60"/>
  <c r="K135" i="60"/>
  <c r="X134" i="60"/>
  <c r="W134" i="60"/>
  <c r="V134" i="60"/>
  <c r="Q134" i="60"/>
  <c r="P134" i="60"/>
  <c r="O134" i="60"/>
  <c r="N134" i="60"/>
  <c r="M134" i="60"/>
  <c r="L134" i="60"/>
  <c r="K134" i="60"/>
  <c r="X133" i="60"/>
  <c r="W133" i="60"/>
  <c r="V133" i="60"/>
  <c r="Q133" i="60"/>
  <c r="P133" i="60"/>
  <c r="O133" i="60"/>
  <c r="N133" i="60"/>
  <c r="M133" i="60"/>
  <c r="L133" i="60"/>
  <c r="K133" i="60"/>
  <c r="X132" i="60"/>
  <c r="W132" i="60"/>
  <c r="V132" i="60"/>
  <c r="Q132" i="60"/>
  <c r="P132" i="60"/>
  <c r="O132" i="60"/>
  <c r="N132" i="60"/>
  <c r="M132" i="60"/>
  <c r="L132" i="60"/>
  <c r="K132" i="60"/>
  <c r="X131" i="60"/>
  <c r="W131" i="60"/>
  <c r="V131" i="60"/>
  <c r="Q131" i="60"/>
  <c r="P131" i="60"/>
  <c r="O131" i="60"/>
  <c r="N131" i="60"/>
  <c r="M131" i="60"/>
  <c r="L131" i="60"/>
  <c r="K131" i="60"/>
  <c r="X130" i="60"/>
  <c r="W130" i="60"/>
  <c r="V130" i="60"/>
  <c r="Q130" i="60"/>
  <c r="P130" i="60"/>
  <c r="O130" i="60"/>
  <c r="N130" i="60"/>
  <c r="M130" i="60"/>
  <c r="L130" i="60"/>
  <c r="K130" i="60"/>
  <c r="X129" i="60"/>
  <c r="W129" i="60"/>
  <c r="V129" i="60"/>
  <c r="Q129" i="60"/>
  <c r="P129" i="60"/>
  <c r="O129" i="60"/>
  <c r="N129" i="60"/>
  <c r="M129" i="60"/>
  <c r="L129" i="60"/>
  <c r="K129" i="60"/>
  <c r="X128" i="60"/>
  <c r="W128" i="60"/>
  <c r="V128" i="60"/>
  <c r="Q128" i="60"/>
  <c r="P128" i="60"/>
  <c r="O128" i="60"/>
  <c r="N128" i="60"/>
  <c r="M128" i="60"/>
  <c r="L128" i="60"/>
  <c r="K128" i="60"/>
  <c r="X127" i="60"/>
  <c r="W127" i="60"/>
  <c r="V127" i="60"/>
  <c r="Q127" i="60"/>
  <c r="P127" i="60"/>
  <c r="O127" i="60"/>
  <c r="N127" i="60"/>
  <c r="M127" i="60"/>
  <c r="L127" i="60"/>
  <c r="K127" i="60"/>
  <c r="X126" i="60"/>
  <c r="W126" i="60"/>
  <c r="V126" i="60"/>
  <c r="Q126" i="60"/>
  <c r="P126" i="60"/>
  <c r="O126" i="60"/>
  <c r="N126" i="60"/>
  <c r="M126" i="60"/>
  <c r="L126" i="60"/>
  <c r="K126" i="60"/>
  <c r="X125" i="60"/>
  <c r="W125" i="60"/>
  <c r="V125" i="60"/>
  <c r="Q125" i="60"/>
  <c r="P125" i="60"/>
  <c r="O125" i="60"/>
  <c r="N125" i="60"/>
  <c r="M125" i="60"/>
  <c r="L125" i="60"/>
  <c r="K125" i="60"/>
  <c r="X124" i="60"/>
  <c r="W124" i="60"/>
  <c r="V124" i="60"/>
  <c r="Q124" i="60"/>
  <c r="P124" i="60"/>
  <c r="O124" i="60"/>
  <c r="N124" i="60"/>
  <c r="M124" i="60"/>
  <c r="L124" i="60"/>
  <c r="K124" i="60"/>
  <c r="X123" i="60"/>
  <c r="W123" i="60"/>
  <c r="V123" i="60"/>
  <c r="Q123" i="60"/>
  <c r="P123" i="60"/>
  <c r="O123" i="60"/>
  <c r="F123" i="60" s="1"/>
  <c r="N123" i="60"/>
  <c r="M123" i="60"/>
  <c r="L123" i="60"/>
  <c r="K123" i="60"/>
  <c r="X122" i="60"/>
  <c r="W122" i="60"/>
  <c r="V122" i="60"/>
  <c r="Q122" i="60"/>
  <c r="P122" i="60"/>
  <c r="O122" i="60"/>
  <c r="F122" i="60" s="1"/>
  <c r="N122" i="60"/>
  <c r="M122" i="60"/>
  <c r="L122" i="60"/>
  <c r="K122" i="60"/>
  <c r="X121" i="60"/>
  <c r="W121" i="60"/>
  <c r="V121" i="60"/>
  <c r="Q121" i="60"/>
  <c r="P121" i="60"/>
  <c r="O121" i="60"/>
  <c r="F121" i="60" s="1"/>
  <c r="N121" i="60"/>
  <c r="M121" i="60"/>
  <c r="L121" i="60"/>
  <c r="K121" i="60"/>
  <c r="X120" i="60"/>
  <c r="W120" i="60"/>
  <c r="V120" i="60"/>
  <c r="Q120" i="60"/>
  <c r="P120" i="60"/>
  <c r="O120" i="60"/>
  <c r="F120" i="60" s="1"/>
  <c r="N120" i="60"/>
  <c r="M120" i="60"/>
  <c r="L120" i="60"/>
  <c r="K120" i="60"/>
  <c r="X119" i="60"/>
  <c r="W119" i="60"/>
  <c r="V119" i="60"/>
  <c r="Q119" i="60"/>
  <c r="P119" i="60"/>
  <c r="O119" i="60"/>
  <c r="F119" i="60" s="1"/>
  <c r="N119" i="60"/>
  <c r="M119" i="60"/>
  <c r="L119" i="60"/>
  <c r="K119" i="60"/>
  <c r="X118" i="60"/>
  <c r="W118" i="60"/>
  <c r="V118" i="60"/>
  <c r="Q118" i="60"/>
  <c r="P118" i="60"/>
  <c r="O118" i="60"/>
  <c r="F118" i="60" s="1"/>
  <c r="N118" i="60"/>
  <c r="M118" i="60"/>
  <c r="L118" i="60"/>
  <c r="K118" i="60"/>
  <c r="X117" i="60"/>
  <c r="W117" i="60"/>
  <c r="V117" i="60"/>
  <c r="Q117" i="60"/>
  <c r="P117" i="60"/>
  <c r="O117" i="60"/>
  <c r="F117" i="60" s="1"/>
  <c r="N117" i="60"/>
  <c r="M117" i="60"/>
  <c r="L117" i="60"/>
  <c r="K117" i="60"/>
  <c r="X116" i="60"/>
  <c r="W116" i="60"/>
  <c r="V116" i="60"/>
  <c r="Q116" i="60"/>
  <c r="P116" i="60"/>
  <c r="O116" i="60"/>
  <c r="F116" i="60" s="1"/>
  <c r="N116" i="60"/>
  <c r="M116" i="60"/>
  <c r="L116" i="60"/>
  <c r="K116" i="60"/>
  <c r="X115" i="60"/>
  <c r="W115" i="60"/>
  <c r="V115" i="60"/>
  <c r="Q115" i="60"/>
  <c r="P115" i="60"/>
  <c r="O115" i="60"/>
  <c r="F115" i="60" s="1"/>
  <c r="N115" i="60"/>
  <c r="M115" i="60"/>
  <c r="L115" i="60"/>
  <c r="K115" i="60"/>
  <c r="X114" i="60"/>
  <c r="W114" i="60"/>
  <c r="V114" i="60"/>
  <c r="Q114" i="60"/>
  <c r="P114" i="60"/>
  <c r="O114" i="60"/>
  <c r="F114" i="60" s="1"/>
  <c r="N114" i="60"/>
  <c r="M114" i="60"/>
  <c r="L114" i="60"/>
  <c r="K114" i="60"/>
  <c r="X113" i="60"/>
  <c r="W113" i="60"/>
  <c r="V113" i="60"/>
  <c r="Q113" i="60"/>
  <c r="P113" i="60"/>
  <c r="O113" i="60"/>
  <c r="F113" i="60" s="1"/>
  <c r="N113" i="60"/>
  <c r="M113" i="60"/>
  <c r="L113" i="60"/>
  <c r="K113" i="60"/>
  <c r="X112" i="60"/>
  <c r="W112" i="60"/>
  <c r="V112" i="60"/>
  <c r="Q112" i="60"/>
  <c r="P112" i="60"/>
  <c r="O112" i="60"/>
  <c r="N112" i="60"/>
  <c r="M112" i="60"/>
  <c r="L112" i="60"/>
  <c r="K112" i="60"/>
  <c r="X111" i="60"/>
  <c r="W111" i="60"/>
  <c r="V111" i="60"/>
  <c r="Q111" i="60"/>
  <c r="P111" i="60"/>
  <c r="O111" i="60"/>
  <c r="N111" i="60"/>
  <c r="M111" i="60"/>
  <c r="L111" i="60"/>
  <c r="K111" i="60"/>
  <c r="X110" i="60"/>
  <c r="W110" i="60"/>
  <c r="V110" i="60"/>
  <c r="Q110" i="60"/>
  <c r="P110" i="60"/>
  <c r="O110" i="60"/>
  <c r="N110" i="60"/>
  <c r="M110" i="60"/>
  <c r="L110" i="60"/>
  <c r="K110" i="60"/>
  <c r="X109" i="60"/>
  <c r="W109" i="60"/>
  <c r="V109" i="60"/>
  <c r="Q109" i="60"/>
  <c r="P109" i="60"/>
  <c r="O109" i="60"/>
  <c r="N109" i="60"/>
  <c r="M109" i="60"/>
  <c r="L109" i="60"/>
  <c r="K109" i="60"/>
  <c r="X108" i="60"/>
  <c r="W108" i="60"/>
  <c r="V108" i="60"/>
  <c r="Q108" i="60"/>
  <c r="P108" i="60"/>
  <c r="O108" i="60"/>
  <c r="N108" i="60"/>
  <c r="M108" i="60"/>
  <c r="L108" i="60"/>
  <c r="K108" i="60"/>
  <c r="X107" i="60"/>
  <c r="W107" i="60"/>
  <c r="V107" i="60"/>
  <c r="Q107" i="60"/>
  <c r="P107" i="60"/>
  <c r="O107" i="60"/>
  <c r="N107" i="60"/>
  <c r="M107" i="60"/>
  <c r="L107" i="60"/>
  <c r="K107" i="60"/>
  <c r="X106" i="60"/>
  <c r="W106" i="60"/>
  <c r="V106" i="60"/>
  <c r="Q106" i="60"/>
  <c r="P106" i="60"/>
  <c r="O106" i="60"/>
  <c r="N106" i="60"/>
  <c r="M106" i="60"/>
  <c r="L106" i="60"/>
  <c r="K106" i="60"/>
  <c r="X105" i="60"/>
  <c r="W105" i="60"/>
  <c r="V105" i="60"/>
  <c r="Q105" i="60"/>
  <c r="P105" i="60"/>
  <c r="O105" i="60"/>
  <c r="N105" i="60"/>
  <c r="M105" i="60"/>
  <c r="L105" i="60"/>
  <c r="K105" i="60"/>
  <c r="X104" i="60"/>
  <c r="W104" i="60"/>
  <c r="V104" i="60"/>
  <c r="Q104" i="60"/>
  <c r="P104" i="60"/>
  <c r="O104" i="60"/>
  <c r="N104" i="60"/>
  <c r="M104" i="60"/>
  <c r="L104" i="60"/>
  <c r="K104" i="60"/>
  <c r="X103" i="60"/>
  <c r="W103" i="60"/>
  <c r="V103" i="60"/>
  <c r="Q103" i="60"/>
  <c r="P103" i="60"/>
  <c r="O103" i="60"/>
  <c r="F103" i="60" s="1"/>
  <c r="N103" i="60"/>
  <c r="M103" i="60"/>
  <c r="L103" i="60"/>
  <c r="K103" i="60"/>
  <c r="X102" i="60"/>
  <c r="W102" i="60"/>
  <c r="V102" i="60"/>
  <c r="Q102" i="60"/>
  <c r="P102" i="60"/>
  <c r="O102" i="60"/>
  <c r="F102" i="60" s="1"/>
  <c r="N102" i="60"/>
  <c r="M102" i="60"/>
  <c r="L102" i="60"/>
  <c r="K102" i="60"/>
  <c r="X101" i="60"/>
  <c r="W101" i="60"/>
  <c r="V101" i="60"/>
  <c r="Q101" i="60"/>
  <c r="P101" i="60"/>
  <c r="O101" i="60"/>
  <c r="F101" i="60" s="1"/>
  <c r="N101" i="60"/>
  <c r="M101" i="60"/>
  <c r="L101" i="60"/>
  <c r="K101" i="60"/>
  <c r="X100" i="60"/>
  <c r="W100" i="60"/>
  <c r="V100" i="60"/>
  <c r="Q100" i="60"/>
  <c r="P100" i="60"/>
  <c r="O100" i="60"/>
  <c r="F100" i="60" s="1"/>
  <c r="N100" i="60"/>
  <c r="M100" i="60"/>
  <c r="L100" i="60"/>
  <c r="K100" i="60"/>
  <c r="X99" i="60"/>
  <c r="W99" i="60"/>
  <c r="V99" i="60"/>
  <c r="Q99" i="60"/>
  <c r="P99" i="60"/>
  <c r="O99" i="60"/>
  <c r="F99" i="60" s="1"/>
  <c r="N99" i="60"/>
  <c r="M99" i="60"/>
  <c r="L99" i="60"/>
  <c r="K99" i="60"/>
  <c r="X98" i="60"/>
  <c r="W98" i="60"/>
  <c r="V98" i="60"/>
  <c r="Q98" i="60"/>
  <c r="P98" i="60"/>
  <c r="O98" i="60"/>
  <c r="F98" i="60" s="1"/>
  <c r="N98" i="60"/>
  <c r="M98" i="60"/>
  <c r="L98" i="60"/>
  <c r="K98" i="60"/>
  <c r="X97" i="60"/>
  <c r="W97" i="60"/>
  <c r="V97" i="60"/>
  <c r="Q97" i="60"/>
  <c r="P97" i="60"/>
  <c r="O97" i="60"/>
  <c r="F97" i="60" s="1"/>
  <c r="N97" i="60"/>
  <c r="M97" i="60"/>
  <c r="L97" i="60"/>
  <c r="K97" i="60"/>
  <c r="X96" i="60"/>
  <c r="W96" i="60"/>
  <c r="V96" i="60"/>
  <c r="Q96" i="60"/>
  <c r="P96" i="60"/>
  <c r="O96" i="60"/>
  <c r="F96" i="60" s="1"/>
  <c r="N96" i="60"/>
  <c r="M96" i="60"/>
  <c r="L96" i="60"/>
  <c r="K96" i="60"/>
  <c r="X95" i="60"/>
  <c r="W95" i="60"/>
  <c r="V95" i="60"/>
  <c r="Q95" i="60"/>
  <c r="P95" i="60"/>
  <c r="O95" i="60"/>
  <c r="F95" i="60" s="1"/>
  <c r="N95" i="60"/>
  <c r="M95" i="60"/>
  <c r="L95" i="60"/>
  <c r="K95" i="60"/>
  <c r="X94" i="60"/>
  <c r="W94" i="60"/>
  <c r="V94" i="60"/>
  <c r="Q94" i="60"/>
  <c r="P94" i="60"/>
  <c r="O94" i="60"/>
  <c r="F94" i="60" s="1"/>
  <c r="N94" i="60"/>
  <c r="M94" i="60"/>
  <c r="L94" i="60"/>
  <c r="K94" i="60"/>
  <c r="X93" i="60"/>
  <c r="W93" i="60"/>
  <c r="V93" i="60"/>
  <c r="Q93" i="60"/>
  <c r="P93" i="60"/>
  <c r="O93" i="60"/>
  <c r="F93" i="60" s="1"/>
  <c r="N93" i="60"/>
  <c r="M93" i="60"/>
  <c r="L93" i="60"/>
  <c r="K93" i="60"/>
  <c r="X92" i="60"/>
  <c r="W92" i="60"/>
  <c r="V92" i="60"/>
  <c r="Q92" i="60"/>
  <c r="P92" i="60"/>
  <c r="O92" i="60"/>
  <c r="F92" i="60" s="1"/>
  <c r="N92" i="60"/>
  <c r="M92" i="60"/>
  <c r="L92" i="60"/>
  <c r="K92" i="60"/>
  <c r="X91" i="60"/>
  <c r="W91" i="60"/>
  <c r="V91" i="60"/>
  <c r="R91" i="60"/>
  <c r="Q91" i="60"/>
  <c r="P91" i="60"/>
  <c r="O91" i="60"/>
  <c r="N91" i="60"/>
  <c r="M91" i="60"/>
  <c r="L91" i="60"/>
  <c r="K91" i="60"/>
  <c r="X90" i="60"/>
  <c r="W90" i="60"/>
  <c r="V90" i="60"/>
  <c r="Q90" i="60"/>
  <c r="P90" i="60"/>
  <c r="O90" i="60"/>
  <c r="N90" i="60"/>
  <c r="M90" i="60"/>
  <c r="L90" i="60"/>
  <c r="K90" i="60"/>
  <c r="X89" i="60"/>
  <c r="W89" i="60"/>
  <c r="V89" i="60"/>
  <c r="R89" i="60"/>
  <c r="Q89" i="60"/>
  <c r="P89" i="60"/>
  <c r="O89" i="60"/>
  <c r="N89" i="60"/>
  <c r="M89" i="60"/>
  <c r="L89" i="60"/>
  <c r="K89" i="60"/>
  <c r="X88" i="60"/>
  <c r="W88" i="60"/>
  <c r="V88" i="60"/>
  <c r="Q88" i="60"/>
  <c r="P88" i="60"/>
  <c r="O88" i="60"/>
  <c r="N88" i="60"/>
  <c r="M88" i="60"/>
  <c r="L88" i="60"/>
  <c r="K88" i="60"/>
  <c r="X87" i="60"/>
  <c r="W87" i="60"/>
  <c r="V87" i="60"/>
  <c r="Q87" i="60"/>
  <c r="P87" i="60"/>
  <c r="O87" i="60"/>
  <c r="N87" i="60"/>
  <c r="M87" i="60"/>
  <c r="L87" i="60"/>
  <c r="K87" i="60"/>
  <c r="X86" i="60"/>
  <c r="W86" i="60"/>
  <c r="V86" i="60"/>
  <c r="R86" i="60"/>
  <c r="Q86" i="60"/>
  <c r="P86" i="60"/>
  <c r="O86" i="60"/>
  <c r="F86" i="60" s="1"/>
  <c r="N86" i="60"/>
  <c r="M86" i="60"/>
  <c r="L86" i="60"/>
  <c r="K86" i="60"/>
  <c r="X85" i="60"/>
  <c r="W85" i="60"/>
  <c r="V85" i="60"/>
  <c r="Q85" i="60"/>
  <c r="P85" i="60"/>
  <c r="O85" i="60"/>
  <c r="F85" i="60" s="1"/>
  <c r="N85" i="60"/>
  <c r="M85" i="60"/>
  <c r="L85" i="60"/>
  <c r="K85" i="60"/>
  <c r="X84" i="60"/>
  <c r="W84" i="60"/>
  <c r="V84" i="60"/>
  <c r="Q84" i="60"/>
  <c r="P84" i="60"/>
  <c r="O84" i="60"/>
  <c r="F84" i="60" s="1"/>
  <c r="N84" i="60"/>
  <c r="M84" i="60"/>
  <c r="L84" i="60"/>
  <c r="K84" i="60"/>
  <c r="X83" i="60"/>
  <c r="W83" i="60"/>
  <c r="V83" i="60"/>
  <c r="Q83" i="60"/>
  <c r="P83" i="60"/>
  <c r="O83" i="60"/>
  <c r="F83" i="60" s="1"/>
  <c r="N83" i="60"/>
  <c r="M83" i="60"/>
  <c r="L83" i="60"/>
  <c r="K83" i="60"/>
  <c r="X82" i="60"/>
  <c r="W82" i="60"/>
  <c r="V82" i="60"/>
  <c r="Q82" i="60"/>
  <c r="P82" i="60"/>
  <c r="O82" i="60"/>
  <c r="F82" i="60" s="1"/>
  <c r="N82" i="60"/>
  <c r="M82" i="60"/>
  <c r="L82" i="60"/>
  <c r="K82" i="60"/>
  <c r="X81" i="60"/>
  <c r="W81" i="60"/>
  <c r="V81" i="60"/>
  <c r="Q81" i="60"/>
  <c r="P81" i="60"/>
  <c r="O81" i="60"/>
  <c r="F81" i="60" s="1"/>
  <c r="N81" i="60"/>
  <c r="M81" i="60"/>
  <c r="L81" i="60"/>
  <c r="K81" i="60"/>
  <c r="X80" i="60"/>
  <c r="W80" i="60"/>
  <c r="V80" i="60"/>
  <c r="Q80" i="60"/>
  <c r="P80" i="60"/>
  <c r="O80" i="60"/>
  <c r="F80" i="60" s="1"/>
  <c r="N80" i="60"/>
  <c r="M80" i="60"/>
  <c r="L80" i="60"/>
  <c r="K80" i="60"/>
  <c r="X79" i="60"/>
  <c r="W79" i="60"/>
  <c r="V79" i="60"/>
  <c r="Q79" i="60"/>
  <c r="P79" i="60"/>
  <c r="O79" i="60"/>
  <c r="F79" i="60" s="1"/>
  <c r="N79" i="60"/>
  <c r="M79" i="60"/>
  <c r="L79" i="60"/>
  <c r="K79" i="60"/>
  <c r="X78" i="60"/>
  <c r="W78" i="60"/>
  <c r="V78" i="60"/>
  <c r="Q78" i="60"/>
  <c r="P78" i="60"/>
  <c r="O78" i="60"/>
  <c r="F78" i="60" s="1"/>
  <c r="N78" i="60"/>
  <c r="M78" i="60"/>
  <c r="L78" i="60"/>
  <c r="K78" i="60"/>
  <c r="X77" i="60"/>
  <c r="W77" i="60"/>
  <c r="V77" i="60"/>
  <c r="Q77" i="60"/>
  <c r="P77" i="60"/>
  <c r="O77" i="60"/>
  <c r="F77" i="60" s="1"/>
  <c r="N77" i="60"/>
  <c r="M77" i="60"/>
  <c r="L77" i="60"/>
  <c r="K77" i="60"/>
  <c r="X76" i="60"/>
  <c r="W76" i="60"/>
  <c r="V76" i="60"/>
  <c r="Q76" i="60"/>
  <c r="P76" i="60"/>
  <c r="O76" i="60"/>
  <c r="F76" i="60" s="1"/>
  <c r="N76" i="60"/>
  <c r="M76" i="60"/>
  <c r="L76" i="60"/>
  <c r="K76" i="60"/>
  <c r="X75" i="60"/>
  <c r="W75" i="60"/>
  <c r="V75" i="60"/>
  <c r="Q75" i="60"/>
  <c r="P75" i="60"/>
  <c r="O75" i="60"/>
  <c r="F75" i="60" s="1"/>
  <c r="N75" i="60"/>
  <c r="M75" i="60"/>
  <c r="L75" i="60"/>
  <c r="K75" i="60"/>
  <c r="X74" i="60"/>
  <c r="W74" i="60"/>
  <c r="V74" i="60"/>
  <c r="Q74" i="60"/>
  <c r="P74" i="60"/>
  <c r="O74" i="60"/>
  <c r="F74" i="60" s="1"/>
  <c r="N74" i="60"/>
  <c r="M74" i="60"/>
  <c r="L74" i="60"/>
  <c r="K74" i="60"/>
  <c r="X73" i="60"/>
  <c r="W73" i="60"/>
  <c r="V73" i="60"/>
  <c r="S73" i="60"/>
  <c r="Q73" i="60"/>
  <c r="P73" i="60"/>
  <c r="O73" i="60"/>
  <c r="N73" i="60"/>
  <c r="M73" i="60"/>
  <c r="L73" i="60"/>
  <c r="K73" i="60"/>
  <c r="X72" i="60"/>
  <c r="W72" i="60"/>
  <c r="V72" i="60"/>
  <c r="S72" i="60"/>
  <c r="Q72" i="60"/>
  <c r="P72" i="60"/>
  <c r="O72" i="60"/>
  <c r="N72" i="60"/>
  <c r="M72" i="60"/>
  <c r="L72" i="60"/>
  <c r="K72" i="60"/>
  <c r="X71" i="60"/>
  <c r="W71" i="60"/>
  <c r="V71" i="60"/>
  <c r="Q71" i="60"/>
  <c r="P71" i="60"/>
  <c r="O71" i="60"/>
  <c r="N71" i="60"/>
  <c r="M71" i="60"/>
  <c r="L71" i="60"/>
  <c r="K71" i="60"/>
  <c r="X70" i="60"/>
  <c r="W70" i="60"/>
  <c r="V70" i="60"/>
  <c r="Q70" i="60"/>
  <c r="P70" i="60"/>
  <c r="O70" i="60"/>
  <c r="N70" i="60"/>
  <c r="M70" i="60"/>
  <c r="L70" i="60"/>
  <c r="K70" i="60"/>
  <c r="X69" i="60"/>
  <c r="W69" i="60"/>
  <c r="V69" i="60"/>
  <c r="Q69" i="60"/>
  <c r="P69" i="60"/>
  <c r="O69" i="60"/>
  <c r="N69" i="60"/>
  <c r="M69" i="60"/>
  <c r="L69" i="60"/>
  <c r="K69" i="60"/>
  <c r="X68" i="60"/>
  <c r="W68" i="60"/>
  <c r="V68" i="60"/>
  <c r="Q68" i="60"/>
  <c r="P68" i="60"/>
  <c r="O68" i="60"/>
  <c r="N68" i="60"/>
  <c r="M68" i="60"/>
  <c r="L68" i="60"/>
  <c r="K68" i="60"/>
  <c r="X67" i="60"/>
  <c r="W67" i="60"/>
  <c r="V67" i="60"/>
  <c r="Q67" i="60"/>
  <c r="P67" i="60"/>
  <c r="O67" i="60"/>
  <c r="N67" i="60"/>
  <c r="M67" i="60"/>
  <c r="L67" i="60"/>
  <c r="K67" i="60"/>
  <c r="X66" i="60"/>
  <c r="W66" i="60"/>
  <c r="V66" i="60"/>
  <c r="Q66" i="60"/>
  <c r="P66" i="60"/>
  <c r="O66" i="60"/>
  <c r="N66" i="60"/>
  <c r="M66" i="60"/>
  <c r="L66" i="60"/>
  <c r="K66" i="60"/>
  <c r="X65" i="60"/>
  <c r="W65" i="60"/>
  <c r="V65" i="60"/>
  <c r="Q65" i="60"/>
  <c r="P65" i="60"/>
  <c r="O65" i="60"/>
  <c r="N65" i="60"/>
  <c r="M65" i="60"/>
  <c r="L65" i="60"/>
  <c r="K65" i="60"/>
  <c r="X64" i="60"/>
  <c r="W64" i="60"/>
  <c r="V64" i="60"/>
  <c r="Q64" i="60"/>
  <c r="P64" i="60"/>
  <c r="O64" i="60"/>
  <c r="N64" i="60"/>
  <c r="M64" i="60"/>
  <c r="L64" i="60"/>
  <c r="K64" i="60"/>
  <c r="X63" i="60"/>
  <c r="W63" i="60"/>
  <c r="V63" i="60"/>
  <c r="Q63" i="60"/>
  <c r="P63" i="60"/>
  <c r="O63" i="60"/>
  <c r="N63" i="60"/>
  <c r="M63" i="60"/>
  <c r="L63" i="60"/>
  <c r="K63" i="60"/>
  <c r="X62" i="60"/>
  <c r="W62" i="60"/>
  <c r="V62" i="60"/>
  <c r="Q62" i="60"/>
  <c r="P62" i="60"/>
  <c r="O62" i="60"/>
  <c r="N62" i="60"/>
  <c r="M62" i="60"/>
  <c r="L62" i="60"/>
  <c r="K62" i="60"/>
  <c r="X61" i="60"/>
  <c r="W61" i="60"/>
  <c r="V61" i="60"/>
  <c r="Q61" i="60"/>
  <c r="P61" i="60"/>
  <c r="O61" i="60"/>
  <c r="N61" i="60"/>
  <c r="M61" i="60"/>
  <c r="L61" i="60"/>
  <c r="K61" i="60"/>
  <c r="X60" i="60"/>
  <c r="W60" i="60"/>
  <c r="V60" i="60"/>
  <c r="Q60" i="60"/>
  <c r="P60" i="60"/>
  <c r="O60" i="60"/>
  <c r="N60" i="60"/>
  <c r="M60" i="60"/>
  <c r="L60" i="60"/>
  <c r="K60" i="60"/>
  <c r="X59" i="60"/>
  <c r="W59" i="60"/>
  <c r="V59" i="60"/>
  <c r="Q59" i="60"/>
  <c r="P59" i="60"/>
  <c r="O59" i="60"/>
  <c r="N59" i="60"/>
  <c r="M59" i="60"/>
  <c r="L59" i="60"/>
  <c r="K59" i="60"/>
  <c r="X58" i="60"/>
  <c r="W58" i="60"/>
  <c r="V58" i="60"/>
  <c r="Q58" i="60"/>
  <c r="P58" i="60"/>
  <c r="O58" i="60"/>
  <c r="N58" i="60"/>
  <c r="M58" i="60"/>
  <c r="L58" i="60"/>
  <c r="K58" i="60"/>
  <c r="X57" i="60"/>
  <c r="W57" i="60"/>
  <c r="V57" i="60"/>
  <c r="Q57" i="60"/>
  <c r="P57" i="60"/>
  <c r="O57" i="60"/>
  <c r="N57" i="60"/>
  <c r="M57" i="60"/>
  <c r="L57" i="60"/>
  <c r="K57" i="60"/>
  <c r="X56" i="60"/>
  <c r="W56" i="60"/>
  <c r="V56" i="60"/>
  <c r="Q56" i="60"/>
  <c r="P56" i="60"/>
  <c r="O56" i="60"/>
  <c r="N56" i="60"/>
  <c r="M56" i="60"/>
  <c r="L56" i="60"/>
  <c r="K56" i="60"/>
  <c r="X55" i="60"/>
  <c r="W55" i="60"/>
  <c r="V55" i="60"/>
  <c r="Q55" i="60"/>
  <c r="P55" i="60"/>
  <c r="O55" i="60"/>
  <c r="N55" i="60"/>
  <c r="M55" i="60"/>
  <c r="L55" i="60"/>
  <c r="K55" i="60"/>
  <c r="X54" i="60"/>
  <c r="W54" i="60"/>
  <c r="V54" i="60"/>
  <c r="Q54" i="60"/>
  <c r="P54" i="60"/>
  <c r="O54" i="60"/>
  <c r="N54" i="60"/>
  <c r="M54" i="60"/>
  <c r="L54" i="60"/>
  <c r="K54" i="60"/>
  <c r="X53" i="60"/>
  <c r="W53" i="60"/>
  <c r="V53" i="60"/>
  <c r="Q53" i="60"/>
  <c r="P53" i="60"/>
  <c r="O53" i="60"/>
  <c r="F53" i="60" s="1"/>
  <c r="N53" i="60"/>
  <c r="M53" i="60"/>
  <c r="L53" i="60"/>
  <c r="K53" i="60"/>
  <c r="X52" i="60"/>
  <c r="W52" i="60"/>
  <c r="V52" i="60"/>
  <c r="Q52" i="60"/>
  <c r="P52" i="60"/>
  <c r="O52" i="60"/>
  <c r="F52" i="60" s="1"/>
  <c r="N52" i="60"/>
  <c r="M52" i="60"/>
  <c r="L52" i="60"/>
  <c r="K52" i="60"/>
  <c r="X51" i="60"/>
  <c r="W51" i="60"/>
  <c r="V51" i="60"/>
  <c r="Q51" i="60"/>
  <c r="P51" i="60"/>
  <c r="O51" i="60"/>
  <c r="F51" i="60" s="1"/>
  <c r="N51" i="60"/>
  <c r="M51" i="60"/>
  <c r="L51" i="60"/>
  <c r="K51" i="60"/>
  <c r="X50" i="60"/>
  <c r="W50" i="60"/>
  <c r="V50" i="60"/>
  <c r="Q50" i="60"/>
  <c r="P50" i="60"/>
  <c r="O50" i="60"/>
  <c r="F50" i="60" s="1"/>
  <c r="N50" i="60"/>
  <c r="M50" i="60"/>
  <c r="L50" i="60"/>
  <c r="K50" i="60"/>
  <c r="AD49" i="60"/>
  <c r="AC49" i="60"/>
  <c r="AC13" i="60" s="1"/>
  <c r="AC10" i="60" s="1"/>
  <c r="X49" i="60"/>
  <c r="W49" i="60"/>
  <c r="V49" i="60"/>
  <c r="Q49" i="60"/>
  <c r="P49" i="60"/>
  <c r="O49" i="60"/>
  <c r="N49" i="60"/>
  <c r="M49" i="60"/>
  <c r="L49" i="60"/>
  <c r="K49" i="60"/>
  <c r="X48" i="60"/>
  <c r="W48" i="60"/>
  <c r="V48" i="60"/>
  <c r="Q48" i="60"/>
  <c r="P48" i="60"/>
  <c r="O48" i="60"/>
  <c r="N48" i="60"/>
  <c r="M48" i="60"/>
  <c r="L48" i="60"/>
  <c r="K48" i="60"/>
  <c r="X47" i="60"/>
  <c r="W47" i="60"/>
  <c r="V47" i="60"/>
  <c r="Q47" i="60"/>
  <c r="P47" i="60"/>
  <c r="O47" i="60"/>
  <c r="N47" i="60"/>
  <c r="M47" i="60"/>
  <c r="L47" i="60"/>
  <c r="K47" i="60"/>
  <c r="X46" i="60"/>
  <c r="W46" i="60"/>
  <c r="V46" i="60"/>
  <c r="Q46" i="60"/>
  <c r="P46" i="60"/>
  <c r="O46" i="60"/>
  <c r="N46" i="60"/>
  <c r="M46" i="60"/>
  <c r="L46" i="60"/>
  <c r="K46" i="60"/>
  <c r="X45" i="60"/>
  <c r="W45" i="60"/>
  <c r="V45" i="60"/>
  <c r="Q45" i="60"/>
  <c r="P45" i="60"/>
  <c r="O45" i="60"/>
  <c r="N45" i="60"/>
  <c r="M45" i="60"/>
  <c r="L45" i="60"/>
  <c r="K45" i="60"/>
  <c r="X44" i="60"/>
  <c r="W44" i="60"/>
  <c r="V44" i="60"/>
  <c r="Q44" i="60"/>
  <c r="P44" i="60"/>
  <c r="O44" i="60"/>
  <c r="N44" i="60"/>
  <c r="M44" i="60"/>
  <c r="L44" i="60"/>
  <c r="K44" i="60"/>
  <c r="X43" i="60"/>
  <c r="W43" i="60"/>
  <c r="V43" i="60"/>
  <c r="Q43" i="60"/>
  <c r="P43" i="60"/>
  <c r="O43" i="60"/>
  <c r="N43" i="60"/>
  <c r="M43" i="60"/>
  <c r="L43" i="60"/>
  <c r="K43" i="60"/>
  <c r="X42" i="60"/>
  <c r="W42" i="60"/>
  <c r="V42" i="60"/>
  <c r="Q42" i="60"/>
  <c r="P42" i="60"/>
  <c r="O42" i="60"/>
  <c r="N42" i="60"/>
  <c r="M42" i="60"/>
  <c r="L42" i="60"/>
  <c r="K42" i="60"/>
  <c r="X41" i="60"/>
  <c r="W41" i="60"/>
  <c r="V41" i="60"/>
  <c r="U41" i="60"/>
  <c r="U13" i="60" s="1"/>
  <c r="U10" i="60" s="1"/>
  <c r="S41" i="60"/>
  <c r="Q41" i="60"/>
  <c r="P41" i="60"/>
  <c r="O41" i="60"/>
  <c r="F41" i="60" s="1"/>
  <c r="N41" i="60"/>
  <c r="M41" i="60"/>
  <c r="L41" i="60"/>
  <c r="K41" i="60"/>
  <c r="X40" i="60"/>
  <c r="W40" i="60"/>
  <c r="V40" i="60"/>
  <c r="Q40" i="60"/>
  <c r="P40" i="60"/>
  <c r="O40" i="60"/>
  <c r="F40" i="60" s="1"/>
  <c r="N40" i="60"/>
  <c r="M40" i="60"/>
  <c r="L40" i="60"/>
  <c r="K40" i="60"/>
  <c r="X39" i="60"/>
  <c r="W39" i="60"/>
  <c r="V39" i="60"/>
  <c r="Q39" i="60"/>
  <c r="P39" i="60"/>
  <c r="O39" i="60"/>
  <c r="F39" i="60" s="1"/>
  <c r="N39" i="60"/>
  <c r="M39" i="60"/>
  <c r="L39" i="60"/>
  <c r="K39" i="60"/>
  <c r="X38" i="60"/>
  <c r="W38" i="60"/>
  <c r="V38" i="60"/>
  <c r="Q38" i="60"/>
  <c r="P38" i="60"/>
  <c r="O38" i="60"/>
  <c r="F38" i="60" s="1"/>
  <c r="N38" i="60"/>
  <c r="M38" i="60"/>
  <c r="L38" i="60"/>
  <c r="K38" i="60"/>
  <c r="X37" i="60"/>
  <c r="W37" i="60"/>
  <c r="V37" i="60"/>
  <c r="Q37" i="60"/>
  <c r="P37" i="60"/>
  <c r="O37" i="60"/>
  <c r="F37" i="60" s="1"/>
  <c r="N37" i="60"/>
  <c r="M37" i="60"/>
  <c r="L37" i="60"/>
  <c r="K37" i="60"/>
  <c r="X36" i="60"/>
  <c r="W36" i="60"/>
  <c r="V36" i="60"/>
  <c r="Q36" i="60"/>
  <c r="P36" i="60"/>
  <c r="O36" i="60"/>
  <c r="F36" i="60" s="1"/>
  <c r="N36" i="60"/>
  <c r="M36" i="60"/>
  <c r="L36" i="60"/>
  <c r="K36" i="60"/>
  <c r="X35" i="60"/>
  <c r="W35" i="60"/>
  <c r="V35" i="60"/>
  <c r="Q35" i="60"/>
  <c r="P35" i="60"/>
  <c r="O35" i="60"/>
  <c r="F35" i="60" s="1"/>
  <c r="N35" i="60"/>
  <c r="M35" i="60"/>
  <c r="L35" i="60"/>
  <c r="K35" i="60"/>
  <c r="X34" i="60"/>
  <c r="W34" i="60"/>
  <c r="V34" i="60"/>
  <c r="Q34" i="60"/>
  <c r="P34" i="60"/>
  <c r="O34" i="60"/>
  <c r="F34" i="60" s="1"/>
  <c r="N34" i="60"/>
  <c r="M34" i="60"/>
  <c r="L34" i="60"/>
  <c r="K34" i="60"/>
  <c r="X33" i="60"/>
  <c r="W33" i="60"/>
  <c r="V33" i="60"/>
  <c r="Q33" i="60"/>
  <c r="P33" i="60"/>
  <c r="O33" i="60"/>
  <c r="F33" i="60" s="1"/>
  <c r="N33" i="60"/>
  <c r="M33" i="60"/>
  <c r="L33" i="60"/>
  <c r="K33" i="60"/>
  <c r="X32" i="60"/>
  <c r="W32" i="60"/>
  <c r="V32" i="60"/>
  <c r="Q32" i="60"/>
  <c r="P32" i="60"/>
  <c r="O32" i="60"/>
  <c r="F32" i="60" s="1"/>
  <c r="N32" i="60"/>
  <c r="M32" i="60"/>
  <c r="L32" i="60"/>
  <c r="K32" i="60"/>
  <c r="X31" i="60"/>
  <c r="W31" i="60"/>
  <c r="V31" i="60"/>
  <c r="Q31" i="60"/>
  <c r="P31" i="60"/>
  <c r="O31" i="60"/>
  <c r="F31" i="60" s="1"/>
  <c r="N31" i="60"/>
  <c r="M31" i="60"/>
  <c r="L31" i="60"/>
  <c r="K31" i="60"/>
  <c r="X30" i="60"/>
  <c r="W30" i="60"/>
  <c r="V30" i="60"/>
  <c r="Q30" i="60"/>
  <c r="P30" i="60"/>
  <c r="O30" i="60"/>
  <c r="F30" i="60" s="1"/>
  <c r="N30" i="60"/>
  <c r="M30" i="60"/>
  <c r="L30" i="60"/>
  <c r="K30" i="60"/>
  <c r="X29" i="60"/>
  <c r="W29" i="60"/>
  <c r="V29" i="60"/>
  <c r="Q29" i="60"/>
  <c r="P29" i="60"/>
  <c r="O29" i="60"/>
  <c r="F29" i="60" s="1"/>
  <c r="N29" i="60"/>
  <c r="M29" i="60"/>
  <c r="L29" i="60"/>
  <c r="K29" i="60"/>
  <c r="X28" i="60"/>
  <c r="W28" i="60"/>
  <c r="V28" i="60"/>
  <c r="Q28" i="60"/>
  <c r="P28" i="60"/>
  <c r="O28" i="60"/>
  <c r="F28" i="60" s="1"/>
  <c r="N28" i="60"/>
  <c r="M28" i="60"/>
  <c r="L28" i="60"/>
  <c r="K28" i="60"/>
  <c r="X27" i="60"/>
  <c r="W27" i="60"/>
  <c r="V27" i="60"/>
  <c r="Q27" i="60"/>
  <c r="P27" i="60"/>
  <c r="O27" i="60"/>
  <c r="F27" i="60" s="1"/>
  <c r="N27" i="60"/>
  <c r="M27" i="60"/>
  <c r="L27" i="60"/>
  <c r="K27" i="60"/>
  <c r="X26" i="60"/>
  <c r="W26" i="60"/>
  <c r="V26" i="60"/>
  <c r="Q26" i="60"/>
  <c r="P26" i="60"/>
  <c r="O26" i="60"/>
  <c r="F26" i="60" s="1"/>
  <c r="N26" i="60"/>
  <c r="M26" i="60"/>
  <c r="L26" i="60"/>
  <c r="K26" i="60"/>
  <c r="X25" i="60"/>
  <c r="W25" i="60"/>
  <c r="V25" i="60"/>
  <c r="Q25" i="60"/>
  <c r="P25" i="60"/>
  <c r="O25" i="60"/>
  <c r="F25" i="60" s="1"/>
  <c r="N25" i="60"/>
  <c r="M25" i="60"/>
  <c r="L25" i="60"/>
  <c r="K25" i="60"/>
  <c r="X24" i="60"/>
  <c r="W24" i="60"/>
  <c r="V24" i="60"/>
  <c r="Q24" i="60"/>
  <c r="P24" i="60"/>
  <c r="O24" i="60"/>
  <c r="F24" i="60" s="1"/>
  <c r="N24" i="60"/>
  <c r="M24" i="60"/>
  <c r="L24" i="60"/>
  <c r="K24" i="60"/>
  <c r="X23" i="60"/>
  <c r="W23" i="60"/>
  <c r="V23" i="60"/>
  <c r="Q23" i="60"/>
  <c r="P23" i="60"/>
  <c r="O23" i="60"/>
  <c r="F23" i="60" s="1"/>
  <c r="N23" i="60"/>
  <c r="M23" i="60"/>
  <c r="L23" i="60"/>
  <c r="K23" i="60"/>
  <c r="X22" i="60"/>
  <c r="W22" i="60"/>
  <c r="V22" i="60"/>
  <c r="Q22" i="60"/>
  <c r="P22" i="60"/>
  <c r="O22" i="60"/>
  <c r="F22" i="60" s="1"/>
  <c r="N22" i="60"/>
  <c r="M22" i="60"/>
  <c r="L22" i="60"/>
  <c r="K22" i="60"/>
  <c r="X21" i="60"/>
  <c r="W21" i="60"/>
  <c r="V21" i="60"/>
  <c r="Q21" i="60"/>
  <c r="P21" i="60"/>
  <c r="O21" i="60"/>
  <c r="N21" i="60"/>
  <c r="M21" i="60"/>
  <c r="L21" i="60"/>
  <c r="K21" i="60"/>
  <c r="X20" i="60"/>
  <c r="W20" i="60"/>
  <c r="V20" i="60"/>
  <c r="Q20" i="60"/>
  <c r="P20" i="60"/>
  <c r="O20" i="60"/>
  <c r="N20" i="60"/>
  <c r="M20" i="60"/>
  <c r="L20" i="60"/>
  <c r="K20" i="60"/>
  <c r="X19" i="60"/>
  <c r="W19" i="60"/>
  <c r="V19" i="60"/>
  <c r="Q19" i="60"/>
  <c r="P19" i="60"/>
  <c r="O19" i="60"/>
  <c r="N19" i="60"/>
  <c r="M19" i="60"/>
  <c r="L19" i="60"/>
  <c r="K19" i="60"/>
  <c r="X18" i="60"/>
  <c r="W18" i="60"/>
  <c r="V18" i="60"/>
  <c r="Q18" i="60"/>
  <c r="P18" i="60"/>
  <c r="O18" i="60"/>
  <c r="N18" i="60"/>
  <c r="M18" i="60"/>
  <c r="L18" i="60"/>
  <c r="K18" i="60"/>
  <c r="X17" i="60"/>
  <c r="W17" i="60"/>
  <c r="V17" i="60"/>
  <c r="Q17" i="60"/>
  <c r="P17" i="60"/>
  <c r="O17" i="60"/>
  <c r="N17" i="60"/>
  <c r="M17" i="60"/>
  <c r="L17" i="60"/>
  <c r="K17" i="60"/>
  <c r="X16" i="60"/>
  <c r="W16" i="60"/>
  <c r="V16" i="60"/>
  <c r="Q16" i="60"/>
  <c r="P16" i="60"/>
  <c r="O16" i="60"/>
  <c r="N16" i="60"/>
  <c r="M16" i="60"/>
  <c r="L16" i="60"/>
  <c r="K16" i="60"/>
  <c r="X15" i="60"/>
  <c r="W15" i="60"/>
  <c r="V15" i="60"/>
  <c r="Q15" i="60"/>
  <c r="P15" i="60"/>
  <c r="O15" i="60"/>
  <c r="N15" i="60"/>
  <c r="M15" i="60"/>
  <c r="L15" i="60"/>
  <c r="K15" i="60"/>
  <c r="X14" i="60"/>
  <c r="W14" i="60"/>
  <c r="V14" i="60"/>
  <c r="Q14" i="60"/>
  <c r="P14" i="60"/>
  <c r="O14" i="60"/>
  <c r="F14" i="60" s="1"/>
  <c r="N14" i="60"/>
  <c r="M14" i="60"/>
  <c r="L14" i="60"/>
  <c r="K14" i="60"/>
  <c r="AG13" i="60"/>
  <c r="AG10" i="60" s="1"/>
  <c r="AF13" i="60"/>
  <c r="AF10" i="60" s="1"/>
  <c r="AE13" i="60"/>
  <c r="AE10" i="60" s="1"/>
  <c r="AA13" i="60"/>
  <c r="AA10" i="60" s="1"/>
  <c r="Y13" i="60"/>
  <c r="Y10" i="60" s="1"/>
  <c r="T13" i="60"/>
  <c r="I13" i="60"/>
  <c r="I10" i="60" s="1"/>
  <c r="G13" i="60"/>
  <c r="G10" i="60" s="1"/>
  <c r="T10" i="60"/>
  <c r="F54" i="60" l="1"/>
  <c r="F70" i="60"/>
  <c r="F105" i="60"/>
  <c r="E37" i="60"/>
  <c r="E70" i="60"/>
  <c r="F73" i="60"/>
  <c r="E22" i="60"/>
  <c r="E53" i="60"/>
  <c r="E104" i="60"/>
  <c r="F104" i="60"/>
  <c r="AD13" i="60"/>
  <c r="AD10" i="60" s="1"/>
  <c r="E38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E69" i="60"/>
  <c r="F69" i="60"/>
  <c r="F87" i="60"/>
  <c r="F88" i="60"/>
  <c r="E97" i="60"/>
  <c r="F106" i="60"/>
  <c r="F107" i="60"/>
  <c r="F108" i="60"/>
  <c r="F109" i="60"/>
  <c r="F110" i="60"/>
  <c r="F111" i="60"/>
  <c r="E112" i="60"/>
  <c r="F112" i="60"/>
  <c r="M13" i="60"/>
  <c r="M10" i="60" s="1"/>
  <c r="F15" i="60"/>
  <c r="F16" i="60"/>
  <c r="F18" i="60"/>
  <c r="F19" i="60"/>
  <c r="F20" i="60"/>
  <c r="E21" i="60"/>
  <c r="D21" i="60" s="1"/>
  <c r="F21" i="60"/>
  <c r="F42" i="60"/>
  <c r="F43" i="60"/>
  <c r="F44" i="60"/>
  <c r="F45" i="60"/>
  <c r="F46" i="60"/>
  <c r="F47" i="60"/>
  <c r="F48" i="60"/>
  <c r="F49" i="60"/>
  <c r="E54" i="60"/>
  <c r="F71" i="60"/>
  <c r="F90" i="60"/>
  <c r="E120" i="60"/>
  <c r="D120" i="60" s="1"/>
  <c r="F124" i="60"/>
  <c r="F125" i="60"/>
  <c r="F126" i="60"/>
  <c r="F127" i="60"/>
  <c r="E128" i="60"/>
  <c r="D128" i="60" s="1"/>
  <c r="F128" i="60"/>
  <c r="F129" i="60"/>
  <c r="F130" i="60"/>
  <c r="F131" i="60"/>
  <c r="F132" i="60"/>
  <c r="F133" i="60"/>
  <c r="F134" i="60"/>
  <c r="F135" i="60"/>
  <c r="E136" i="60"/>
  <c r="F136" i="60"/>
  <c r="E105" i="60"/>
  <c r="E121" i="60"/>
  <c r="E137" i="60"/>
  <c r="F17" i="60"/>
  <c r="N13" i="60"/>
  <c r="N10" i="60" s="1"/>
  <c r="E29" i="60"/>
  <c r="E30" i="60"/>
  <c r="E45" i="60"/>
  <c r="D45" i="60" s="1"/>
  <c r="E46" i="60"/>
  <c r="E61" i="60"/>
  <c r="E62" i="60"/>
  <c r="E79" i="60"/>
  <c r="E80" i="60"/>
  <c r="F89" i="60"/>
  <c r="E96" i="60"/>
  <c r="D96" i="60" s="1"/>
  <c r="E113" i="60"/>
  <c r="D113" i="60" s="1"/>
  <c r="E129" i="60"/>
  <c r="Q13" i="60"/>
  <c r="Q10" i="60" s="1"/>
  <c r="W13" i="60"/>
  <c r="W10" i="60" s="1"/>
  <c r="E17" i="60"/>
  <c r="D17" i="60" s="1"/>
  <c r="E18" i="60"/>
  <c r="E25" i="60"/>
  <c r="E26" i="60"/>
  <c r="E33" i="60"/>
  <c r="D33" i="60" s="1"/>
  <c r="E34" i="60"/>
  <c r="E41" i="60"/>
  <c r="E42" i="60"/>
  <c r="E49" i="60"/>
  <c r="D49" i="60" s="1"/>
  <c r="E50" i="60"/>
  <c r="E57" i="60"/>
  <c r="E58" i="60"/>
  <c r="E65" i="60"/>
  <c r="D65" i="60" s="1"/>
  <c r="E66" i="60"/>
  <c r="F72" i="60"/>
  <c r="E75" i="60"/>
  <c r="D75" i="60" s="1"/>
  <c r="E76" i="60"/>
  <c r="D76" i="60" s="1"/>
  <c r="E83" i="60"/>
  <c r="D83" i="60" s="1"/>
  <c r="E84" i="60"/>
  <c r="E88" i="60"/>
  <c r="E90" i="60"/>
  <c r="D90" i="60" s="1"/>
  <c r="E92" i="60"/>
  <c r="D92" i="60" s="1"/>
  <c r="E93" i="60"/>
  <c r="E100" i="60"/>
  <c r="D100" i="60" s="1"/>
  <c r="E101" i="60"/>
  <c r="D101" i="60" s="1"/>
  <c r="E108" i="60"/>
  <c r="E109" i="60"/>
  <c r="E116" i="60"/>
  <c r="D116" i="60" s="1"/>
  <c r="E117" i="60"/>
  <c r="E124" i="60"/>
  <c r="D124" i="60" s="1"/>
  <c r="E125" i="60"/>
  <c r="E132" i="60"/>
  <c r="D132" i="60" s="1"/>
  <c r="E133" i="60"/>
  <c r="D133" i="60" s="1"/>
  <c r="E15" i="60"/>
  <c r="D15" i="60" s="1"/>
  <c r="E16" i="60"/>
  <c r="E19" i="60"/>
  <c r="E20" i="60"/>
  <c r="D20" i="60" s="1"/>
  <c r="E23" i="60"/>
  <c r="D23" i="60" s="1"/>
  <c r="E24" i="60"/>
  <c r="E27" i="60"/>
  <c r="E28" i="60"/>
  <c r="D28" i="60" s="1"/>
  <c r="E31" i="60"/>
  <c r="D31" i="60" s="1"/>
  <c r="E32" i="60"/>
  <c r="E35" i="60"/>
  <c r="E36" i="60"/>
  <c r="D36" i="60" s="1"/>
  <c r="E39" i="60"/>
  <c r="D39" i="60" s="1"/>
  <c r="E40" i="60"/>
  <c r="E43" i="60"/>
  <c r="E44" i="60"/>
  <c r="D44" i="60" s="1"/>
  <c r="E47" i="60"/>
  <c r="D47" i="60" s="1"/>
  <c r="E51" i="60"/>
  <c r="D51" i="60" s="1"/>
  <c r="E52" i="60"/>
  <c r="D52" i="60" s="1"/>
  <c r="E55" i="60"/>
  <c r="D55" i="60" s="1"/>
  <c r="E56" i="60"/>
  <c r="E59" i="60"/>
  <c r="E60" i="60"/>
  <c r="E63" i="60"/>
  <c r="D63" i="60" s="1"/>
  <c r="E64" i="60"/>
  <c r="E67" i="60"/>
  <c r="E68" i="60"/>
  <c r="E71" i="60"/>
  <c r="D71" i="60" s="1"/>
  <c r="E72" i="60"/>
  <c r="S13" i="60"/>
  <c r="S10" i="60" s="1"/>
  <c r="E74" i="60"/>
  <c r="D74" i="60" s="1"/>
  <c r="E77" i="60"/>
  <c r="D77" i="60" s="1"/>
  <c r="E78" i="60"/>
  <c r="E81" i="60"/>
  <c r="D81" i="60" s="1"/>
  <c r="E82" i="60"/>
  <c r="D82" i="60" s="1"/>
  <c r="E85" i="60"/>
  <c r="E86" i="60"/>
  <c r="R13" i="60"/>
  <c r="R10" i="60" s="1"/>
  <c r="E87" i="60"/>
  <c r="D87" i="60" s="1"/>
  <c r="E91" i="60"/>
  <c r="D91" i="60" s="1"/>
  <c r="F91" i="60"/>
  <c r="E94" i="60"/>
  <c r="D94" i="60" s="1"/>
  <c r="E95" i="60"/>
  <c r="D95" i="60" s="1"/>
  <c r="E98" i="60"/>
  <c r="D98" i="60" s="1"/>
  <c r="E99" i="60"/>
  <c r="E102" i="60"/>
  <c r="E103" i="60"/>
  <c r="D103" i="60" s="1"/>
  <c r="E106" i="60"/>
  <c r="D106" i="60" s="1"/>
  <c r="E107" i="60"/>
  <c r="D107" i="60" s="1"/>
  <c r="E110" i="60"/>
  <c r="E111" i="60"/>
  <c r="D111" i="60" s="1"/>
  <c r="E114" i="60"/>
  <c r="D114" i="60" s="1"/>
  <c r="E115" i="60"/>
  <c r="D115" i="60" s="1"/>
  <c r="E118" i="60"/>
  <c r="E119" i="60"/>
  <c r="D119" i="60" s="1"/>
  <c r="E122" i="60"/>
  <c r="D122" i="60" s="1"/>
  <c r="E123" i="60"/>
  <c r="E126" i="60"/>
  <c r="E127" i="60"/>
  <c r="D127" i="60" s="1"/>
  <c r="E130" i="60"/>
  <c r="D130" i="60" s="1"/>
  <c r="E131" i="60"/>
  <c r="E134" i="60"/>
  <c r="E135" i="60"/>
  <c r="D135" i="60" s="1"/>
  <c r="E138" i="60"/>
  <c r="D138" i="60" s="1"/>
  <c r="E48" i="60"/>
  <c r="K13" i="60"/>
  <c r="K10" i="60" s="1"/>
  <c r="O13" i="60"/>
  <c r="O10" i="60" s="1"/>
  <c r="D99" i="60"/>
  <c r="D59" i="60"/>
  <c r="D67" i="60"/>
  <c r="D85" i="60"/>
  <c r="D93" i="60"/>
  <c r="D97" i="60"/>
  <c r="D24" i="60"/>
  <c r="D32" i="60"/>
  <c r="D40" i="60"/>
  <c r="D72" i="60"/>
  <c r="D78" i="60"/>
  <c r="D86" i="60"/>
  <c r="D18" i="60"/>
  <c r="D22" i="60"/>
  <c r="D25" i="60"/>
  <c r="D26" i="60"/>
  <c r="D29" i="60"/>
  <c r="D30" i="60"/>
  <c r="D34" i="60"/>
  <c r="D37" i="60"/>
  <c r="D38" i="60"/>
  <c r="D41" i="60"/>
  <c r="D42" i="60"/>
  <c r="D46" i="60"/>
  <c r="D50" i="60"/>
  <c r="D53" i="60"/>
  <c r="D54" i="60"/>
  <c r="D57" i="60"/>
  <c r="D58" i="60"/>
  <c r="D61" i="60"/>
  <c r="D62" i="60"/>
  <c r="D66" i="60"/>
  <c r="D69" i="60"/>
  <c r="D70" i="60"/>
  <c r="D79" i="60"/>
  <c r="D80" i="60"/>
  <c r="D84" i="60"/>
  <c r="D102" i="60"/>
  <c r="D110" i="60"/>
  <c r="D118" i="60"/>
  <c r="D134" i="60"/>
  <c r="D19" i="60"/>
  <c r="D27" i="60"/>
  <c r="D35" i="60"/>
  <c r="D43" i="60"/>
  <c r="D121" i="60"/>
  <c r="D125" i="60"/>
  <c r="D137" i="60"/>
  <c r="H13" i="60"/>
  <c r="H10" i="60" s="1"/>
  <c r="J13" i="60"/>
  <c r="J10" i="60" s="1"/>
  <c r="L13" i="60"/>
  <c r="L10" i="60" s="1"/>
  <c r="P13" i="60"/>
  <c r="P10" i="60" s="1"/>
  <c r="V13" i="60"/>
  <c r="V10" i="60" s="1"/>
  <c r="X13" i="60"/>
  <c r="X10" i="60" s="1"/>
  <c r="Z13" i="60"/>
  <c r="Z10" i="60" s="1"/>
  <c r="AB13" i="60"/>
  <c r="AB10" i="60" s="1"/>
  <c r="AH13" i="60"/>
  <c r="AH10" i="60" s="1"/>
  <c r="E14" i="60"/>
  <c r="E73" i="60"/>
  <c r="D73" i="60" s="1"/>
  <c r="E89" i="60"/>
  <c r="D89" i="60" s="1"/>
  <c r="D105" i="60"/>
  <c r="D109" i="60"/>
  <c r="D117" i="60"/>
  <c r="D123" i="60"/>
  <c r="D131" i="60"/>
  <c r="D129" i="60" l="1"/>
  <c r="D126" i="60"/>
  <c r="D48" i="60"/>
  <c r="D16" i="60"/>
  <c r="D112" i="60"/>
  <c r="D64" i="60"/>
  <c r="D56" i="60"/>
  <c r="D68" i="60"/>
  <c r="D60" i="60"/>
  <c r="D88" i="60"/>
  <c r="D136" i="60"/>
  <c r="D104" i="60"/>
  <c r="F13" i="60"/>
  <c r="F10" i="60" s="1"/>
  <c r="D108" i="60"/>
  <c r="D14" i="60"/>
  <c r="E13" i="60"/>
  <c r="E10" i="60" s="1"/>
  <c r="D13" i="60" l="1"/>
  <c r="D10" i="60" s="1"/>
  <c r="S31" i="59" l="1"/>
  <c r="R30" i="59"/>
  <c r="S30" i="59" s="1"/>
  <c r="R29" i="59"/>
  <c r="S29" i="59" s="1"/>
  <c r="L28" i="59"/>
  <c r="S28" i="59" s="1"/>
  <c r="M27" i="59"/>
  <c r="L27" i="59"/>
  <c r="S26" i="59"/>
  <c r="R25" i="59"/>
  <c r="S25" i="59" s="1"/>
  <c r="R24" i="59"/>
  <c r="S24" i="59" s="1"/>
  <c r="L23" i="59"/>
  <c r="R22" i="59"/>
  <c r="S22" i="59" s="1"/>
  <c r="R21" i="59"/>
  <c r="S21" i="59" s="1"/>
  <c r="R20" i="59"/>
  <c r="S20" i="59" s="1"/>
  <c r="R19" i="59"/>
  <c r="S19" i="59" s="1"/>
  <c r="R18" i="59"/>
  <c r="S18" i="59" s="1"/>
  <c r="R17" i="59"/>
  <c r="S17" i="59" s="1"/>
  <c r="R16" i="59"/>
  <c r="S16" i="59" s="1"/>
  <c r="R15" i="59"/>
  <c r="S15" i="59" s="1"/>
  <c r="R14" i="59"/>
  <c r="S14" i="59" s="1"/>
  <c r="M13" i="59"/>
  <c r="R12" i="59"/>
  <c r="S12" i="59" s="1"/>
  <c r="R11" i="59"/>
  <c r="S11" i="59" s="1"/>
  <c r="R10" i="59"/>
  <c r="S10" i="59" s="1"/>
  <c r="R9" i="59"/>
  <c r="S9" i="59" l="1"/>
  <c r="R8" i="59"/>
  <c r="R6" i="59" s="1"/>
  <c r="M8" i="59"/>
  <c r="M6" i="59" s="1"/>
  <c r="S23" i="59"/>
  <c r="L8" i="59"/>
  <c r="L6" i="59" s="1"/>
  <c r="S27" i="59"/>
  <c r="S13" i="59"/>
  <c r="S8" i="59" l="1"/>
  <c r="S6" i="59" s="1"/>
  <c r="O102" i="58"/>
  <c r="N102" i="58"/>
  <c r="M102" i="58"/>
  <c r="L102" i="58"/>
  <c r="J102" i="58"/>
  <c r="J101" i="58"/>
  <c r="K101" i="58" s="1"/>
  <c r="K100" i="58"/>
  <c r="V99" i="58"/>
  <c r="V8" i="58" s="1"/>
  <c r="V6" i="58" s="1"/>
  <c r="U99" i="58"/>
  <c r="T99" i="58"/>
  <c r="T8" i="58" s="1"/>
  <c r="T6" i="58" s="1"/>
  <c r="S99" i="58"/>
  <c r="R99" i="58"/>
  <c r="R8" i="58" s="1"/>
  <c r="R6" i="58" s="1"/>
  <c r="Q99" i="58"/>
  <c r="Q8" i="58" s="1"/>
  <c r="Q6" i="58" s="1"/>
  <c r="K98" i="58"/>
  <c r="O97" i="58"/>
  <c r="N97" i="58"/>
  <c r="M97" i="58"/>
  <c r="L97" i="58"/>
  <c r="J97" i="58"/>
  <c r="O96" i="58"/>
  <c r="N96" i="58"/>
  <c r="M96" i="58"/>
  <c r="L96" i="58"/>
  <c r="J96" i="58"/>
  <c r="K96" i="58" s="1"/>
  <c r="K95" i="58"/>
  <c r="K94" i="58"/>
  <c r="J94" i="58"/>
  <c r="J93" i="58"/>
  <c r="K93" i="58" s="1"/>
  <c r="K92" i="58"/>
  <c r="J91" i="58"/>
  <c r="J90" i="58"/>
  <c r="K90" i="58" s="1"/>
  <c r="K89" i="58"/>
  <c r="J88" i="58"/>
  <c r="K88" i="58" s="1"/>
  <c r="J87" i="58"/>
  <c r="K87" i="58" s="1"/>
  <c r="K86" i="58"/>
  <c r="K85" i="58"/>
  <c r="J84" i="58"/>
  <c r="K84" i="58" s="1"/>
  <c r="J83" i="58"/>
  <c r="K83" i="58" s="1"/>
  <c r="J82" i="58"/>
  <c r="K82" i="58" s="1"/>
  <c r="K81" i="58"/>
  <c r="J80" i="58"/>
  <c r="K79" i="58"/>
  <c r="J78" i="58"/>
  <c r="K78" i="58" s="1"/>
  <c r="J77" i="58"/>
  <c r="K76" i="58"/>
  <c r="O75" i="58"/>
  <c r="N75" i="58"/>
  <c r="M75" i="58"/>
  <c r="L75" i="58"/>
  <c r="J75" i="58"/>
  <c r="K75" i="58" s="1"/>
  <c r="K74" i="58"/>
  <c r="K73" i="58"/>
  <c r="J72" i="58"/>
  <c r="K72" i="58" s="1"/>
  <c r="J71" i="58"/>
  <c r="J70" i="58"/>
  <c r="K70" i="58" s="1"/>
  <c r="J69" i="58"/>
  <c r="K69" i="58" s="1"/>
  <c r="J68" i="58"/>
  <c r="K68" i="58" s="1"/>
  <c r="J67" i="58"/>
  <c r="J66" i="58"/>
  <c r="K66" i="58" s="1"/>
  <c r="K65" i="58"/>
  <c r="K64" i="58"/>
  <c r="J63" i="58"/>
  <c r="K63" i="58" s="1"/>
  <c r="K62" i="58"/>
  <c r="J61" i="58"/>
  <c r="K60" i="58"/>
  <c r="K59" i="58"/>
  <c r="K58" i="58"/>
  <c r="K57" i="58"/>
  <c r="K56" i="58"/>
  <c r="K55" i="58"/>
  <c r="K54" i="58"/>
  <c r="J53" i="58"/>
  <c r="K53" i="58" s="1"/>
  <c r="O52" i="58"/>
  <c r="M52" i="58"/>
  <c r="L52" i="58"/>
  <c r="J52" i="58"/>
  <c r="K52" i="58" s="1"/>
  <c r="J51" i="58"/>
  <c r="K50" i="58"/>
  <c r="J49" i="58"/>
  <c r="K49" i="58" s="1"/>
  <c r="O48" i="58"/>
  <c r="N48" i="58"/>
  <c r="M48" i="58"/>
  <c r="L48" i="58"/>
  <c r="J48" i="58"/>
  <c r="K48" i="58" s="1"/>
  <c r="J47" i="58"/>
  <c r="J46" i="58"/>
  <c r="K46" i="58" s="1"/>
  <c r="N45" i="58"/>
  <c r="M45" i="58"/>
  <c r="L45" i="58"/>
  <c r="J45" i="58"/>
  <c r="J44" i="58"/>
  <c r="K44" i="58" s="1"/>
  <c r="O43" i="58"/>
  <c r="N43" i="58"/>
  <c r="M43" i="58"/>
  <c r="L43" i="58"/>
  <c r="J43" i="58"/>
  <c r="M42" i="58"/>
  <c r="L42" i="58"/>
  <c r="J42" i="58"/>
  <c r="K41" i="58"/>
  <c r="K40" i="58"/>
  <c r="O39" i="58"/>
  <c r="M39" i="58"/>
  <c r="L39" i="58"/>
  <c r="J39" i="58"/>
  <c r="K39" i="58" s="1"/>
  <c r="J38" i="58"/>
  <c r="K38" i="58" s="1"/>
  <c r="N37" i="58"/>
  <c r="M37" i="58"/>
  <c r="L37" i="58"/>
  <c r="J37" i="58"/>
  <c r="J36" i="58"/>
  <c r="L35" i="58"/>
  <c r="P35" i="58" s="1"/>
  <c r="J35" i="58"/>
  <c r="K35" i="58" s="1"/>
  <c r="O34" i="58"/>
  <c r="N34" i="58"/>
  <c r="M34" i="58"/>
  <c r="L34" i="58"/>
  <c r="J34" i="58"/>
  <c r="K33" i="58"/>
  <c r="K32" i="58"/>
  <c r="J31" i="58"/>
  <c r="K31" i="58" s="1"/>
  <c r="O30" i="58"/>
  <c r="N30" i="58"/>
  <c r="M30" i="58"/>
  <c r="L30" i="58"/>
  <c r="J30" i="58"/>
  <c r="J29" i="58"/>
  <c r="K29" i="58" s="1"/>
  <c r="O28" i="58"/>
  <c r="O8" i="58" s="1"/>
  <c r="O6" i="58" s="1"/>
  <c r="L28" i="58"/>
  <c r="J28" i="58"/>
  <c r="K28" i="58" s="1"/>
  <c r="O27" i="58"/>
  <c r="N27" i="58"/>
  <c r="M27" i="58"/>
  <c r="L27" i="58"/>
  <c r="J27" i="58"/>
  <c r="K27" i="58" s="1"/>
  <c r="J26" i="58"/>
  <c r="K25" i="58"/>
  <c r="O24" i="58"/>
  <c r="N24" i="58"/>
  <c r="L24" i="58"/>
  <c r="J24" i="58"/>
  <c r="J23" i="58"/>
  <c r="J22" i="58"/>
  <c r="K22" i="58" s="1"/>
  <c r="J21" i="58"/>
  <c r="K21" i="58" s="1"/>
  <c r="J20" i="58"/>
  <c r="K20" i="58" s="1"/>
  <c r="J19" i="58"/>
  <c r="K19" i="58" s="1"/>
  <c r="K18" i="58"/>
  <c r="J17" i="58"/>
  <c r="J16" i="58"/>
  <c r="J15" i="58"/>
  <c r="K15" i="58" s="1"/>
  <c r="O14" i="58"/>
  <c r="N14" i="58"/>
  <c r="M14" i="58"/>
  <c r="L14" i="58"/>
  <c r="J14" i="58"/>
  <c r="J13" i="58"/>
  <c r="K13" i="58" s="1"/>
  <c r="K12" i="58"/>
  <c r="N11" i="58"/>
  <c r="L11" i="58"/>
  <c r="J11" i="58"/>
  <c r="K10" i="58"/>
  <c r="K9" i="58"/>
  <c r="X8" i="58"/>
  <c r="X6" i="58" s="1"/>
  <c r="W8" i="58"/>
  <c r="W6" i="58" s="1"/>
  <c r="I8" i="58"/>
  <c r="I6" i="58" s="1"/>
  <c r="H8" i="58"/>
  <c r="H6" i="58" s="1"/>
  <c r="G8" i="58"/>
  <c r="G6" i="58" s="1"/>
  <c r="P27" i="58" l="1"/>
  <c r="M8" i="58"/>
  <c r="M6" i="58" s="1"/>
  <c r="D8" i="58"/>
  <c r="D6" i="58" s="1"/>
  <c r="E8" i="58"/>
  <c r="E6" i="58" s="1"/>
  <c r="K23" i="58"/>
  <c r="P24" i="58"/>
  <c r="K37" i="58"/>
  <c r="P39" i="58"/>
  <c r="K45" i="58"/>
  <c r="P48" i="58"/>
  <c r="K97" i="58"/>
  <c r="K102" i="58"/>
  <c r="P102" i="58"/>
  <c r="K14" i="58"/>
  <c r="K17" i="58"/>
  <c r="K24" i="58"/>
  <c r="K26" i="58"/>
  <c r="P28" i="58"/>
  <c r="K30" i="58"/>
  <c r="L8" i="58"/>
  <c r="L6" i="58" s="1"/>
  <c r="K34" i="58"/>
  <c r="P34" i="58"/>
  <c r="P37" i="58"/>
  <c r="K42" i="58"/>
  <c r="K43" i="58"/>
  <c r="P43" i="58"/>
  <c r="P45" i="58"/>
  <c r="K47" i="58"/>
  <c r="K51" i="58"/>
  <c r="P52" i="58"/>
  <c r="K67" i="58"/>
  <c r="K71" i="58"/>
  <c r="P75" i="58"/>
  <c r="K77" i="58"/>
  <c r="K80" i="58"/>
  <c r="K91" i="58"/>
  <c r="P97" i="58"/>
  <c r="K11" i="58"/>
  <c r="K16" i="58"/>
  <c r="P30" i="58"/>
  <c r="S8" i="58"/>
  <c r="S6" i="58" s="1"/>
  <c r="U8" i="58"/>
  <c r="U6" i="58" s="1"/>
  <c r="Y99" i="58"/>
  <c r="F8" i="58"/>
  <c r="F6" i="58" s="1"/>
  <c r="J8" i="58"/>
  <c r="J6" i="58" s="1"/>
  <c r="N8" i="58"/>
  <c r="N6" i="58" s="1"/>
  <c r="P11" i="58"/>
  <c r="P14" i="58"/>
  <c r="K36" i="58"/>
  <c r="P42" i="58"/>
  <c r="K61" i="58"/>
  <c r="P96" i="58"/>
  <c r="P8" i="58" l="1"/>
  <c r="P6" i="58" s="1"/>
  <c r="K8" i="58"/>
  <c r="K6" i="58" s="1"/>
  <c r="Y8" i="58"/>
  <c r="Y6" i="58" s="1"/>
  <c r="D21" i="57" l="1"/>
  <c r="D20" i="57"/>
  <c r="F19" i="57"/>
  <c r="D19" i="57" s="1"/>
  <c r="F18" i="57"/>
  <c r="D18" i="57" s="1"/>
  <c r="D17" i="57"/>
  <c r="F16" i="57"/>
  <c r="D16" i="57" s="1"/>
  <c r="F15" i="57"/>
  <c r="D15" i="57" s="1"/>
  <c r="F14" i="57"/>
  <c r="D14" i="57" s="1"/>
  <c r="F13" i="57"/>
  <c r="D13" i="57" s="1"/>
  <c r="F12" i="57"/>
  <c r="D12" i="57" s="1"/>
  <c r="F11" i="57"/>
  <c r="D11" i="57" s="1"/>
  <c r="F10" i="57"/>
  <c r="D10" i="57" s="1"/>
  <c r="F9" i="57"/>
  <c r="D9" i="57" s="1"/>
  <c r="F8" i="57"/>
  <c r="D8" i="57" s="1"/>
  <c r="F7" i="57"/>
  <c r="D7" i="57" s="1"/>
  <c r="E6" i="57"/>
  <c r="E4" i="57" s="1"/>
  <c r="F6" i="57" l="1"/>
  <c r="F4" i="57" s="1"/>
  <c r="D6" i="57"/>
  <c r="D4" i="57" s="1"/>
  <c r="G87" i="56" l="1"/>
  <c r="G86" i="56"/>
  <c r="G85" i="56"/>
  <c r="G83" i="56"/>
  <c r="G82" i="56"/>
  <c r="G81" i="56"/>
  <c r="G80" i="56"/>
  <c r="G79" i="56"/>
  <c r="G78" i="56"/>
  <c r="G77" i="56"/>
  <c r="G76" i="56"/>
  <c r="G75" i="56"/>
  <c r="G74" i="56"/>
  <c r="G73" i="56"/>
  <c r="G72" i="56"/>
  <c r="G71" i="56"/>
  <c r="G70" i="56"/>
  <c r="G69" i="56"/>
  <c r="G68" i="56"/>
  <c r="G67" i="56"/>
  <c r="G66" i="56"/>
  <c r="G64" i="56"/>
  <c r="G63" i="56"/>
  <c r="G62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8" i="56"/>
  <c r="G27" i="56"/>
  <c r="G26" i="56"/>
  <c r="G25" i="56"/>
  <c r="G24" i="56"/>
  <c r="G23" i="56"/>
  <c r="G22" i="56"/>
  <c r="G21" i="56"/>
  <c r="G20" i="56"/>
  <c r="G19" i="56"/>
  <c r="G17" i="56"/>
  <c r="G16" i="56"/>
  <c r="G15" i="56"/>
  <c r="G14" i="56"/>
  <c r="G13" i="56"/>
  <c r="G12" i="56"/>
  <c r="G10" i="56"/>
  <c r="G9" i="56"/>
  <c r="F7" i="56"/>
  <c r="F5" i="56" s="1"/>
  <c r="E7" i="56"/>
  <c r="E5" i="56" s="1"/>
  <c r="G8" i="56" l="1"/>
  <c r="D7" i="56"/>
  <c r="D5" i="56" s="1"/>
  <c r="G18" i="56"/>
  <c r="G65" i="56"/>
  <c r="G84" i="56"/>
  <c r="G11" i="56"/>
  <c r="G7" i="56" l="1"/>
  <c r="G5" i="56" s="1"/>
  <c r="K53" i="55"/>
  <c r="J53" i="55"/>
  <c r="L52" i="55"/>
  <c r="D52" i="55"/>
  <c r="H52" i="55" s="1"/>
  <c r="L51" i="55"/>
  <c r="G51" i="55"/>
  <c r="F51" i="55"/>
  <c r="E51" i="55"/>
  <c r="L50" i="55"/>
  <c r="F50" i="55"/>
  <c r="E50" i="55"/>
  <c r="L49" i="55"/>
  <c r="G49" i="55"/>
  <c r="F49" i="55"/>
  <c r="E49" i="55"/>
  <c r="L48" i="55"/>
  <c r="H48" i="55"/>
  <c r="L47" i="55"/>
  <c r="E47" i="55"/>
  <c r="H47" i="55" s="1"/>
  <c r="L46" i="55"/>
  <c r="H46" i="55"/>
  <c r="L45" i="55"/>
  <c r="H45" i="55"/>
  <c r="L44" i="55"/>
  <c r="G44" i="55"/>
  <c r="E44" i="55"/>
  <c r="D44" i="55"/>
  <c r="L43" i="55"/>
  <c r="F43" i="55"/>
  <c r="E43" i="55"/>
  <c r="L42" i="55"/>
  <c r="H42" i="55"/>
  <c r="L41" i="55"/>
  <c r="H41" i="55"/>
  <c r="I40" i="55"/>
  <c r="L40" i="55" s="1"/>
  <c r="F40" i="55"/>
  <c r="E40" i="55"/>
  <c r="L39" i="55"/>
  <c r="H39" i="55"/>
  <c r="L38" i="55"/>
  <c r="F38" i="55"/>
  <c r="E38" i="55"/>
  <c r="L37" i="55"/>
  <c r="G37" i="55"/>
  <c r="F37" i="55"/>
  <c r="E37" i="55"/>
  <c r="L36" i="55"/>
  <c r="E36" i="55"/>
  <c r="H36" i="55" s="1"/>
  <c r="L35" i="55"/>
  <c r="E35" i="55"/>
  <c r="H35" i="55" s="1"/>
  <c r="L34" i="55"/>
  <c r="F34" i="55"/>
  <c r="E34" i="55"/>
  <c r="L33" i="55"/>
  <c r="H33" i="55"/>
  <c r="L32" i="55"/>
  <c r="E32" i="55"/>
  <c r="H32" i="55" s="1"/>
  <c r="L31" i="55"/>
  <c r="G31" i="55"/>
  <c r="F31" i="55"/>
  <c r="E31" i="55"/>
  <c r="L30" i="55"/>
  <c r="F30" i="55"/>
  <c r="E30" i="55"/>
  <c r="D30" i="55"/>
  <c r="L29" i="55"/>
  <c r="F29" i="55"/>
  <c r="E29" i="55"/>
  <c r="L28" i="55"/>
  <c r="F28" i="55"/>
  <c r="E28" i="55"/>
  <c r="L27" i="55"/>
  <c r="F27" i="55"/>
  <c r="E27" i="55"/>
  <c r="D27" i="55"/>
  <c r="L26" i="55"/>
  <c r="E26" i="55"/>
  <c r="D26" i="55"/>
  <c r="L25" i="55"/>
  <c r="E25" i="55"/>
  <c r="H25" i="55" s="1"/>
  <c r="L24" i="55"/>
  <c r="F24" i="55"/>
  <c r="E24" i="55"/>
  <c r="L23" i="55"/>
  <c r="F23" i="55"/>
  <c r="E23" i="55"/>
  <c r="L22" i="55"/>
  <c r="E22" i="55"/>
  <c r="H22" i="55" s="1"/>
  <c r="L21" i="55"/>
  <c r="E21" i="55"/>
  <c r="H21" i="55" s="1"/>
  <c r="L20" i="55"/>
  <c r="F20" i="55"/>
  <c r="E20" i="55"/>
  <c r="L19" i="55"/>
  <c r="F19" i="55"/>
  <c r="E19" i="55"/>
  <c r="L18" i="55"/>
  <c r="F18" i="55"/>
  <c r="E18" i="55"/>
  <c r="L17" i="55"/>
  <c r="F17" i="55"/>
  <c r="E17" i="55"/>
  <c r="L16" i="55"/>
  <c r="G16" i="55"/>
  <c r="E16" i="55"/>
  <c r="L15" i="55"/>
  <c r="M15" i="55" s="1"/>
  <c r="L14" i="55"/>
  <c r="F14" i="55"/>
  <c r="E14" i="55"/>
  <c r="L13" i="55"/>
  <c r="E13" i="55"/>
  <c r="H13" i="55" s="1"/>
  <c r="L12" i="55"/>
  <c r="E12" i="55"/>
  <c r="H12" i="55" s="1"/>
  <c r="L11" i="55"/>
  <c r="G11" i="55"/>
  <c r="F11" i="55"/>
  <c r="E11" i="55"/>
  <c r="L10" i="55"/>
  <c r="E10" i="55"/>
  <c r="D10" i="55"/>
  <c r="I9" i="55"/>
  <c r="E9" i="55"/>
  <c r="H9" i="55" s="1"/>
  <c r="L8" i="55"/>
  <c r="E8" i="55"/>
  <c r="H8" i="55" s="1"/>
  <c r="K7" i="55"/>
  <c r="J7" i="55"/>
  <c r="J5" i="55" s="1"/>
  <c r="K5" i="55"/>
  <c r="I53" i="55" l="1"/>
  <c r="M22" i="55"/>
  <c r="M12" i="55"/>
  <c r="M47" i="55"/>
  <c r="I7" i="55"/>
  <c r="I5" i="55" s="1"/>
  <c r="M13" i="55"/>
  <c r="H23" i="55"/>
  <c r="M23" i="55" s="1"/>
  <c r="M25" i="55"/>
  <c r="M41" i="55"/>
  <c r="M42" i="55"/>
  <c r="H43" i="55"/>
  <c r="M43" i="55" s="1"/>
  <c r="H44" i="55"/>
  <c r="M44" i="55" s="1"/>
  <c r="M48" i="55"/>
  <c r="H49" i="55"/>
  <c r="M49" i="55" s="1"/>
  <c r="H50" i="55"/>
  <c r="M50" i="55" s="1"/>
  <c r="H51" i="55"/>
  <c r="M51" i="55" s="1"/>
  <c r="E7" i="55"/>
  <c r="E5" i="55" s="1"/>
  <c r="G7" i="55"/>
  <c r="G5" i="55" s="1"/>
  <c r="H17" i="55"/>
  <c r="M17" i="55" s="1"/>
  <c r="H19" i="55"/>
  <c r="M19" i="55" s="1"/>
  <c r="M21" i="55"/>
  <c r="H27" i="55"/>
  <c r="M27" i="55" s="1"/>
  <c r="H28" i="55"/>
  <c r="M28" i="55" s="1"/>
  <c r="H30" i="55"/>
  <c r="M30" i="55" s="1"/>
  <c r="H31" i="55"/>
  <c r="M31" i="55" s="1"/>
  <c r="M32" i="55"/>
  <c r="M33" i="55"/>
  <c r="H34" i="55"/>
  <c r="M34" i="55" s="1"/>
  <c r="M39" i="55"/>
  <c r="H40" i="55"/>
  <c r="M52" i="55"/>
  <c r="M40" i="55"/>
  <c r="H6" i="55"/>
  <c r="L6" i="55"/>
  <c r="E53" i="55"/>
  <c r="L9" i="55"/>
  <c r="M9" i="55" s="1"/>
  <c r="G53" i="55"/>
  <c r="H16" i="55"/>
  <c r="M16" i="55" s="1"/>
  <c r="H18" i="55"/>
  <c r="M18" i="55" s="1"/>
  <c r="H20" i="55"/>
  <c r="M20" i="55" s="1"/>
  <c r="H24" i="55"/>
  <c r="M24" i="55" s="1"/>
  <c r="H26" i="55"/>
  <c r="M26" i="55" s="1"/>
  <c r="H29" i="55"/>
  <c r="M29" i="55" s="1"/>
  <c r="M35" i="55"/>
  <c r="M36" i="55"/>
  <c r="H37" i="55"/>
  <c r="M37" i="55" s="1"/>
  <c r="H38" i="55"/>
  <c r="M38" i="55" s="1"/>
  <c r="M45" i="55"/>
  <c r="M46" i="55"/>
  <c r="D7" i="55"/>
  <c r="D5" i="55" s="1"/>
  <c r="D53" i="55"/>
  <c r="H10" i="55"/>
  <c r="M10" i="55" s="1"/>
  <c r="F7" i="55"/>
  <c r="F5" i="55" s="1"/>
  <c r="F53" i="55"/>
  <c r="H11" i="55"/>
  <c r="M11" i="55" s="1"/>
  <c r="M6" i="55"/>
  <c r="M8" i="55"/>
  <c r="H14" i="55"/>
  <c r="M14" i="55" s="1"/>
  <c r="L7" i="55" l="1"/>
  <c r="L5" i="55" s="1"/>
  <c r="L53" i="55"/>
  <c r="H7" i="55"/>
  <c r="H5" i="55" s="1"/>
  <c r="M53" i="55"/>
  <c r="M7" i="55"/>
  <c r="H53" i="55"/>
  <c r="M5" i="55"/>
</calcChain>
</file>

<file path=xl/comments1.xml><?xml version="1.0" encoding="utf-8"?>
<comments xmlns="http://schemas.openxmlformats.org/spreadsheetml/2006/main">
  <authors>
    <author>Автор</author>
  </authors>
  <commentList>
    <comment ref="E2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2018 году</t>
        </r>
      </text>
    </comment>
  </commentList>
</comments>
</file>

<file path=xl/sharedStrings.xml><?xml version="1.0" encoding="utf-8"?>
<sst xmlns="http://schemas.openxmlformats.org/spreadsheetml/2006/main" count="4426" uniqueCount="748">
  <si>
    <t>№ п/п</t>
  </si>
  <si>
    <t>Всего</t>
  </si>
  <si>
    <t>ГБУЗ РБ БСМП г.Уфа</t>
  </si>
  <si>
    <t>022720</t>
  </si>
  <si>
    <t>021201</t>
  </si>
  <si>
    <t>021602</t>
  </si>
  <si>
    <t>021601</t>
  </si>
  <si>
    <t>ГБУЗ РДКБ</t>
  </si>
  <si>
    <t>ГБУЗ РКИБ</t>
  </si>
  <si>
    <t>028000</t>
  </si>
  <si>
    <t>022113</t>
  </si>
  <si>
    <t>022710</t>
  </si>
  <si>
    <t>022400</t>
  </si>
  <si>
    <t>ГБУЗ РКЦ</t>
  </si>
  <si>
    <t>022130</t>
  </si>
  <si>
    <t>022120</t>
  </si>
  <si>
    <t>Итого</t>
  </si>
  <si>
    <t>ГБУЗ РБ ГБ №2 г.Стерлитамак</t>
  </si>
  <si>
    <t>в том числе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</si>
  <si>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</si>
  <si>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</si>
  <si>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</si>
  <si>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</si>
  <si>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</si>
  <si>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025001</t>
  </si>
  <si>
    <t>ГБУЗ РБ Бирская ЦРБ</t>
  </si>
  <si>
    <t>025005</t>
  </si>
  <si>
    <t>022102</t>
  </si>
  <si>
    <t>ГБУЗ РБ Верхне-Татышлинская ЦРБ</t>
  </si>
  <si>
    <t>ГБУЗ РБ ГБ г.Нефтекамск</t>
  </si>
  <si>
    <t>027001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</si>
  <si>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</si>
  <si>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</si>
  <si>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</si>
  <si>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</si>
  <si>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</si>
  <si>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</si>
  <si>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</si>
  <si>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</si>
  <si>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</si>
  <si>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</si>
  <si>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021501</t>
  </si>
  <si>
    <t>ГБУЗ РБ Акъярская ЦРБ</t>
  </si>
  <si>
    <t>024001</t>
  </si>
  <si>
    <t>ГБУЗ РБ Аскаровская ЦРБ</t>
  </si>
  <si>
    <t>022001</t>
  </si>
  <si>
    <t>024005</t>
  </si>
  <si>
    <t>ГБУЗ РБ Белорецкая ЦРКБ</t>
  </si>
  <si>
    <t>024002</t>
  </si>
  <si>
    <t>ГБУЗ РБ Бурзянская ЦРБ</t>
  </si>
  <si>
    <t>022012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</si>
  <si>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</si>
  <si>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</si>
  <si>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</si>
  <si>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</si>
  <si>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</si>
  <si>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</si>
  <si>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</si>
  <si>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</si>
  <si>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ГБУЗ РБ ГКБ №1 г.Стерлитамак</t>
  </si>
  <si>
    <t>021616</t>
  </si>
  <si>
    <t>ГБУЗ РБ ДБ г.Стерлитамак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</si>
  <si>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</si>
  <si>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</si>
  <si>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</si>
  <si>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</si>
  <si>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</si>
  <si>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</si>
  <si>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</si>
  <si>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</si>
  <si>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</si>
  <si>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</si>
  <si>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</si>
  <si>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</si>
  <si>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</si>
  <si>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021102</t>
  </si>
  <si>
    <t>021606</t>
  </si>
  <si>
    <t>021607</t>
  </si>
  <si>
    <t>ГБУЗ РБ Толбазинская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</si>
  <si>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</si>
  <si>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</si>
  <si>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</si>
  <si>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</si>
  <si>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</si>
  <si>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023002</t>
  </si>
  <si>
    <t>ГБУЗ РБ Белебеевская ЦРБ</t>
  </si>
  <si>
    <t>023005</t>
  </si>
  <si>
    <t>ГБУЗ РБ Бижбулякская ЦРБ</t>
  </si>
  <si>
    <t>028002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</si>
  <si>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</si>
  <si>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</si>
  <si>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</si>
  <si>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</si>
  <si>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</si>
  <si>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</si>
  <si>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</si>
  <si>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021701</t>
  </si>
  <si>
    <t>ГБУЗ РБ Туймазинская ЦРБ</t>
  </si>
  <si>
    <t>021706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</si>
  <si>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</si>
  <si>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</si>
  <si>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</si>
  <si>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</si>
  <si>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</si>
  <si>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</si>
  <si>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</si>
  <si>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Детская поликлиника №6 г.Уфа</t>
  </si>
  <si>
    <t>027100</t>
  </si>
  <si>
    <t>028300</t>
  </si>
  <si>
    <t>028400</t>
  </si>
  <si>
    <t>028800</t>
  </si>
  <si>
    <t>029100</t>
  </si>
  <si>
    <t>029200</t>
  </si>
  <si>
    <t>ГБУЗ РБ Поликлиника№44 г.Уфа</t>
  </si>
  <si>
    <t>029300</t>
  </si>
  <si>
    <t>ГБУЗ РБ Поликлиника №46 г.Уфа</t>
  </si>
  <si>
    <t>029500</t>
  </si>
  <si>
    <t>ГБУЗ РБ Поликлиника №48 г.Уфа</t>
  </si>
  <si>
    <t>029700</t>
  </si>
  <si>
    <t>029800</t>
  </si>
  <si>
    <t>ГБУЗ РБ Поликлиника №51 г.Уфа</t>
  </si>
  <si>
    <t>029900</t>
  </si>
  <si>
    <t>ГБУЗ РБ Поликлиника №52 г.Уфа</t>
  </si>
  <si>
    <t>029400</t>
  </si>
  <si>
    <t>ГБУЗ РБ ГКБ Демского района г.Уфы</t>
  </si>
  <si>
    <t>023500</t>
  </si>
  <si>
    <t>021800</t>
  </si>
  <si>
    <t>ГБУЗ РБ ГКБ №8 г.Уфа</t>
  </si>
  <si>
    <t>024200</t>
  </si>
  <si>
    <t>ГБУЗ РБ ГБ №9 г.Уфа</t>
  </si>
  <si>
    <t>023000</t>
  </si>
  <si>
    <t>022300</t>
  </si>
  <si>
    <t>ГБУЗ РБ ГКБ №13 г.Уфа</t>
  </si>
  <si>
    <t>021200</t>
  </si>
  <si>
    <t>ГБУЗ РБ ГДКБ №17 г.Уфа</t>
  </si>
  <si>
    <t>023200</t>
  </si>
  <si>
    <t>ГБУЗ РБ РД №3 г.Уфа</t>
  </si>
  <si>
    <t>022800</t>
  </si>
  <si>
    <t>ФГБОУ ВО БГМУ Минздрава России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</si>
  <si>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</si>
  <si>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</si>
  <si>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</si>
  <si>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</si>
  <si>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</si>
  <si>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</si>
  <si>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</si>
  <si>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</si>
  <si>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</si>
  <si>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</si>
  <si>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</si>
  <si>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</si>
  <si>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</si>
  <si>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</si>
  <si>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</si>
  <si>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</si>
  <si>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</si>
  <si>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</si>
  <si>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</si>
  <si>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</si>
  <si>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</si>
  <si>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</si>
  <si>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</si>
  <si>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</si>
  <si>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</si>
  <si>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</si>
  <si>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</si>
  <si>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</si>
  <si>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</si>
  <si>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</si>
  <si>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</si>
  <si>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</si>
  <si>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</si>
  <si>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020181</t>
  </si>
  <si>
    <t>ООО "Клиника Эксперт Уфа"</t>
  </si>
  <si>
    <t>029150</t>
  </si>
  <si>
    <t>ООО "ЛДЦ МИБС-Уфа"</t>
  </si>
  <si>
    <t>020188</t>
  </si>
  <si>
    <t>020199</t>
  </si>
  <si>
    <t>ООО "ММЦ "Профилактическая медицина"</t>
  </si>
  <si>
    <t>020172</t>
  </si>
  <si>
    <t>ГБУЗ РКБ им.Г.Г.Куватова</t>
  </si>
  <si>
    <t>022100</t>
  </si>
  <si>
    <t>ГАУЗ РКОД Минздрава РБ</t>
  </si>
  <si>
    <t xml:space="preserve">022112 </t>
  </si>
  <si>
    <t>ГБУЗ РКВД №1</t>
  </si>
  <si>
    <t>026000</t>
  </si>
  <si>
    <t>ГБУЗ РКПЦ МЗ РБ</t>
  </si>
  <si>
    <t>022132</t>
  </si>
  <si>
    <t>ГБУЗ РМГЦ</t>
  </si>
  <si>
    <t>022220</t>
  </si>
  <si>
    <t>ГБУЗ РКГВВ</t>
  </si>
  <si>
    <t>ГБУЗ РБ ГКБ №21 г.Уфа</t>
  </si>
  <si>
    <t>022134</t>
  </si>
  <si>
    <t>ООО "Центр ПЭТ-Технолоджи"</t>
  </si>
  <si>
    <t>(исследования)</t>
  </si>
  <si>
    <t>ГБУЗ РБ Балтачевская ЦРБ</t>
  </si>
  <si>
    <t>ГБУЗ РБ Бураевская ЦРБ</t>
  </si>
  <si>
    <t>ГБУЗ РБ Дюртюлинская ЦРБ</t>
  </si>
  <si>
    <t>ГБУЗ РБ Баймакская ЦГБ</t>
  </si>
  <si>
    <t>ГБУЗ РБ Зилаирская ЦРБ</t>
  </si>
  <si>
    <t>ГБУЗ РБ Мелеузовская ЦРБ</t>
  </si>
  <si>
    <t>ГБУЗ РБ Мраковская ЦРБ</t>
  </si>
  <si>
    <t>ГБУЗ РБ Стерлибашевская ЦРБ</t>
  </si>
  <si>
    <t>ГБУЗ РБ Бакалинская ЦРБ</t>
  </si>
  <si>
    <t>ГБУЗ РБ Верхнеяркеевская ЦРБ</t>
  </si>
  <si>
    <t>ГБУЗ РБ Раевская ЦРБ</t>
  </si>
  <si>
    <t>ГБУЗ РБ Шаранская ЦРБ</t>
  </si>
  <si>
    <t>ГБУЗ РБ ГКБ №10 г.Уфа</t>
  </si>
  <si>
    <t>ГБУЗ РБ ГКБ №18 г.Уфы</t>
  </si>
  <si>
    <t>ГБУЗ РБ ГКБ №5 г.Уфа</t>
  </si>
  <si>
    <t>ГБУЗ РБ Поликлиника №1 г.Уфа</t>
  </si>
  <si>
    <t>ГБУЗ РБ Поликлиника №2 г.Уфа</t>
  </si>
  <si>
    <t>ГБУЗ РБ Поликлиника №32 г.Уфа</t>
  </si>
  <si>
    <t>ГБУЗ РБ Поликлиника №38 г.Уфа</t>
  </si>
  <si>
    <t>ГБУЗ РБ Поликлиника №43 г.Уфа</t>
  </si>
  <si>
    <t>ГБУЗ РБ Поликлиника №50 г.Уфа</t>
  </si>
  <si>
    <t>ГБУЗ РБ Языковская ЦРБ</t>
  </si>
  <si>
    <t>ООО "МЦ МЕГИ"</t>
  </si>
  <si>
    <t xml:space="preserve">Объемы отдельных диагностических (лабораторных) исследований, оказываемых в амбулаторно-поликлинических условиях на 2021 год                                                                                                                                    </t>
  </si>
  <si>
    <t>Реестровый номер</t>
  </si>
  <si>
    <t>Наименование медицинской организации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</si>
  <si>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</si>
  <si>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</si>
  <si>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</si>
  <si>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</si>
  <si>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</si>
  <si>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</si>
  <si>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>ООО"МД Проект 2010"</t>
  </si>
  <si>
    <t>ИТОГО</t>
  </si>
  <si>
    <t xml:space="preserve">Объемы отдельных диагностических исследований, оказываемых в амбулаторно-поликлинических условиях, на 2021 год.                </t>
  </si>
  <si>
    <t>Наименование медицинских организаций</t>
  </si>
  <si>
    <t>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</si>
  <si>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</si>
  <si>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</si>
  <si>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</si>
  <si>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</si>
  <si>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</si>
  <si>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Объемы лабораторных диагностических исследований с целью выявления возбудителя коронавирусной инфекции COVID-2019 для медицинских организаций, включенных в реестр медицинских организаций, осуществляющих деятельность в сфере обязательного медицинского страхования, на 2021 год</t>
  </si>
  <si>
    <t xml:space="preserve">Уточненный план на 2021 год </t>
  </si>
  <si>
    <t>количество исследований по тарифу 647,66 руб.</t>
  </si>
  <si>
    <t>количество исследований по тарифу 409,94 руб.</t>
  </si>
  <si>
    <t>Объемы отдельных диагностических (лабораторных) исследований, оказываемых в амбулаторно-поликлинических условиях на 2021 год</t>
  </si>
  <si>
    <t xml:space="preserve">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</si>
  <si>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</si>
  <si>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</si>
  <si>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</si>
  <si>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</si>
  <si>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15.10.2020 г. № 1063</t>
  </si>
  <si>
    <r>
      <t>План в рамках Приказа МЗ РБ 
от 21.10.2020 г. № 1628-Д</t>
    </r>
    <r>
      <rPr>
        <sz val="10"/>
        <color indexed="10"/>
        <rFont val="Times New Roman Cyr"/>
        <charset val="204"/>
      </rPr>
      <t xml:space="preserve">
</t>
    </r>
    <r>
      <rPr>
        <sz val="10"/>
        <rFont val="Times New Roman Cyr"/>
        <charset val="204"/>
      </rPr>
      <t xml:space="preserve"> (2 этап скрининга колоректального рака)</t>
    </r>
  </si>
  <si>
    <t>Колоно-скопия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</si>
  <si>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</si>
  <si>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</si>
  <si>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</si>
  <si>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</si>
  <si>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</si>
  <si>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</si>
  <si>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</si>
  <si>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</si>
  <si>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</si>
  <si>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</si>
  <si>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</si>
  <si>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Секвенирование NGS</t>
  </si>
  <si>
    <t>Колонос-копия</t>
  </si>
  <si>
    <t>Колоно-скопия</t>
  </si>
  <si>
    <t xml:space="preserve">Колоно-скопия с наркозом </t>
  </si>
  <si>
    <t xml:space="preserve">Колоно-скопия с полип-эктомией </t>
  </si>
  <si>
    <t xml:space="preserve">Объемы отдельных диагностических (лабораторных) исследований, оказываемых в амбулаторно-поликлинических условиях, на 2021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</si>
  <si>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</si>
  <si>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</si>
  <si>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</si>
  <si>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</si>
  <si>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</si>
  <si>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</si>
  <si>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</si>
  <si>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</si>
  <si>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</si>
  <si>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</si>
  <si>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</si>
  <si>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</si>
  <si>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</si>
  <si>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</si>
  <si>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</si>
  <si>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Объемы обращений по поводу заболевания на 2021 год в рамках базовой Программы ОМС.</t>
  </si>
  <si>
    <t xml:space="preserve">Количество обращений </t>
  </si>
  <si>
    <t>в том числе:</t>
  </si>
  <si>
    <t>всего</t>
  </si>
  <si>
    <t>ММОЦ</t>
  </si>
  <si>
    <t>ЦАОП</t>
  </si>
  <si>
    <t xml:space="preserve">Медицинская реабилитация </t>
  </si>
  <si>
    <t>Обращения МО, не имеющих прикрепленное население, в том числе обращения для целей учета процедур гемодиализа</t>
  </si>
  <si>
    <t>Обращения МО, не имеющих прикрепленное население по профилю "стоматология"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</si>
  <si>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</si>
  <si>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</si>
  <si>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количество обращений, всего</t>
  </si>
  <si>
    <t>в том числе на период июль-декабрь 2021 г.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</si>
  <si>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</si>
  <si>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</si>
  <si>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</si>
  <si>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по профилю "стоматология" посещения к врачам-стоматологам</t>
  </si>
  <si>
    <t>по профилю "стоматология" посещения к зубным врачам</t>
  </si>
  <si>
    <t>финансируемые по реестрам</t>
  </si>
  <si>
    <t>по профилю "стоматология"</t>
  </si>
  <si>
    <t>финансируемые по подушевому принципу</t>
  </si>
  <si>
    <t>количество обращений</t>
  </si>
  <si>
    <t>взрослое население</t>
  </si>
  <si>
    <t>детское население</t>
  </si>
  <si>
    <t>Прирост регистра пациентов</t>
  </si>
  <si>
    <t>021668</t>
  </si>
  <si>
    <t>ООО МЦ Семейный доктор</t>
  </si>
  <si>
    <t>021259</t>
  </si>
  <si>
    <t>ООО СтомЭл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</si>
  <si>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</si>
  <si>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</si>
  <si>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</si>
  <si>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</si>
  <si>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021613</t>
  </si>
  <si>
    <t>ГБУЗ РБ КВД г.Стерлитамак</t>
  </si>
  <si>
    <t>021636</t>
  </si>
  <si>
    <t>ГБУЗ РБ СП г.Стерлитамак</t>
  </si>
  <si>
    <t>ЧУЗ РЖД-МЕДИЦИНА г.Стерлитамак</t>
  </si>
  <si>
    <t>021407</t>
  </si>
  <si>
    <t>ГБУЗ РБ КВД г.Салават</t>
  </si>
  <si>
    <t>021405</t>
  </si>
  <si>
    <t>ГБУЗ РБ Федоровская ЦРБ</t>
  </si>
  <si>
    <t>ООО Медсервис</t>
  </si>
  <si>
    <t>021749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</si>
  <si>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</si>
  <si>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</si>
  <si>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</si>
  <si>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</si>
  <si>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</si>
  <si>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</si>
  <si>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021140</t>
  </si>
  <si>
    <t>ГАУЗ РБ ДСП № 3</t>
  </si>
  <si>
    <t>021150</t>
  </si>
  <si>
    <t>ГБУЗ РБ ДСП № 7 г.Уфа</t>
  </si>
  <si>
    <t>ГБУЗ РБ Поликлиника № 1 г Уфа</t>
  </si>
  <si>
    <t>ГБУЗ РБ Поликлиника № 2 г.Уфа</t>
  </si>
  <si>
    <t>ГБУЗ РБ Поликлиника № 32 г.Уфа</t>
  </si>
  <si>
    <t>ГБУЗ РБ Поликлиника № 38 г.Уфа</t>
  </si>
  <si>
    <t>ГБУЗ РБ Поликлиника № 43 г.Уфа</t>
  </si>
  <si>
    <t>ГБУЗ РБ Поликлиника № 44 г.Уфа</t>
  </si>
  <si>
    <t>ГБУЗ РБ Поликлиника № 46 г.Уфа</t>
  </si>
  <si>
    <t>ГБУЗ РБ Поликлиника № 48 г.Уфа</t>
  </si>
  <si>
    <t>ГБУЗ РБ Поликлиника № 50 г.Уфа</t>
  </si>
  <si>
    <t>ГБУЗ РБ Поликлиника № 51 г.Уфа</t>
  </si>
  <si>
    <t>ГБУЗ РБ Поликлиника № 52 г.Уфа</t>
  </si>
  <si>
    <t>021040</t>
  </si>
  <si>
    <t>ГБУЗ РБ СП № 1 г.Уфа</t>
  </si>
  <si>
    <t>021050</t>
  </si>
  <si>
    <t>ГБУЗ РБ СП № 2 г.Уфа</t>
  </si>
  <si>
    <t>021060</t>
  </si>
  <si>
    <t>ГБУЗ РБ СП № 4 г.Уфа</t>
  </si>
  <si>
    <t>021070</t>
  </si>
  <si>
    <t>ГБУЗ РБ СП № 5 г.Уфа</t>
  </si>
  <si>
    <t>021080</t>
  </si>
  <si>
    <t>ГБУЗ РБ СП № 6 г.Уфа</t>
  </si>
  <si>
    <t>021160</t>
  </si>
  <si>
    <t>ГАУЗ РБ СП № 8 г.Уфа</t>
  </si>
  <si>
    <t>021310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</si>
  <si>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</si>
  <si>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</si>
  <si>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</si>
  <si>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</si>
  <si>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10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</si>
  <si>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</si>
  <si>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</si>
  <si>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</si>
  <si>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</si>
  <si>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025000</t>
  </si>
  <si>
    <t>ФКУЗ МСЧ МВД России по РБ</t>
  </si>
  <si>
    <t>Поликлиника УФИЦ РАН</t>
  </si>
  <si>
    <t>ЧУЗ КБ РЖД-МЕДИЦИНА Г.УФА</t>
  </si>
  <si>
    <t>020251</t>
  </si>
  <si>
    <t>ООО МЦ Агидель</t>
  </si>
  <si>
    <t>020260</t>
  </si>
  <si>
    <t xml:space="preserve"> ООО ДиаЛайф г.Уфа</t>
  </si>
  <si>
    <t>020235</t>
  </si>
  <si>
    <t>ООО Евромед-Уфа</t>
  </si>
  <si>
    <t>020241</t>
  </si>
  <si>
    <t>ООО Клиника современной флебологии г. Уфа</t>
  </si>
  <si>
    <t>029140</t>
  </si>
  <si>
    <t>ООО Лаборатория гемодиализа</t>
  </si>
  <si>
    <t>020157</t>
  </si>
  <si>
    <t>ООО Медицинский центр Семья</t>
  </si>
  <si>
    <t>ООО МЦ МЕГИ</t>
  </si>
  <si>
    <t>020165</t>
  </si>
  <si>
    <t>ООО Сфера-Эстейт</t>
  </si>
  <si>
    <t>020170</t>
  </si>
  <si>
    <t>ООО ЦМТ</t>
  </si>
  <si>
    <t>020161</t>
  </si>
  <si>
    <t>ООО Экома г.Уфа</t>
  </si>
  <si>
    <t>ГБУЗ РКБ им. Г.Г. Куватова</t>
  </si>
  <si>
    <t>022109</t>
  </si>
  <si>
    <t>ГБУ Уфимский НИИ глазных болезней</t>
  </si>
  <si>
    <t>022124</t>
  </si>
  <si>
    <t>ГБУЗ РВФД</t>
  </si>
  <si>
    <t>ГБУЗ РБ ГКБ № 21 г. Уфа</t>
  </si>
  <si>
    <t>022121</t>
  </si>
  <si>
    <t>АУЗ РСП</t>
  </si>
  <si>
    <t>022131</t>
  </si>
  <si>
    <t>ФГБУ ВЦГПХ Минздрава России</t>
  </si>
  <si>
    <t>Объемы медицинской помощи в амбулаторно-поликлинических условиях
 в неотложной форме на 2021 год</t>
  </si>
  <si>
    <t>норматив</t>
  </si>
  <si>
    <t>Наименование учреждения здравоохранения</t>
  </si>
  <si>
    <t>Объемы на 2021 год</t>
  </si>
  <si>
    <t xml:space="preserve">в том числе:                                          </t>
  </si>
  <si>
    <t>Количество посещений, всего</t>
  </si>
  <si>
    <t>по профилю стоматология</t>
  </si>
  <si>
    <t>для травмотологических пунктов:</t>
  </si>
  <si>
    <t>по профилю "травматология и ортопедия"</t>
  </si>
  <si>
    <t>по профилю "офтальмология"</t>
  </si>
  <si>
    <t>3</t>
  </si>
  <si>
    <t>5</t>
  </si>
  <si>
    <t>7</t>
  </si>
  <si>
    <t>9</t>
  </si>
  <si>
    <t>11</t>
  </si>
  <si>
    <t>13</t>
  </si>
  <si>
    <t>15</t>
  </si>
  <si>
    <t>17</t>
  </si>
  <si>
    <t>19</t>
  </si>
  <si>
    <t>ЧУЗ РЖД-МЕДИЦИНА Г.СТЕРЛИТАМА</t>
  </si>
  <si>
    <t>ГБУЗ РБ Детская поликлиника № 2 г.Уфа</t>
  </si>
  <si>
    <t>ГБУЗ РБ Детская поликлиника № 3 г.Уфа</t>
  </si>
  <si>
    <t>ГБУЗ РБ Детская поликлиника № 4 г. Уфа</t>
  </si>
  <si>
    <t>ГБУЗ РБ Детская поликлиника № 5 г.Уфа</t>
  </si>
  <si>
    <t>ГБУЗ РБ Детская поликлиника № 6 г.Уфа</t>
  </si>
  <si>
    <t>ГБУЗ РБ Детская стоматологическая поликлиника № 7 г.Уфа</t>
  </si>
  <si>
    <t>ГБУЗ РБ Стоматологическая поликлиника № 2 г.Уфа</t>
  </si>
  <si>
    <t>ГБУ Уфимский НИИ глазных болезн</t>
  </si>
  <si>
    <t xml:space="preserve">Амбулаторно-поликлиническая помощь в части посещений с профилактическими и иными целями  в рамках базовой программы ОМС на 2021 год </t>
  </si>
  <si>
    <t>Реестровый номер МО</t>
  </si>
  <si>
    <t>Наименование МО</t>
  </si>
  <si>
    <t>Итого посещений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</si>
  <si>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</si>
  <si>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</si>
  <si>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</si>
  <si>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</si>
  <si>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</si>
  <si>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</si>
  <si>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</si>
  <si>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</si>
  <si>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</si>
  <si>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</si>
  <si>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</si>
  <si>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</si>
  <si>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</si>
  <si>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</si>
  <si>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>ГБУЗ РБ Бураевская  ЦРБ</t>
  </si>
  <si>
    <t>ГБУЗ РБ Дюртюлинская  ЦРБ</t>
  </si>
  <si>
    <t>ООО МЦ "СЕМЕЙНЫЙ ДОКТОР"</t>
  </si>
  <si>
    <t>ООО "СтомЭл"</t>
  </si>
  <si>
    <t>ГБУЗ РБ Баймакская  ЦГБ</t>
  </si>
  <si>
    <t>ГБУЗ РБ Зилаирская  ЦРБ</t>
  </si>
  <si>
    <t>021621</t>
  </si>
  <si>
    <t>ГАУЗ РБ  "Санаторий для детей Нур г.Стерлитамак"</t>
  </si>
  <si>
    <t>021620</t>
  </si>
  <si>
    <t>ГБУЗ РБ Станция скорой медицинской помощи г.Стерлитамак</t>
  </si>
  <si>
    <t>ГБУЗ РБ Мелеузовская  ЦРБ</t>
  </si>
  <si>
    <t>ГБУЗ РБ Мраковская  ЦРБ</t>
  </si>
  <si>
    <t>ГБУЗ РБ Стерлибашевская  ЦРБ</t>
  </si>
  <si>
    <t>ГБУЗ РБ Бакалинская  ЦРБ</t>
  </si>
  <si>
    <t>ГБУЗ РБ Верхнеяркеевская  ЦРБ</t>
  </si>
  <si>
    <t>ГБУЗ РБ РаевскаяЦРБ</t>
  </si>
  <si>
    <t>ГБУЗ РБ Шаранская  ЦРБ</t>
  </si>
  <si>
    <t>ООО "Медсервис" с.Верхнеяркеево</t>
  </si>
  <si>
    <t>021322</t>
  </si>
  <si>
    <t>ООО "ОСЦ"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</si>
  <si>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</si>
  <si>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</si>
  <si>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</si>
  <si>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</si>
  <si>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</si>
  <si>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</si>
  <si>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№32 г.Уфа</t>
    </r>
  </si>
  <si>
    <r>
      <t>Г</t>
    </r>
    <r>
      <rPr>
        <sz val="10"/>
        <rFont val="Times New Roman"/>
        <family val="1"/>
        <charset val="204"/>
      </rPr>
      <t>БУЗ РБ Поликлиника №38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</si>
  <si>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</si>
  <si>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</si>
  <si>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</si>
  <si>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</si>
  <si>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</si>
  <si>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</si>
  <si>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</si>
  <si>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</si>
  <si>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</si>
  <si>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</si>
  <si>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№10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</si>
  <si>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</si>
  <si>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</si>
  <si>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</si>
  <si>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ФКУЗ "МСЧ МВД России по Республике Башкортостан"</t>
  </si>
  <si>
    <t>ГБУЗ РБ Языковская  ЦРБ</t>
  </si>
  <si>
    <t>ООО  "МЦ "Агидель"</t>
  </si>
  <si>
    <t>020169</t>
  </si>
  <si>
    <t>ООО "АНЭКО"</t>
  </si>
  <si>
    <t>ООО "ДиаЛайф"</t>
  </si>
  <si>
    <t>ООО "Евромед-Уфа"</t>
  </si>
  <si>
    <t>020232</t>
  </si>
  <si>
    <t>ООО "Клиника глазных болезней"</t>
  </si>
  <si>
    <t>ООО "Клиника современной флебологии"</t>
  </si>
  <si>
    <t>ООО "Лаборатория гемодиализа"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</si>
  <si>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</si>
  <si>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</si>
  <si>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</si>
  <si>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</si>
  <si>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</si>
  <si>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</si>
  <si>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</si>
  <si>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</si>
  <si>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</si>
  <si>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</si>
  <si>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ООО "Сфера-Эстейт"</t>
  </si>
  <si>
    <t>ООО "ЦМТ"</t>
  </si>
  <si>
    <t>ООО "Экома"</t>
  </si>
  <si>
    <t>020248</t>
  </si>
  <si>
    <t>ООО "Юхелф"</t>
  </si>
  <si>
    <t>ГБУ "УфНИИ ГБ АН РБ"</t>
  </si>
  <si>
    <t>ФГБУ "ВЦГПХ" Минздрава России</t>
  </si>
  <si>
    <t xml:space="preserve">Амбулаторно-поликлиническая помощь в части профилактических посещений для проведения диспансерного наблюдения на 2021 год </t>
  </si>
  <si>
    <t>Посещения МО, не имеющих прикрепленного населения</t>
  </si>
  <si>
    <t>Посещения МО,  имеющих прикрепленное население</t>
  </si>
  <si>
    <t>ГБУЗ РБ Балтачевская  ЦРБ</t>
  </si>
  <si>
    <t>ООО "МД-Проект 2010" (г.Уфа)</t>
  </si>
  <si>
    <t xml:space="preserve"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</t>
  </si>
  <si>
    <t>Посещения медицинских работников, имеющих среднее медицинское образование, ведущих самостоятельный прием</t>
  </si>
  <si>
    <t>по другим профилям,
 в том числе</t>
  </si>
  <si>
    <t xml:space="preserve">ООО "МД-Проект 2010" </t>
  </si>
  <si>
    <t xml:space="preserve">Амбулаторно-поликлиническая помощь в части профилактических посещений по разовым посещениям в связи с заболеванием на 2021 год </t>
  </si>
  <si>
    <t xml:space="preserve">Разовые посещения в связи с заболеванием
</t>
  </si>
  <si>
    <t>Гериатрия</t>
  </si>
  <si>
    <t>Консультативные посещения</t>
  </si>
  <si>
    <t xml:space="preserve">Комплексный прием  в амбулаторном центре диагностики и лечения новой короновирусной инфекции COVID-19 </t>
  </si>
  <si>
    <t>по другим профилям, 
в том числе:</t>
  </si>
  <si>
    <t>по другим профилям, в том числе</t>
  </si>
  <si>
    <t>на 1 квартал 2021 года</t>
  </si>
  <si>
    <t>первичный прием</t>
  </si>
  <si>
    <t>повторная консультация</t>
  </si>
  <si>
    <t>в т.ч.пульманолог в АЦКТ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</si>
  <si>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</t>
  </si>
  <si>
    <t>Посещения с другими целями (патронаж,выдача справок и иных медицинских документов и др.)</t>
  </si>
  <si>
    <r>
      <t xml:space="preserve">Амбулаторно-поликлиническая помощь в части профилактических посещений по разовым посещениям в связи с заболеванием на 2021 год  </t>
    </r>
    <r>
      <rPr>
        <sz val="12"/>
        <rFont val="Times New Roman"/>
        <family val="1"/>
        <charset val="204"/>
      </rPr>
      <t>по профилю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"стоматология"</t>
    </r>
  </si>
  <si>
    <t xml:space="preserve">Разовые посещения в связи с заболеванием (план год)
</t>
  </si>
  <si>
    <t>ВСЕГО</t>
  </si>
  <si>
    <t>на период июль-декабрь 2021 г.</t>
  </si>
  <si>
    <t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 по профилю "стоматология"</t>
  </si>
  <si>
    <t xml:space="preserve">Посещения медицинских работников, имеющих среднее медицинское образование, ведущих самостоятельный прием по профилю "стоматология" на 2021 год </t>
  </si>
  <si>
    <t>в том числе на период июль-декабрь 2021 года</t>
  </si>
  <si>
    <t>на текущий момент</t>
  </si>
  <si>
    <t>в случае уменьшения  стоимости 1 пос.</t>
  </si>
  <si>
    <t>Экономия</t>
  </si>
  <si>
    <t>Экономия всего на 2021 год:</t>
  </si>
  <si>
    <t>Экономия на 2-е полугодие 2021 года</t>
  </si>
  <si>
    <t xml:space="preserve"> Объемы медицинской помощи, оказываемой в центрах здоровья, на 2021 год.</t>
  </si>
  <si>
    <t>№п/п</t>
  </si>
  <si>
    <t>Всего посещений на 2021 год</t>
  </si>
  <si>
    <t>из них:</t>
  </si>
  <si>
    <t>первичное посещение для проведения комплексного обследования</t>
  </si>
  <si>
    <t>посещение для динамического наблюдения</t>
  </si>
  <si>
    <t>4=5+6</t>
  </si>
  <si>
    <t>5=7+9</t>
  </si>
  <si>
    <t>6=8+10</t>
  </si>
  <si>
    <t xml:space="preserve"> ГБУЗ РБ ГКБ №1 города Стерлитамак</t>
  </si>
  <si>
    <t>ГБУЗ РБ ГКБ Демского района г.Уфа</t>
  </si>
  <si>
    <t>ГБУЗ РБ ГКБ №18 г.Уфа</t>
  </si>
  <si>
    <t>Объемы медицинской помощи, оказываемой по КСГ в дневных стационарах по Протоколу № 10-21 от 23.07.2021 г.</t>
  </si>
  <si>
    <t>ID_LPU</t>
  </si>
  <si>
    <t>Всего в рамках программы ОМС</t>
  </si>
  <si>
    <t xml:space="preserve">В рамках базовой программы ОМС </t>
  </si>
  <si>
    <t>В рамках  сверхбазовой программы ОМС</t>
  </si>
  <si>
    <t>ВМП  профиль "онкология"</t>
  </si>
  <si>
    <t>ЭКО</t>
  </si>
  <si>
    <t>медицинская реабилитация</t>
  </si>
  <si>
    <t>иммуни-зация недоно-шенных</t>
  </si>
  <si>
    <t>гемодиализ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</si>
  <si>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</si>
  <si>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</si>
  <si>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</si>
  <si>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</si>
  <si>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</si>
  <si>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</si>
  <si>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</si>
  <si>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</si>
  <si>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</si>
  <si>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-операции без имплантации референсных маркеров</t>
  </si>
  <si>
    <t>-операции с имплантацией референсных маркеров</t>
  </si>
  <si>
    <t>Объемы скорой медицинской помощи в рамках базовой программы ОМС  на 2021 г.</t>
  </si>
  <si>
    <t xml:space="preserve">Уровень </t>
  </si>
  <si>
    <t xml:space="preserve">Всего </t>
  </si>
  <si>
    <t>Фельдшерские</t>
  </si>
  <si>
    <t>из них с применением тромболи-тических препаратов</t>
  </si>
  <si>
    <t>Врачебные</t>
  </si>
  <si>
    <t>вызовы специализ.</t>
  </si>
  <si>
    <t>Объемы оказания медицинской помощи в условиях круглосуточного стационара, на 2021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</si>
  <si>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</si>
  <si>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</si>
  <si>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</si>
  <si>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</si>
  <si>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</t>
  </si>
  <si>
    <t>Всего в рамках базовой программы ОМС (КСГ+ВМП)</t>
  </si>
  <si>
    <t>В рамках сверх базовой программы ОМС (долечивание)</t>
  </si>
  <si>
    <t>профиль "Онкология"</t>
  </si>
  <si>
    <t>профиль "Медицинская реабилитация"</t>
  </si>
  <si>
    <t>ГБУЗ РБ КВД г. Салават</t>
  </si>
  <si>
    <t>1 А</t>
  </si>
  <si>
    <t>ГБУЗ РБ КВД г. Стерлитамак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</si>
  <si>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</si>
  <si>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</si>
  <si>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</si>
  <si>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</si>
  <si>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 xml:space="preserve">ООО Санаторий "Юматово" </t>
  </si>
  <si>
    <t xml:space="preserve">2 А </t>
  </si>
  <si>
    <t>2 Б</t>
  </si>
  <si>
    <t xml:space="preserve">ГБУЗ РБ ГКБ Демского района г. Уфа </t>
  </si>
  <si>
    <t xml:space="preserve">ГБУЗ РБ ЦГБг. Сибай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</si>
  <si>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</si>
  <si>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</si>
  <si>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</si>
  <si>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</si>
  <si>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</si>
  <si>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</si>
  <si>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Все отделения, кроме указанных ниже</t>
  </si>
  <si>
    <t xml:space="preserve">3 А </t>
  </si>
  <si>
    <t xml:space="preserve">ГБУЗ РБ ГБ N 1 г. Октябрьский </t>
  </si>
  <si>
    <t>ГБУЗ РБ ГБ г. Нефтекамск</t>
  </si>
  <si>
    <t>12215</t>
  </si>
  <si>
    <t>12217</t>
  </si>
  <si>
    <t>12241</t>
  </si>
  <si>
    <t xml:space="preserve">ГБУЗ РБ ГБ г. Салават </t>
  </si>
  <si>
    <t>ГБУЗ РБ ГКБ № 1 г. Стерлитамак</t>
  </si>
  <si>
    <t xml:space="preserve">ГБУЗ РБ ГКБ N 10 г. Уфа </t>
  </si>
  <si>
    <t xml:space="preserve">ГБУЗ РБ ГКБ N 8 г. Уфа </t>
  </si>
  <si>
    <t xml:space="preserve">ГБУЗ РБ РД N 3 г. Уфа </t>
  </si>
  <si>
    <t xml:space="preserve">ООО "Медсервис" (г. Салават) </t>
  </si>
  <si>
    <t xml:space="preserve">ГАУЗ РКОД МЗ РБ </t>
  </si>
  <si>
    <t>3 Б</t>
  </si>
  <si>
    <t>22108</t>
  </si>
  <si>
    <t>22109</t>
  </si>
  <si>
    <t>22392</t>
  </si>
  <si>
    <t xml:space="preserve">ГБУЗ РКЦ </t>
  </si>
  <si>
    <t>ГБУЗ РКВД № 1</t>
  </si>
  <si>
    <t>3Б</t>
  </si>
  <si>
    <t>22183</t>
  </si>
  <si>
    <t>22184</t>
  </si>
  <si>
    <t>22185</t>
  </si>
  <si>
    <t>22186</t>
  </si>
  <si>
    <t xml:space="preserve">ГБУЗ РКПЦ МЗ РБ </t>
  </si>
  <si>
    <t>316</t>
  </si>
  <si>
    <t>391</t>
  </si>
  <si>
    <t>633</t>
  </si>
  <si>
    <t>634</t>
  </si>
  <si>
    <t>637</t>
  </si>
  <si>
    <t>95</t>
  </si>
  <si>
    <t xml:space="preserve">ГБУЗ РБ БСМП г. Уфа </t>
  </si>
  <si>
    <t>22259</t>
  </si>
  <si>
    <t>22269</t>
  </si>
  <si>
    <t>22262</t>
  </si>
  <si>
    <t>22265</t>
  </si>
  <si>
    <t>22268</t>
  </si>
  <si>
    <t>22284</t>
  </si>
  <si>
    <t>22579</t>
  </si>
  <si>
    <t xml:space="preserve">ГБУЗ РБ ГДКБ N 17 г. Уфа </t>
  </si>
  <si>
    <t>10</t>
  </si>
  <si>
    <t>167</t>
  </si>
  <si>
    <t>21</t>
  </si>
  <si>
    <t>ГБУЗ РБ ГКБ N 21 г. Уфа</t>
  </si>
  <si>
    <t xml:space="preserve">ГБУ "УфНИИ ГБ АН РБ" </t>
  </si>
  <si>
    <t>ГБУЗ РКБ им. Г.Г.Куватова</t>
  </si>
  <si>
    <t>3 В</t>
  </si>
  <si>
    <t>220001</t>
  </si>
  <si>
    <t>22128</t>
  </si>
  <si>
    <t>22115</t>
  </si>
  <si>
    <t>22116</t>
  </si>
  <si>
    <t>22117</t>
  </si>
  <si>
    <t>22119</t>
  </si>
  <si>
    <t>22393</t>
  </si>
  <si>
    <t>22133</t>
  </si>
  <si>
    <t>22123</t>
  </si>
  <si>
    <t>22120</t>
  </si>
  <si>
    <t>22122</t>
  </si>
  <si>
    <t>22124</t>
  </si>
  <si>
    <t>22125</t>
  </si>
  <si>
    <t>22129</t>
  </si>
  <si>
    <t>22126</t>
  </si>
  <si>
    <t>22127</t>
  </si>
  <si>
    <t>22336</t>
  </si>
  <si>
    <t>22588</t>
  </si>
  <si>
    <t>22203</t>
  </si>
  <si>
    <t>3В</t>
  </si>
  <si>
    <t>22231</t>
  </si>
  <si>
    <t>22233</t>
  </si>
  <si>
    <t>22204</t>
  </si>
  <si>
    <t>22206</t>
  </si>
  <si>
    <t>22208</t>
  </si>
  <si>
    <t>22210</t>
  </si>
  <si>
    <t>22211</t>
  </si>
  <si>
    <t>22212</t>
  </si>
  <si>
    <t>22235</t>
  </si>
  <si>
    <t>22202</t>
  </si>
  <si>
    <t>22331</t>
  </si>
  <si>
    <t>22330</t>
  </si>
  <si>
    <t>22352</t>
  </si>
  <si>
    <t>22371</t>
  </si>
  <si>
    <t xml:space="preserve">ООО "МД Проект 2010" </t>
  </si>
  <si>
    <t>ФГБОУ ВО БГМУ МЗ РФ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</si>
  <si>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</si>
  <si>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2021 год</t>
  </si>
  <si>
    <t>№ группы ВМП</t>
  </si>
  <si>
    <t>ГАУЗ РКОД МЗ РБ</t>
  </si>
  <si>
    <t>ГБУ  "УфНИИ ГБ АН РБ"</t>
  </si>
  <si>
    <t>ГБУЗ РБ ГБ                              г. Кумертау</t>
  </si>
  <si>
    <t>ГБУЗ РБ ГБ                           г. Нефтекакмск</t>
  </si>
  <si>
    <t>ГБУЗ РБ ГБ № 1 г. Октябрьский</t>
  </si>
  <si>
    <t>ГБУЗ РБ ГКБ № 1                  г. Стерлитамак</t>
  </si>
  <si>
    <t>ООО "МД-Проект 2010"</t>
  </si>
  <si>
    <t>ИТОГО без резерва</t>
  </si>
  <si>
    <t>Резерв</t>
  </si>
  <si>
    <t>ИТОГО с резервом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</si>
  <si>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</si>
  <si>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</si>
  <si>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</si>
  <si>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</si>
  <si>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</si>
  <si>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</si>
  <si>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</si>
  <si>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</si>
  <si>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</si>
  <si>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</si>
  <si>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</si>
  <si>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</si>
  <si>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</si>
  <si>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 xml:space="preserve">Ревматология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</si>
  <si>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</si>
  <si>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</si>
  <si>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</si>
  <si>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</si>
  <si>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</si>
  <si>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</si>
  <si>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ООО "Медсервис"       г. Салават</t>
  </si>
  <si>
    <t>ГБУЗ РКВД         № 1</t>
  </si>
  <si>
    <t>ГБУЗ РБ ГКБ № 8       г. Уфа</t>
  </si>
  <si>
    <t>ГБУЗ РБ ГКБ                       № 10               г. Уфа</t>
  </si>
  <si>
    <t>ГБУЗ РБ ГКБ         № 13                     г. Уфа</t>
  </si>
  <si>
    <t>ГБУЗ РБ ГДКБ                    № 17                   г. Уфа</t>
  </si>
  <si>
    <t>ГБУЗ РБ ГКБ                        № 18                     г. Уфа</t>
  </si>
  <si>
    <t>ГБУЗ РБ РД № 3               г. Уфа</t>
  </si>
  <si>
    <t>ГБУЗ РБ ГБ                г. Салават</t>
  </si>
  <si>
    <t>КСГ по COVID-19</t>
  </si>
  <si>
    <t>КСГ (за исключением КСГ по профилям "Онкология","Медицинская реабилитация", COVID-19)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</si>
</sst>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00"/>
    <numFmt numFmtId="171" formatCode="#,##0.0"/>
    <numFmt numFmtId="172" formatCode="0.0"/>
  </numFmts>
  <fonts count="1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color indexed="10"/>
      <name val="Times New Roman Cyr"/>
      <charset val="204"/>
    </font>
    <font>
      <sz val="9"/>
      <name val="Times New Roman Cyr"/>
      <charset val="204"/>
    </font>
    <font>
      <sz val="8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7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61228">
    <xf numFmtId="0" fontId="0" fillId="0" borderId="0"/>
    <xf numFmtId="0" fontId="21" fillId="0" borderId="0"/>
    <xf numFmtId="0" fontId="20" fillId="0" borderId="0"/>
    <xf numFmtId="0" fontId="20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3" fillId="0" borderId="0"/>
    <xf numFmtId="0" fontId="23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24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3" fillId="0" borderId="0"/>
    <xf numFmtId="0" fontId="32" fillId="28" borderId="0" applyNumberFormat="0" applyBorder="0" applyAlignment="0" applyProtection="0"/>
    <xf numFmtId="0" fontId="32" fillId="29" borderId="0"/>
    <xf numFmtId="0" fontId="32" fillId="30" borderId="0" applyNumberFormat="0" applyBorder="0" applyAlignment="0" applyProtection="0"/>
    <xf numFmtId="0" fontId="32" fillId="31" borderId="0"/>
    <xf numFmtId="0" fontId="32" fillId="32" borderId="0" applyNumberFormat="0" applyBorder="0" applyAlignment="0" applyProtection="0"/>
    <xf numFmtId="0" fontId="32" fillId="33" borderId="0"/>
    <xf numFmtId="0" fontId="32" fillId="34" borderId="0" applyNumberFormat="0" applyBorder="0" applyAlignment="0" applyProtection="0"/>
    <xf numFmtId="0" fontId="32" fillId="35" borderId="0"/>
    <xf numFmtId="0" fontId="32" fillId="36" borderId="0" applyNumberFormat="0" applyBorder="0" applyAlignment="0" applyProtection="0"/>
    <xf numFmtId="0" fontId="32" fillId="37" borderId="0"/>
    <xf numFmtId="0" fontId="32" fillId="38" borderId="0" applyNumberFormat="0" applyBorder="0" applyAlignment="0" applyProtection="0"/>
    <xf numFmtId="0" fontId="32" fillId="39" borderId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2" fillId="40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32" fillId="29" borderId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2" fillId="3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32" fillId="31" borderId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2" fillId="4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32" fillId="33" borderId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2" fillId="40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32" fillId="35" borderId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2" fillId="36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2" fillId="37" borderId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3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39" borderId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/>
    <xf numFmtId="0" fontId="32" fillId="44" borderId="0" applyNumberFormat="0" applyBorder="0" applyAlignment="0" applyProtection="0"/>
    <xf numFmtId="0" fontId="32" fillId="45" borderId="0"/>
    <xf numFmtId="0" fontId="32" fillId="46" borderId="0" applyNumberFormat="0" applyBorder="0" applyAlignment="0" applyProtection="0"/>
    <xf numFmtId="0" fontId="32" fillId="47" borderId="0"/>
    <xf numFmtId="0" fontId="32" fillId="34" borderId="0" applyNumberFormat="0" applyBorder="0" applyAlignment="0" applyProtection="0"/>
    <xf numFmtId="0" fontId="32" fillId="35" borderId="0"/>
    <xf numFmtId="0" fontId="32" fillId="42" borderId="0" applyNumberFormat="0" applyBorder="0" applyAlignment="0" applyProtection="0"/>
    <xf numFmtId="0" fontId="32" fillId="43" borderId="0"/>
    <xf numFmtId="0" fontId="32" fillId="48" borderId="0" applyNumberFormat="0" applyBorder="0" applyAlignment="0" applyProtection="0"/>
    <xf numFmtId="0" fontId="32" fillId="49" borderId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2" fillId="50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32" fillId="43" borderId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7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2" fillId="44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32" fillId="45" borderId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2" fillId="5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2" fillId="47" borderId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2" fillId="50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32" fillId="35" borderId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2" fillId="4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32" fillId="43" borderId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2" fillId="3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2" fillId="49" borderId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/>
    <xf numFmtId="0" fontId="33" fillId="44" borderId="0" applyNumberFormat="0" applyBorder="0" applyAlignment="0" applyProtection="0"/>
    <xf numFmtId="0" fontId="33" fillId="45" borderId="0"/>
    <xf numFmtId="0" fontId="33" fillId="46" borderId="0" applyNumberFormat="0" applyBorder="0" applyAlignment="0" applyProtection="0"/>
    <xf numFmtId="0" fontId="33" fillId="47" borderId="0"/>
    <xf numFmtId="0" fontId="33" fillId="54" borderId="0" applyNumberFormat="0" applyBorder="0" applyAlignment="0" applyProtection="0"/>
    <xf numFmtId="0" fontId="33" fillId="55" borderId="0"/>
    <xf numFmtId="0" fontId="33" fillId="56" borderId="0" applyNumberFormat="0" applyBorder="0" applyAlignment="0" applyProtection="0"/>
    <xf numFmtId="0" fontId="33" fillId="57" borderId="0"/>
    <xf numFmtId="0" fontId="33" fillId="58" borderId="0" applyNumberFormat="0" applyBorder="0" applyAlignment="0" applyProtection="0"/>
    <xf numFmtId="0" fontId="33" fillId="59" borderId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1" fillId="7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3" fillId="5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3" fillId="53" borderId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11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3" fillId="44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3" fillId="45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1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3" fillId="5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3" fillId="47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1" fillId="1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3" fillId="5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3" fillId="55" borderId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1" fillId="23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3" fillId="5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3" fillId="57" borderId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1" fillId="27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3" fillId="38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3" fillId="59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3" fillId="60" borderId="0" applyNumberFormat="0" applyBorder="0" applyAlignment="0" applyProtection="0"/>
    <xf numFmtId="0" fontId="33" fillId="61" borderId="0"/>
    <xf numFmtId="0" fontId="33" fillId="62" borderId="0" applyNumberFormat="0" applyBorder="0" applyAlignment="0" applyProtection="0"/>
    <xf numFmtId="0" fontId="33" fillId="63" borderId="0"/>
    <xf numFmtId="0" fontId="33" fillId="64" borderId="0" applyNumberFormat="0" applyBorder="0" applyAlignment="0" applyProtection="0"/>
    <xf numFmtId="0" fontId="33" fillId="65" borderId="0"/>
    <xf numFmtId="0" fontId="33" fillId="54" borderId="0" applyNumberFormat="0" applyBorder="0" applyAlignment="0" applyProtection="0"/>
    <xf numFmtId="0" fontId="33" fillId="55" borderId="0"/>
    <xf numFmtId="0" fontId="33" fillId="56" borderId="0" applyNumberFormat="0" applyBorder="0" applyAlignment="0" applyProtection="0"/>
    <xf numFmtId="0" fontId="33" fillId="57" borderId="0"/>
    <xf numFmtId="0" fontId="33" fillId="66" borderId="0" applyNumberFormat="0" applyBorder="0" applyAlignment="0" applyProtection="0"/>
    <xf numFmtId="0" fontId="33" fillId="67" borderId="0"/>
    <xf numFmtId="0" fontId="34" fillId="30" borderId="0" applyNumberFormat="0" applyBorder="0" applyAlignment="0" applyProtection="0"/>
    <xf numFmtId="0" fontId="34" fillId="31" borderId="0"/>
    <xf numFmtId="0" fontId="35" fillId="50" borderId="13" applyNumberFormat="0" applyAlignment="0" applyProtection="0"/>
    <xf numFmtId="0" fontId="35" fillId="68" borderId="13"/>
    <xf numFmtId="0" fontId="36" fillId="69" borderId="14" applyNumberFormat="0" applyAlignment="0" applyProtection="0"/>
    <xf numFmtId="0" fontId="36" fillId="70" borderId="0"/>
    <xf numFmtId="165" fontId="37" fillId="0" borderId="0"/>
    <xf numFmtId="166" fontId="37" fillId="0" borderId="0" applyBorder="0" applyProtection="0"/>
    <xf numFmtId="165" fontId="37" fillId="0" borderId="0" applyBorder="0" applyProtection="0"/>
    <xf numFmtId="165" fontId="37" fillId="0" borderId="0"/>
    <xf numFmtId="0" fontId="38" fillId="0" borderId="0"/>
    <xf numFmtId="0" fontId="38" fillId="0" borderId="0"/>
    <xf numFmtId="0" fontId="39" fillId="0" borderId="0" applyNumberFormat="0" applyFill="0" applyBorder="0" applyAlignment="0" applyProtection="0"/>
    <xf numFmtId="0" fontId="39" fillId="0" borderId="0"/>
    <xf numFmtId="0" fontId="40" fillId="32" borderId="0" applyNumberFormat="0" applyBorder="0" applyAlignment="0" applyProtection="0"/>
    <xf numFmtId="0" fontId="40" fillId="33" borderId="0"/>
    <xf numFmtId="0" fontId="41" fillId="0" borderId="0" applyNumberFormat="0" applyBorder="0" applyProtection="0">
      <alignment horizontal="center"/>
    </xf>
    <xf numFmtId="0" fontId="42" fillId="0" borderId="15" applyNumberFormat="0" applyFill="0" applyAlignment="0" applyProtection="0"/>
    <xf numFmtId="0" fontId="42" fillId="0" borderId="15"/>
    <xf numFmtId="0" fontId="43" fillId="0" borderId="16" applyNumberFormat="0" applyFill="0" applyAlignment="0" applyProtection="0"/>
    <xf numFmtId="0" fontId="43" fillId="0" borderId="16"/>
    <xf numFmtId="0" fontId="44" fillId="0" borderId="17" applyNumberFormat="0" applyFill="0" applyAlignment="0" applyProtection="0"/>
    <xf numFmtId="0" fontId="44" fillId="0" borderId="17"/>
    <xf numFmtId="0" fontId="44" fillId="0" borderId="0" applyNumberFormat="0" applyFill="0" applyBorder="0" applyAlignment="0" applyProtection="0"/>
    <xf numFmtId="0" fontId="44" fillId="0" borderId="0"/>
    <xf numFmtId="0" fontId="41" fillId="0" borderId="0" applyNumberFormat="0" applyBorder="0" applyProtection="0">
      <alignment horizontal="center" textRotation="90"/>
    </xf>
    <xf numFmtId="0" fontId="45" fillId="38" borderId="13" applyNumberFormat="0" applyAlignment="0" applyProtection="0"/>
    <xf numFmtId="0" fontId="45" fillId="39" borderId="13"/>
    <xf numFmtId="0" fontId="46" fillId="0" borderId="18" applyNumberFormat="0" applyFill="0" applyAlignment="0" applyProtection="0"/>
    <xf numFmtId="0" fontId="46" fillId="0" borderId="0"/>
    <xf numFmtId="0" fontId="47" fillId="51" borderId="0" applyNumberFormat="0" applyBorder="0" applyAlignment="0" applyProtection="0"/>
    <xf numFmtId="0" fontId="47" fillId="71" borderId="0"/>
    <xf numFmtId="0" fontId="48" fillId="0" borderId="0"/>
    <xf numFmtId="0" fontId="22" fillId="41" borderId="19" applyNumberFormat="0" applyFont="0" applyAlignment="0" applyProtection="0"/>
    <xf numFmtId="0" fontId="49" fillId="72" borderId="19"/>
    <xf numFmtId="0" fontId="50" fillId="50" borderId="20" applyNumberFormat="0" applyAlignment="0" applyProtection="0"/>
    <xf numFmtId="0" fontId="50" fillId="68" borderId="20"/>
    <xf numFmtId="0" fontId="51" fillId="0" borderId="0" applyNumberFormat="0" applyBorder="0" applyProtection="0"/>
    <xf numFmtId="167" fontId="51" fillId="0" borderId="0" applyBorder="0" applyProtection="0"/>
    <xf numFmtId="0" fontId="52" fillId="0" borderId="0" applyNumberFormat="0" applyFill="0" applyBorder="0" applyAlignment="0" applyProtection="0"/>
    <xf numFmtId="0" fontId="52" fillId="0" borderId="0"/>
    <xf numFmtId="0" fontId="53" fillId="0" borderId="21" applyNumberFormat="0" applyFill="0" applyAlignment="0" applyProtection="0"/>
    <xf numFmtId="0" fontId="53" fillId="0" borderId="22"/>
    <xf numFmtId="0" fontId="54" fillId="0" borderId="0" applyNumberFormat="0" applyFill="0" applyBorder="0" applyAlignment="0" applyProtection="0"/>
    <xf numFmtId="0" fontId="54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1" fillId="4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3" fillId="5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3" fillId="61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3" fillId="62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3" fillId="63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1" fillId="12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3" fillId="6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3" fillId="65" borderId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1" fillId="16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3" fillId="73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3" fillId="55" borderId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1" fillId="20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3" fillId="5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3" fillId="57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1" fillId="24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3" fillId="6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3" fillId="67" borderId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28" fillId="2" borderId="7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45" fillId="38" borderId="13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45" fillId="38" borderId="13" applyNumberFormat="0" applyAlignment="0" applyProtection="0"/>
    <xf numFmtId="0" fontId="45" fillId="38" borderId="13" applyNumberFormat="0" applyAlignment="0" applyProtection="0"/>
    <xf numFmtId="0" fontId="45" fillId="39" borderId="13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8" fillId="2" borderId="7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29" fillId="3" borderId="8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50" fillId="40" borderId="20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50" fillId="50" borderId="20" applyNumberFormat="0" applyAlignment="0" applyProtection="0"/>
    <xf numFmtId="0" fontId="50" fillId="50" borderId="20" applyNumberFormat="0" applyAlignment="0" applyProtection="0"/>
    <xf numFmtId="0" fontId="50" fillId="68" borderId="2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29" fillId="3" borderId="8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0" fillId="3" borderId="7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5" fillId="40" borderId="13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5" fillId="50" borderId="13" applyNumberFormat="0" applyAlignment="0" applyProtection="0"/>
    <xf numFmtId="0" fontId="35" fillId="50" borderId="13" applyNumberFormat="0" applyAlignment="0" applyProtection="0"/>
    <xf numFmtId="0" fontId="35" fillId="68" borderId="13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30" fillId="3" borderId="7" applyNumberFormat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26" fillId="0" borderId="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57" fillId="0" borderId="23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42" fillId="0" borderId="15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27" fillId="0" borderId="5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58" fillId="0" borderId="16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43" fillId="0" borderId="16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5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59" fillId="0" borderId="6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44" fillId="0" borderId="17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60" fillId="0" borderId="24" applyNumberFormat="0" applyFill="0" applyAlignment="0" applyProtection="0"/>
    <xf numFmtId="0" fontId="44" fillId="0" borderId="17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4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0" fillId="0" borderId="0" applyNumberFormat="0" applyFill="0" applyBorder="0" applyAlignment="0" applyProtection="0"/>
    <xf numFmtId="0" fontId="44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22" fillId="0" borderId="0" applyNumberFormat="0" applyFon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61" fillId="0" borderId="12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53" fillId="0" borderId="21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53" fillId="0" borderId="25" applyNumberFormat="0" applyFill="0" applyAlignment="0" applyProtection="0"/>
    <xf numFmtId="0" fontId="53" fillId="0" borderId="22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62" fillId="0" borderId="10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6" fillId="69" borderId="14" applyNumberFormat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36" fillId="69" borderId="14" applyNumberFormat="0" applyAlignment="0" applyProtection="0"/>
    <xf numFmtId="0" fontId="36" fillId="70" borderId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2" fillId="0" borderId="10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2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47" fillId="51" borderId="0" applyNumberFormat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7" fillId="51" borderId="0" applyNumberFormat="0" applyBorder="0" applyAlignment="0" applyProtection="0"/>
    <xf numFmtId="0" fontId="47" fillId="71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1" fillId="0" borderId="0"/>
    <xf numFmtId="0" fontId="7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5" fillId="0" borderId="0"/>
    <xf numFmtId="0" fontId="23" fillId="0" borderId="0"/>
    <xf numFmtId="0" fontId="73" fillId="0" borderId="0"/>
    <xf numFmtId="0" fontId="22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4" fillId="0" borderId="0"/>
    <xf numFmtId="0" fontId="22" fillId="0" borderId="0"/>
    <xf numFmtId="0" fontId="22" fillId="0" borderId="0"/>
    <xf numFmtId="0" fontId="22" fillId="0" borderId="0"/>
    <xf numFmtId="0" fontId="66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3" fillId="0" borderId="0"/>
    <xf numFmtId="0" fontId="2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2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2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23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6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5" fillId="0" borderId="0"/>
    <xf numFmtId="0" fontId="73" fillId="0" borderId="0"/>
    <xf numFmtId="0" fontId="15" fillId="0" borderId="0"/>
    <xf numFmtId="0" fontId="66" fillId="0" borderId="0"/>
    <xf numFmtId="0" fontId="23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24" fillId="0" borderId="0"/>
    <xf numFmtId="0" fontId="15" fillId="0" borderId="0"/>
    <xf numFmtId="0" fontId="15" fillId="0" borderId="0"/>
    <xf numFmtId="0" fontId="15" fillId="0" borderId="0"/>
    <xf numFmtId="0" fontId="66" fillId="0" borderId="0"/>
    <xf numFmtId="0" fontId="23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4" fillId="3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4" fillId="30" borderId="0" applyNumberFormat="0" applyBorder="0" applyAlignment="0" applyProtection="0"/>
    <xf numFmtId="0" fontId="34" fillId="31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41" borderId="19" applyNumberFormat="0" applyFont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41" borderId="19" applyNumberFormat="0" applyFont="0" applyAlignment="0" applyProtection="0"/>
    <xf numFmtId="0" fontId="23" fillId="41" borderId="19" applyNumberFormat="0" applyFont="0" applyAlignment="0" applyProtection="0"/>
    <xf numFmtId="0" fontId="66" fillId="41" borderId="19" applyNumberFormat="0" applyFont="0" applyAlignment="0" applyProtection="0"/>
    <xf numFmtId="0" fontId="22" fillId="41" borderId="19" applyNumberFormat="0" applyFont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0" fontId="22" fillId="0" borderId="11" applyNumberFormat="0" applyFont="0" applyFill="0" applyAlignment="0" applyProtection="0"/>
    <xf numFmtId="9" fontId="32" fillId="0" borderId="0" applyFont="0" applyFill="0" applyBorder="0" applyAlignment="0" applyProtection="0"/>
    <xf numFmtId="9" fontId="32" fillId="0" borderId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78" fillId="0" borderId="9" applyNumberFormat="0" applyFill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46" fillId="0" borderId="18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46" fillId="0" borderId="18" applyNumberFormat="0" applyFill="0" applyAlignment="0" applyProtection="0"/>
    <xf numFmtId="0" fontId="46" fillId="0" borderId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9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43" fontId="7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3" fillId="0" borderId="0" applyFont="0" applyFill="0" applyBorder="0" applyAlignment="0" applyProtection="0"/>
    <xf numFmtId="166" fontId="74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3" fillId="0" borderId="0" applyFont="0" applyFill="0" applyBorder="0" applyAlignment="0" applyProtection="0"/>
    <xf numFmtId="166" fontId="74" fillId="0" borderId="0"/>
    <xf numFmtId="168" fontId="81" fillId="0" borderId="0"/>
    <xf numFmtId="164" fontId="32" fillId="0" borderId="0" applyFont="0" applyFill="0" applyBorder="0" applyAlignment="0" applyProtection="0"/>
    <xf numFmtId="166" fontId="74" fillId="0" borderId="0"/>
    <xf numFmtId="166" fontId="74" fillId="0" borderId="0" applyFill="0" applyBorder="0" applyAlignment="0" applyProtection="0"/>
    <xf numFmtId="166" fontId="74" fillId="0" borderId="0"/>
    <xf numFmtId="169" fontId="6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40" fillId="32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0" fillId="32" borderId="0" applyNumberFormat="0" applyBorder="0" applyAlignment="0" applyProtection="0"/>
    <xf numFmtId="0" fontId="40" fillId="33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4" fillId="0" borderId="0"/>
    <xf numFmtId="0" fontId="14" fillId="0" borderId="0"/>
    <xf numFmtId="0" fontId="23" fillId="0" borderId="0"/>
    <xf numFmtId="0" fontId="32" fillId="28" borderId="0" applyNumberFormat="0" applyBorder="0" applyAlignment="0" applyProtection="0"/>
    <xf numFmtId="0" fontId="32" fillId="30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28" borderId="0" applyNumberFormat="0" applyBorder="0" applyAlignment="0" applyProtection="0"/>
    <xf numFmtId="0" fontId="32" fillId="30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32" fillId="36" borderId="0" applyNumberFormat="0" applyBorder="0" applyAlignment="0" applyProtection="0"/>
    <xf numFmtId="0" fontId="32" fillId="38" borderId="0" applyNumberFormat="0" applyBorder="0" applyAlignment="0" applyProtection="0"/>
    <xf numFmtId="0" fontId="32" fillId="42" borderId="0" applyNumberFormat="0" applyBorder="0" applyAlignment="0" applyProtection="0"/>
    <xf numFmtId="0" fontId="32" fillId="44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4" borderId="0" applyNumberFormat="0" applyBorder="0" applyAlignment="0" applyProtection="0"/>
    <xf numFmtId="0" fontId="32" fillId="46" borderId="0" applyNumberFormat="0" applyBorder="0" applyAlignment="0" applyProtection="0"/>
    <xf numFmtId="0" fontId="32" fillId="34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32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22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23" fillId="0" borderId="0"/>
    <xf numFmtId="0" fontId="74" fillId="0" borderId="0"/>
    <xf numFmtId="0" fontId="66" fillId="0" borderId="0"/>
    <xf numFmtId="0" fontId="74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166" fontId="74" fillId="0" borderId="0" applyFill="0" applyBorder="0" applyAlignment="0" applyProtection="0"/>
  </cellStyleXfs>
  <cellXfs count="872">
    <xf numFmtId="0" fontId="0" fillId="0" borderId="0" xfId="0"/>
    <xf numFmtId="0" fontId="84" fillId="74" borderId="0" xfId="61203" applyFont="1" applyFill="1" applyAlignment="1">
      <alignment vertical="center"/>
    </xf>
    <xf numFmtId="0" fontId="86" fillId="74" borderId="1" xfId="61203" applyFont="1" applyFill="1" applyBorder="1" applyAlignment="1">
      <alignment horizontal="center" vertical="center" wrapText="1"/>
    </xf>
    <xf numFmtId="3" fontId="84" fillId="74" borderId="1" xfId="61203" applyNumberFormat="1" applyFont="1" applyFill="1" applyBorder="1" applyAlignment="1">
      <alignment horizontal="center" vertical="center"/>
    </xf>
    <xf numFmtId="3" fontId="84" fillId="74" borderId="1" xfId="61203" applyNumberFormat="1" applyFont="1" applyFill="1" applyBorder="1" applyAlignment="1">
      <alignment horizontal="center" vertical="center" wrapText="1"/>
    </xf>
    <xf numFmtId="0" fontId="84" fillId="74" borderId="1" xfId="61203" applyFont="1" applyFill="1" applyBorder="1" applyAlignment="1">
      <alignment horizontal="center" vertical="center" wrapText="1"/>
    </xf>
    <xf numFmtId="49" fontId="84" fillId="74" borderId="3" xfId="61203" applyNumberFormat="1" applyFont="1" applyFill="1" applyBorder="1" applyAlignment="1">
      <alignment horizontal="center" vertical="center" wrapText="1"/>
    </xf>
    <xf numFmtId="0" fontId="94" fillId="74" borderId="1" xfId="61203" applyFont="1" applyFill="1" applyBorder="1" applyAlignment="1">
      <alignment vertical="center"/>
    </xf>
    <xf numFmtId="3" fontId="88" fillId="74" borderId="1" xfId="61203" applyNumberFormat="1" applyFont="1" applyFill="1" applyBorder="1" applyAlignment="1">
      <alignment horizontal="center" vertical="center" wrapText="1"/>
    </xf>
    <xf numFmtId="3" fontId="94" fillId="74" borderId="1" xfId="61203" applyNumberFormat="1" applyFont="1" applyFill="1" applyBorder="1" applyAlignment="1">
      <alignment horizontal="center" vertical="center"/>
    </xf>
    <xf numFmtId="3" fontId="94" fillId="74" borderId="1" xfId="61203" applyNumberFormat="1" applyFont="1" applyFill="1" applyBorder="1" applyAlignment="1">
      <alignment horizontal="center" vertical="center" wrapText="1"/>
    </xf>
    <xf numFmtId="4" fontId="85" fillId="74" borderId="29" xfId="61203" applyNumberFormat="1" applyFont="1" applyFill="1" applyBorder="1" applyAlignment="1">
      <alignment vertical="center" wrapText="1"/>
    </xf>
    <xf numFmtId="3" fontId="86" fillId="74" borderId="1" xfId="61204" applyNumberFormat="1" applyFont="1" applyFill="1" applyBorder="1" applyAlignment="1">
      <alignment horizontal="center" vertical="center" wrapText="1"/>
    </xf>
    <xf numFmtId="3" fontId="84" fillId="74" borderId="1" xfId="61204" applyNumberFormat="1" applyFont="1" applyFill="1" applyBorder="1" applyAlignment="1">
      <alignment horizontal="center" vertical="center" wrapText="1"/>
    </xf>
    <xf numFmtId="0" fontId="84" fillId="74" borderId="1" xfId="61203" applyFont="1" applyFill="1" applyBorder="1" applyAlignment="1">
      <alignment horizontal="center" vertical="center"/>
    </xf>
    <xf numFmtId="49" fontId="25" fillId="74" borderId="1" xfId="58756" applyNumberFormat="1" applyFont="1" applyFill="1" applyBorder="1" applyAlignment="1">
      <alignment horizontal="center" vertical="center"/>
    </xf>
    <xf numFmtId="0" fontId="25" fillId="74" borderId="1" xfId="58756" applyFont="1" applyFill="1" applyBorder="1" applyAlignment="1">
      <alignment horizontal="left" vertical="center" wrapText="1"/>
    </xf>
    <xf numFmtId="49" fontId="25" fillId="74" borderId="1" xfId="58756" applyNumberFormat="1" applyFont="1" applyFill="1" applyBorder="1" applyAlignment="1">
      <alignment horizontal="center" vertical="center" wrapText="1"/>
    </xf>
    <xf numFmtId="0" fontId="25" fillId="74" borderId="1" xfId="58756" applyFont="1" applyFill="1" applyBorder="1" applyAlignment="1">
      <alignment horizontal="center" vertical="center" wrapText="1"/>
    </xf>
    <xf numFmtId="49" fontId="25" fillId="74" borderId="1" xfId="58524" applyNumberFormat="1" applyFont="1" applyFill="1" applyBorder="1" applyAlignment="1">
      <alignment horizontal="center" vertical="center"/>
    </xf>
    <xf numFmtId="0" fontId="25" fillId="74" borderId="1" xfId="58524" applyFont="1" applyFill="1" applyBorder="1" applyAlignment="1">
      <alignment horizontal="left" vertical="center" wrapText="1"/>
    </xf>
    <xf numFmtId="49" fontId="83" fillId="74" borderId="1" xfId="18" applyNumberFormat="1" applyFont="1" applyFill="1" applyBorder="1" applyAlignment="1">
      <alignment horizontal="center" vertical="center"/>
    </xf>
    <xf numFmtId="0" fontId="83" fillId="74" borderId="1" xfId="18" applyFont="1" applyFill="1" applyBorder="1" applyAlignment="1">
      <alignment horizontal="left" vertical="center" wrapText="1"/>
    </xf>
    <xf numFmtId="49" fontId="84" fillId="74" borderId="1" xfId="61203" applyNumberFormat="1" applyFont="1" applyFill="1" applyBorder="1" applyAlignment="1">
      <alignment horizontal="center" vertical="center"/>
    </xf>
    <xf numFmtId="3" fontId="88" fillId="74" borderId="1" xfId="61203" applyNumberFormat="1" applyFont="1" applyFill="1" applyBorder="1" applyAlignment="1">
      <alignment horizontal="center" vertical="center"/>
    </xf>
    <xf numFmtId="3" fontId="84" fillId="74" borderId="0" xfId="61203" applyNumberFormat="1" applyFont="1" applyFill="1" applyBorder="1" applyAlignment="1">
      <alignment horizontal="left" vertical="center"/>
    </xf>
    <xf numFmtId="49" fontId="84" fillId="74" borderId="0" xfId="61203" applyNumberFormat="1" applyFont="1" applyFill="1" applyBorder="1" applyAlignment="1">
      <alignment horizontal="left" vertical="center"/>
    </xf>
    <xf numFmtId="3" fontId="84" fillId="74" borderId="0" xfId="61203" applyNumberFormat="1" applyFont="1" applyFill="1" applyBorder="1" applyAlignment="1">
      <alignment horizontal="right" vertical="center"/>
    </xf>
    <xf numFmtId="3" fontId="86" fillId="74" borderId="0" xfId="61203" applyNumberFormat="1" applyFont="1" applyFill="1" applyBorder="1" applyAlignment="1">
      <alignment horizontal="center" vertical="center"/>
    </xf>
    <xf numFmtId="3" fontId="84" fillId="74" borderId="0" xfId="61203" applyNumberFormat="1" applyFont="1" applyFill="1" applyBorder="1" applyAlignment="1">
      <alignment horizontal="center" vertical="center"/>
    </xf>
    <xf numFmtId="3" fontId="84" fillId="74" borderId="0" xfId="61203" applyNumberFormat="1" applyFont="1" applyFill="1" applyBorder="1" applyAlignment="1">
      <alignment vertical="center"/>
    </xf>
    <xf numFmtId="0" fontId="84" fillId="74" borderId="0" xfId="61203" applyFont="1" applyFill="1" applyBorder="1" applyAlignment="1">
      <alignment horizontal="center" vertical="center"/>
    </xf>
    <xf numFmtId="49" fontId="84" fillId="74" borderId="0" xfId="61203" applyNumberFormat="1" applyFont="1" applyFill="1" applyBorder="1" applyAlignment="1">
      <alignment horizontal="center" vertical="center"/>
    </xf>
    <xf numFmtId="0" fontId="84" fillId="74" borderId="0" xfId="61203" applyFont="1" applyFill="1" applyBorder="1" applyAlignment="1">
      <alignment horizontal="right" vertical="center"/>
    </xf>
    <xf numFmtId="0" fontId="84" fillId="74" borderId="0" xfId="61203" applyFont="1" applyFill="1" applyBorder="1" applyAlignment="1">
      <alignment vertical="center"/>
    </xf>
    <xf numFmtId="0" fontId="84" fillId="74" borderId="0" xfId="61203" applyFont="1" applyFill="1" applyAlignment="1">
      <alignment horizontal="center" vertical="center"/>
    </xf>
    <xf numFmtId="49" fontId="84" fillId="74" borderId="0" xfId="61203" applyNumberFormat="1" applyFont="1" applyFill="1" applyAlignment="1">
      <alignment horizontal="center" vertical="center"/>
    </xf>
    <xf numFmtId="0" fontId="84" fillId="74" borderId="0" xfId="61203" applyFont="1" applyFill="1" applyAlignment="1">
      <alignment horizontal="right" vertical="center"/>
    </xf>
    <xf numFmtId="0" fontId="86" fillId="74" borderId="0" xfId="61203" applyFont="1" applyFill="1" applyAlignment="1">
      <alignment vertical="center"/>
    </xf>
    <xf numFmtId="3" fontId="84" fillId="74" borderId="0" xfId="61203" applyNumberFormat="1" applyFont="1" applyFill="1" applyAlignment="1">
      <alignment horizontal="center" vertical="center"/>
    </xf>
    <xf numFmtId="3" fontId="86" fillId="74" borderId="0" xfId="61203" applyNumberFormat="1" applyFont="1" applyFill="1" applyAlignment="1">
      <alignment vertical="center"/>
    </xf>
    <xf numFmtId="3" fontId="84" fillId="74" borderId="0" xfId="61204" applyNumberFormat="1" applyFont="1" applyFill="1" applyAlignment="1">
      <alignment horizontal="center" vertical="center"/>
    </xf>
    <xf numFmtId="3" fontId="84" fillId="74" borderId="0" xfId="61204" applyNumberFormat="1" applyFont="1" applyFill="1" applyAlignment="1">
      <alignment horizontal="left" vertical="center"/>
    </xf>
    <xf numFmtId="3" fontId="84" fillId="74" borderId="38" xfId="61204" applyNumberFormat="1" applyFont="1" applyFill="1" applyBorder="1" applyAlignment="1">
      <alignment horizontal="center" vertical="center" wrapText="1"/>
    </xf>
    <xf numFmtId="3" fontId="84" fillId="74" borderId="39" xfId="61204" applyNumberFormat="1" applyFont="1" applyFill="1" applyBorder="1" applyAlignment="1">
      <alignment horizontal="center" vertical="center" wrapText="1"/>
    </xf>
    <xf numFmtId="3" fontId="84" fillId="74" borderId="40" xfId="61204" applyNumberFormat="1" applyFont="1" applyFill="1" applyBorder="1" applyAlignment="1">
      <alignment horizontal="center" vertical="center"/>
    </xf>
    <xf numFmtId="3" fontId="84" fillId="74" borderId="28" xfId="61204" applyNumberFormat="1" applyFont="1" applyFill="1" applyBorder="1" applyAlignment="1">
      <alignment horizontal="center" vertical="center" wrapText="1"/>
    </xf>
    <xf numFmtId="0" fontId="7" fillId="74" borderId="41" xfId="61204" applyFill="1" applyBorder="1" applyAlignment="1">
      <alignment horizontal="center" vertical="center" wrapText="1"/>
    </xf>
    <xf numFmtId="0" fontId="94" fillId="74" borderId="1" xfId="61204" applyFont="1" applyFill="1" applyBorder="1" applyAlignment="1">
      <alignment vertical="center"/>
    </xf>
    <xf numFmtId="3" fontId="94" fillId="74" borderId="42" xfId="61204" applyNumberFormat="1" applyFont="1" applyFill="1" applyBorder="1" applyAlignment="1">
      <alignment horizontal="center" vertical="center" wrapText="1"/>
    </xf>
    <xf numFmtId="3" fontId="94" fillId="74" borderId="1" xfId="61204" applyNumberFormat="1" applyFont="1" applyFill="1" applyBorder="1" applyAlignment="1">
      <alignment horizontal="center" vertical="center" wrapText="1"/>
    </xf>
    <xf numFmtId="3" fontId="94" fillId="74" borderId="43" xfId="61204" applyNumberFormat="1" applyFont="1" applyFill="1" applyBorder="1" applyAlignment="1">
      <alignment horizontal="center" vertical="center"/>
    </xf>
    <xf numFmtId="4" fontId="85" fillId="74" borderId="29" xfId="61204" applyNumberFormat="1" applyFont="1" applyFill="1" applyBorder="1" applyAlignment="1">
      <alignment vertical="center" wrapText="1"/>
    </xf>
    <xf numFmtId="3" fontId="84" fillId="74" borderId="42" xfId="61204" applyNumberFormat="1" applyFont="1" applyFill="1" applyBorder="1" applyAlignment="1">
      <alignment horizontal="center" vertical="center" wrapText="1"/>
    </xf>
    <xf numFmtId="3" fontId="84" fillId="74" borderId="43" xfId="61204" applyNumberFormat="1" applyFont="1" applyFill="1" applyBorder="1" applyAlignment="1">
      <alignment horizontal="center" vertical="center"/>
    </xf>
    <xf numFmtId="0" fontId="84" fillId="74" borderId="44" xfId="61204" applyFont="1" applyFill="1" applyBorder="1" applyAlignment="1">
      <alignment horizontal="center" vertical="center"/>
    </xf>
    <xf numFmtId="49" fontId="84" fillId="74" borderId="45" xfId="61204" applyNumberFormat="1" applyFont="1" applyFill="1" applyBorder="1" applyAlignment="1">
      <alignment horizontal="center" vertical="center"/>
    </xf>
    <xf numFmtId="3" fontId="84" fillId="74" borderId="45" xfId="61204" applyNumberFormat="1" applyFont="1" applyFill="1" applyBorder="1" applyAlignment="1">
      <alignment horizontal="left" vertical="center"/>
    </xf>
    <xf numFmtId="3" fontId="84" fillId="74" borderId="46" xfId="61204" applyNumberFormat="1" applyFont="1" applyFill="1" applyBorder="1" applyAlignment="1">
      <alignment horizontal="center" vertical="center"/>
    </xf>
    <xf numFmtId="3" fontId="84" fillId="74" borderId="3" xfId="61204" applyNumberFormat="1" applyFont="1" applyFill="1" applyBorder="1" applyAlignment="1">
      <alignment horizontal="center" vertical="center"/>
    </xf>
    <xf numFmtId="3" fontId="84" fillId="74" borderId="47" xfId="61204" applyNumberFormat="1" applyFont="1" applyFill="1" applyBorder="1" applyAlignment="1">
      <alignment horizontal="center" vertical="center"/>
    </xf>
    <xf numFmtId="0" fontId="84" fillId="74" borderId="41" xfId="61204" applyFont="1" applyFill="1" applyBorder="1" applyAlignment="1">
      <alignment horizontal="center" vertical="center"/>
    </xf>
    <xf numFmtId="49" fontId="84" fillId="74" borderId="48" xfId="61204" applyNumberFormat="1" applyFont="1" applyFill="1" applyBorder="1" applyAlignment="1">
      <alignment horizontal="center" vertical="center"/>
    </xf>
    <xf numFmtId="3" fontId="84" fillId="74" borderId="48" xfId="61204" applyNumberFormat="1" applyFont="1" applyFill="1" applyBorder="1" applyAlignment="1">
      <alignment horizontal="left" vertical="center"/>
    </xf>
    <xf numFmtId="3" fontId="84" fillId="74" borderId="42" xfId="61204" applyNumberFormat="1" applyFont="1" applyFill="1" applyBorder="1" applyAlignment="1">
      <alignment horizontal="center" vertical="center"/>
    </xf>
    <xf numFmtId="3" fontId="84" fillId="74" borderId="1" xfId="61204" applyNumberFormat="1" applyFont="1" applyFill="1" applyBorder="1" applyAlignment="1">
      <alignment horizontal="center" vertical="center"/>
    </xf>
    <xf numFmtId="3" fontId="86" fillId="74" borderId="1" xfId="61204" applyNumberFormat="1" applyFont="1" applyFill="1" applyBorder="1" applyAlignment="1">
      <alignment horizontal="center" vertical="center"/>
    </xf>
    <xf numFmtId="4" fontId="84" fillId="74" borderId="43" xfId="61204" applyNumberFormat="1" applyFont="1" applyFill="1" applyBorder="1" applyAlignment="1">
      <alignment horizontal="center" vertical="center"/>
    </xf>
    <xf numFmtId="49" fontId="84" fillId="74" borderId="41" xfId="61204" applyNumberFormat="1" applyFont="1" applyFill="1" applyBorder="1" applyAlignment="1">
      <alignment horizontal="center" vertical="center"/>
    </xf>
    <xf numFmtId="3" fontId="84" fillId="74" borderId="41" xfId="61204" applyNumberFormat="1" applyFont="1" applyFill="1" applyBorder="1" applyAlignment="1">
      <alignment horizontal="left" vertical="center"/>
    </xf>
    <xf numFmtId="4" fontId="84" fillId="74" borderId="41" xfId="61205" applyNumberFormat="1" applyFont="1" applyFill="1" applyBorder="1" applyAlignment="1">
      <alignment vertical="center" wrapText="1"/>
    </xf>
    <xf numFmtId="3" fontId="84" fillId="74" borderId="48" xfId="61204" applyNumberFormat="1" applyFont="1" applyFill="1" applyBorder="1" applyAlignment="1">
      <alignment horizontal="left" vertical="center" wrapText="1"/>
    </xf>
    <xf numFmtId="0" fontId="25" fillId="74" borderId="28" xfId="58756" applyFont="1" applyFill="1" applyBorder="1" applyAlignment="1">
      <alignment horizontal="left" vertical="center" wrapText="1"/>
    </xf>
    <xf numFmtId="3" fontId="25" fillId="74" borderId="3" xfId="61204" applyNumberFormat="1" applyFont="1" applyFill="1" applyBorder="1" applyAlignment="1">
      <alignment horizontal="center" vertical="center" wrapText="1"/>
    </xf>
    <xf numFmtId="0" fontId="83" fillId="74" borderId="1" xfId="18" applyFont="1" applyFill="1" applyBorder="1" applyAlignment="1">
      <alignment horizontal="center" vertical="center" wrapText="1"/>
    </xf>
    <xf numFmtId="0" fontId="87" fillId="74" borderId="1" xfId="18" applyFont="1" applyFill="1" applyBorder="1" applyAlignment="1">
      <alignment horizontal="left" vertical="center" wrapText="1"/>
    </xf>
    <xf numFmtId="49" fontId="83" fillId="74" borderId="1" xfId="18" applyNumberFormat="1" applyFont="1" applyFill="1" applyBorder="1" applyAlignment="1">
      <alignment horizontal="center" vertical="center" wrapText="1"/>
    </xf>
    <xf numFmtId="49" fontId="25" fillId="74" borderId="1" xfId="18" applyNumberFormat="1" applyFont="1" applyFill="1" applyBorder="1" applyAlignment="1">
      <alignment horizontal="center" vertical="center" wrapText="1"/>
    </xf>
    <xf numFmtId="0" fontId="25" fillId="74" borderId="1" xfId="18" applyFont="1" applyFill="1" applyBorder="1" applyAlignment="1">
      <alignment horizontal="left" vertical="center" wrapText="1"/>
    </xf>
    <xf numFmtId="3" fontId="25" fillId="74" borderId="1" xfId="61204" applyNumberFormat="1" applyFont="1" applyFill="1" applyBorder="1" applyAlignment="1">
      <alignment horizontal="center" vertical="center"/>
    </xf>
    <xf numFmtId="0" fontId="25" fillId="74" borderId="28" xfId="18" applyFont="1" applyFill="1" applyBorder="1" applyAlignment="1">
      <alignment horizontal="left" vertical="center" wrapText="1"/>
    </xf>
    <xf numFmtId="0" fontId="86" fillId="74" borderId="0" xfId="61204" applyFont="1" applyFill="1" applyAlignment="1">
      <alignment horizontal="center" vertical="center"/>
    </xf>
    <xf numFmtId="0" fontId="86" fillId="74" borderId="3" xfId="61204" applyFont="1" applyFill="1" applyBorder="1" applyAlignment="1">
      <alignment horizontal="center" vertical="center" wrapText="1"/>
    </xf>
    <xf numFmtId="0" fontId="88" fillId="74" borderId="3" xfId="61206" applyFont="1" applyFill="1" applyBorder="1" applyAlignment="1">
      <alignment horizontal="left" vertical="center" wrapText="1"/>
    </xf>
    <xf numFmtId="3" fontId="88" fillId="74" borderId="3" xfId="61204" applyNumberFormat="1" applyFont="1" applyFill="1" applyBorder="1" applyAlignment="1">
      <alignment horizontal="center" vertical="center" wrapText="1"/>
    </xf>
    <xf numFmtId="0" fontId="88" fillId="74" borderId="3" xfId="61204" applyFont="1" applyFill="1" applyBorder="1" applyAlignment="1">
      <alignment horizontal="center" vertical="center" wrapText="1"/>
    </xf>
    <xf numFmtId="0" fontId="86" fillId="74" borderId="0" xfId="61204" applyFont="1" applyFill="1" applyAlignment="1">
      <alignment horizontal="left" vertical="center"/>
    </xf>
    <xf numFmtId="0" fontId="89" fillId="74" borderId="0" xfId="61204" applyFont="1" applyFill="1" applyAlignment="1">
      <alignment horizontal="center" vertical="center"/>
    </xf>
    <xf numFmtId="0" fontId="73" fillId="74" borderId="0" xfId="58718" applyFill="1" applyAlignment="1">
      <alignment horizontal="center" vertical="center"/>
    </xf>
    <xf numFmtId="0" fontId="73" fillId="74" borderId="0" xfId="58718" applyFill="1" applyBorder="1" applyAlignment="1">
      <alignment horizontal="left" vertical="center"/>
    </xf>
    <xf numFmtId="0" fontId="99" fillId="74" borderId="0" xfId="58718" applyFont="1" applyFill="1" applyBorder="1" applyAlignment="1">
      <alignment horizontal="center" vertical="center"/>
    </xf>
    <xf numFmtId="0" fontId="73" fillId="74" borderId="0" xfId="58718" applyFont="1" applyFill="1" applyAlignment="1">
      <alignment horizontal="center" vertical="center"/>
    </xf>
    <xf numFmtId="0" fontId="73" fillId="74" borderId="49" xfId="58718" applyFill="1" applyBorder="1" applyAlignment="1">
      <alignment vertical="center"/>
    </xf>
    <xf numFmtId="0" fontId="100" fillId="74" borderId="0" xfId="58718" applyFont="1" applyFill="1" applyAlignment="1">
      <alignment horizontal="center" vertical="center"/>
    </xf>
    <xf numFmtId="0" fontId="102" fillId="74" borderId="1" xfId="58718" applyFont="1" applyFill="1" applyBorder="1" applyAlignment="1">
      <alignment horizontal="center" vertical="center" wrapText="1"/>
    </xf>
    <xf numFmtId="0" fontId="104" fillId="74" borderId="1" xfId="58718" applyFont="1" applyFill="1" applyBorder="1" applyAlignment="1">
      <alignment horizontal="center" vertical="center" wrapText="1"/>
    </xf>
    <xf numFmtId="0" fontId="100" fillId="74" borderId="1" xfId="58718" applyFont="1" applyFill="1" applyBorder="1" applyAlignment="1">
      <alignment horizontal="center" vertical="center" wrapText="1"/>
    </xf>
    <xf numFmtId="3" fontId="100" fillId="74" borderId="46" xfId="58718" applyNumberFormat="1" applyFont="1" applyFill="1" applyBorder="1" applyAlignment="1">
      <alignment horizontal="center" vertical="center" wrapText="1"/>
    </xf>
    <xf numFmtId="3" fontId="100" fillId="74" borderId="58" xfId="58718" applyNumberFormat="1" applyFont="1" applyFill="1" applyBorder="1" applyAlignment="1">
      <alignment horizontal="center" vertical="center" wrapText="1"/>
    </xf>
    <xf numFmtId="3" fontId="94" fillId="74" borderId="1" xfId="58718" applyNumberFormat="1" applyFont="1" applyFill="1" applyBorder="1" applyAlignment="1">
      <alignment vertical="center"/>
    </xf>
    <xf numFmtId="3" fontId="84" fillId="74" borderId="46" xfId="58718" applyNumberFormat="1" applyFont="1" applyFill="1" applyBorder="1" applyAlignment="1">
      <alignment horizontal="center" vertical="center" wrapText="1"/>
    </xf>
    <xf numFmtId="3" fontId="100" fillId="74" borderId="3" xfId="58718" applyNumberFormat="1" applyFont="1" applyFill="1" applyBorder="1" applyAlignment="1">
      <alignment horizontal="center" vertical="center" wrapText="1"/>
    </xf>
    <xf numFmtId="3" fontId="104" fillId="74" borderId="1" xfId="58718" applyNumberFormat="1" applyFont="1" applyFill="1" applyBorder="1" applyAlignment="1">
      <alignment horizontal="center" vertical="center" wrapText="1"/>
    </xf>
    <xf numFmtId="3" fontId="100" fillId="74" borderId="1" xfId="58718" applyNumberFormat="1" applyFont="1" applyFill="1" applyBorder="1" applyAlignment="1">
      <alignment horizontal="center" vertical="center" wrapText="1"/>
    </xf>
    <xf numFmtId="3" fontId="101" fillId="74" borderId="47" xfId="58718" applyNumberFormat="1" applyFont="1" applyFill="1" applyBorder="1" applyAlignment="1">
      <alignment horizontal="center" vertical="center"/>
    </xf>
    <xf numFmtId="3" fontId="25" fillId="74" borderId="46" xfId="58718" applyNumberFormat="1" applyFont="1" applyFill="1" applyBorder="1" applyAlignment="1">
      <alignment horizontal="center" vertical="center" wrapText="1"/>
    </xf>
    <xf numFmtId="3" fontId="25" fillId="74" borderId="3" xfId="58718" applyNumberFormat="1" applyFont="1" applyFill="1" applyBorder="1" applyAlignment="1">
      <alignment horizontal="center" vertical="center" wrapText="1"/>
    </xf>
    <xf numFmtId="3" fontId="101" fillId="74" borderId="47" xfId="58718" applyNumberFormat="1" applyFont="1" applyFill="1" applyBorder="1" applyAlignment="1">
      <alignment horizontal="center" vertical="center" wrapText="1"/>
    </xf>
    <xf numFmtId="3" fontId="104" fillId="74" borderId="46" xfId="58718" applyNumberFormat="1" applyFont="1" applyFill="1" applyBorder="1" applyAlignment="1">
      <alignment horizontal="center" vertical="center" wrapText="1"/>
    </xf>
    <xf numFmtId="3" fontId="104" fillId="74" borderId="3" xfId="58718" applyNumberFormat="1" applyFont="1" applyFill="1" applyBorder="1" applyAlignment="1">
      <alignment horizontal="center" vertical="center" wrapText="1"/>
    </xf>
    <xf numFmtId="3" fontId="100" fillId="74" borderId="0" xfId="58718" applyNumberFormat="1" applyFont="1" applyFill="1" applyAlignment="1">
      <alignment horizontal="center" vertical="center"/>
    </xf>
    <xf numFmtId="3" fontId="85" fillId="74" borderId="29" xfId="58718" applyNumberFormat="1" applyFont="1" applyFill="1" applyBorder="1" applyAlignment="1">
      <alignment vertical="center" wrapText="1"/>
    </xf>
    <xf numFmtId="3" fontId="104" fillId="74" borderId="43" xfId="58718" applyNumberFormat="1" applyFont="1" applyFill="1" applyBorder="1" applyAlignment="1">
      <alignment horizontal="center" vertical="center" wrapText="1"/>
    </xf>
    <xf numFmtId="0" fontId="100" fillId="74" borderId="46" xfId="58718" applyFont="1" applyFill="1" applyBorder="1" applyAlignment="1">
      <alignment horizontal="center" vertical="center"/>
    </xf>
    <xf numFmtId="0" fontId="100" fillId="74" borderId="58" xfId="58718" applyFont="1" applyFill="1" applyBorder="1" applyAlignment="1">
      <alignment horizontal="left" vertical="center" wrapText="1"/>
    </xf>
    <xf numFmtId="0" fontId="100" fillId="74" borderId="1" xfId="58718" applyFont="1" applyFill="1" applyBorder="1" applyAlignment="1">
      <alignment horizontal="left" vertical="center" wrapText="1"/>
    </xf>
    <xf numFmtId="3" fontId="100" fillId="74" borderId="1" xfId="58718" applyNumberFormat="1" applyFont="1" applyFill="1" applyBorder="1" applyAlignment="1">
      <alignment horizontal="center" vertical="center"/>
    </xf>
    <xf numFmtId="3" fontId="100" fillId="74" borderId="47" xfId="58718" applyNumberFormat="1" applyFont="1" applyFill="1" applyBorder="1" applyAlignment="1">
      <alignment horizontal="center" vertical="center"/>
    </xf>
    <xf numFmtId="3" fontId="84" fillId="74" borderId="3" xfId="58718" applyNumberFormat="1" applyFont="1" applyFill="1" applyBorder="1" applyAlignment="1">
      <alignment horizontal="center" vertical="center" wrapText="1"/>
    </xf>
    <xf numFmtId="3" fontId="100" fillId="74" borderId="47" xfId="58718" applyNumberFormat="1" applyFont="1" applyFill="1" applyBorder="1" applyAlignment="1">
      <alignment horizontal="center" vertical="center" wrapText="1"/>
    </xf>
    <xf numFmtId="3" fontId="100" fillId="74" borderId="59" xfId="58718" applyNumberFormat="1" applyFont="1" applyFill="1" applyBorder="1" applyAlignment="1">
      <alignment horizontal="center" vertical="center" wrapText="1"/>
    </xf>
    <xf numFmtId="49" fontId="100" fillId="74" borderId="58" xfId="58718" applyNumberFormat="1" applyFont="1" applyFill="1" applyBorder="1" applyAlignment="1">
      <alignment horizontal="left" vertical="center" wrapText="1"/>
    </xf>
    <xf numFmtId="0" fontId="73" fillId="74" borderId="0" xfId="58718" applyFont="1" applyFill="1" applyBorder="1" applyAlignment="1">
      <alignment horizontal="center" vertical="center"/>
    </xf>
    <xf numFmtId="0" fontId="73" fillId="74" borderId="0" xfId="58718" applyFont="1" applyFill="1" applyBorder="1" applyAlignment="1">
      <alignment horizontal="left" vertical="center"/>
    </xf>
    <xf numFmtId="0" fontId="73" fillId="74" borderId="1" xfId="58718" applyFont="1" applyFill="1" applyBorder="1" applyAlignment="1">
      <alignment horizontal="center" vertical="center"/>
    </xf>
    <xf numFmtId="0" fontId="73" fillId="74" borderId="0" xfId="58718" applyFill="1" applyBorder="1" applyAlignment="1">
      <alignment horizontal="center" vertical="center"/>
    </xf>
    <xf numFmtId="0" fontId="73" fillId="74" borderId="1" xfId="58718" applyFill="1" applyBorder="1" applyAlignment="1">
      <alignment horizontal="left" vertical="center"/>
    </xf>
    <xf numFmtId="0" fontId="105" fillId="74" borderId="0" xfId="61206" applyFont="1" applyFill="1" applyAlignment="1">
      <alignment vertical="center"/>
    </xf>
    <xf numFmtId="0" fontId="105" fillId="74" borderId="0" xfId="61206" applyFont="1" applyFill="1" applyBorder="1" applyAlignment="1">
      <alignment horizontal="center" vertical="center"/>
    </xf>
    <xf numFmtId="0" fontId="105" fillId="74" borderId="0" xfId="61206" applyFont="1" applyFill="1" applyBorder="1" applyAlignment="1">
      <alignment horizontal="right" vertical="center"/>
    </xf>
    <xf numFmtId="3" fontId="105" fillId="74" borderId="0" xfId="61206" applyNumberFormat="1" applyFont="1" applyFill="1" applyBorder="1" applyAlignment="1">
      <alignment horizontal="center" vertical="center"/>
    </xf>
    <xf numFmtId="0" fontId="105" fillId="74" borderId="0" xfId="61206" applyFont="1" applyFill="1" applyBorder="1" applyAlignment="1">
      <alignment vertical="center"/>
    </xf>
    <xf numFmtId="0" fontId="107" fillId="74" borderId="0" xfId="61206" applyFont="1" applyFill="1" applyBorder="1" applyAlignment="1">
      <alignment vertical="center"/>
    </xf>
    <xf numFmtId="3" fontId="107" fillId="74" borderId="0" xfId="61206" applyNumberFormat="1" applyFont="1" applyFill="1" applyBorder="1" applyAlignment="1">
      <alignment horizontal="center" vertical="center"/>
    </xf>
    <xf numFmtId="0" fontId="105" fillId="74" borderId="0" xfId="61206" applyFont="1" applyFill="1" applyAlignment="1">
      <alignment horizontal="center" vertical="center"/>
    </xf>
    <xf numFmtId="3" fontId="105" fillId="74" borderId="0" xfId="61206" applyNumberFormat="1" applyFont="1" applyFill="1" applyAlignment="1">
      <alignment horizontal="center" vertical="center"/>
    </xf>
    <xf numFmtId="3" fontId="105" fillId="74" borderId="60" xfId="61206" applyNumberFormat="1" applyFont="1" applyFill="1" applyBorder="1" applyAlignment="1">
      <alignment horizontal="center" vertical="center" wrapText="1" shrinkToFit="1"/>
    </xf>
    <xf numFmtId="3" fontId="105" fillId="74" borderId="62" xfId="61206" applyNumberFormat="1" applyFont="1" applyFill="1" applyBorder="1" applyAlignment="1">
      <alignment horizontal="center" vertical="center" wrapText="1" shrinkToFit="1"/>
    </xf>
    <xf numFmtId="3" fontId="105" fillId="74" borderId="41" xfId="61206" applyNumberFormat="1" applyFont="1" applyFill="1" applyBorder="1" applyAlignment="1">
      <alignment horizontal="center" vertical="center" wrapText="1"/>
    </xf>
    <xf numFmtId="0" fontId="105" fillId="74" borderId="1" xfId="61206" applyFont="1" applyFill="1" applyBorder="1" applyAlignment="1">
      <alignment horizontal="center" vertical="center" wrapText="1"/>
    </xf>
    <xf numFmtId="0" fontId="105" fillId="74" borderId="1" xfId="61206" applyFont="1" applyFill="1" applyBorder="1" applyAlignment="1">
      <alignment horizontal="left" vertical="center" wrapText="1"/>
    </xf>
    <xf numFmtId="0" fontId="105" fillId="74" borderId="43" xfId="61206" applyFont="1" applyFill="1" applyBorder="1" applyAlignment="1">
      <alignment horizontal="left" vertical="center" wrapText="1"/>
    </xf>
    <xf numFmtId="3" fontId="105" fillId="74" borderId="30" xfId="61206" applyNumberFormat="1" applyFont="1" applyFill="1" applyBorder="1" applyAlignment="1">
      <alignment horizontal="center" vertical="center" wrapText="1" shrinkToFit="1"/>
    </xf>
    <xf numFmtId="3" fontId="105" fillId="74" borderId="1" xfId="61206" applyNumberFormat="1" applyFont="1" applyFill="1" applyBorder="1" applyAlignment="1">
      <alignment horizontal="center" vertical="center" wrapText="1" shrinkToFit="1"/>
    </xf>
    <xf numFmtId="0" fontId="105" fillId="74" borderId="28" xfId="61206" applyFont="1" applyFill="1" applyBorder="1" applyAlignment="1">
      <alignment horizontal="center" vertical="center" wrapText="1"/>
    </xf>
    <xf numFmtId="3" fontId="105" fillId="74" borderId="41" xfId="61206" applyNumberFormat="1" applyFont="1" applyFill="1" applyBorder="1" applyAlignment="1">
      <alignment horizontal="center" vertical="center"/>
    </xf>
    <xf numFmtId="0" fontId="105" fillId="74" borderId="30" xfId="61206" applyFont="1" applyFill="1" applyBorder="1" applyAlignment="1">
      <alignment horizontal="center" vertical="center" wrapText="1"/>
    </xf>
    <xf numFmtId="0" fontId="105" fillId="74" borderId="62" xfId="61206" applyFont="1" applyFill="1" applyBorder="1" applyAlignment="1">
      <alignment horizontal="center" vertical="center" wrapText="1"/>
    </xf>
    <xf numFmtId="0" fontId="105" fillId="74" borderId="62" xfId="61206" applyFont="1" applyFill="1" applyBorder="1" applyAlignment="1">
      <alignment horizontal="left" vertical="center" wrapText="1"/>
    </xf>
    <xf numFmtId="0" fontId="105" fillId="74" borderId="63" xfId="61206" applyFont="1" applyFill="1" applyBorder="1" applyAlignment="1">
      <alignment horizontal="left" vertical="center" wrapText="1"/>
    </xf>
    <xf numFmtId="3" fontId="105" fillId="74" borderId="68" xfId="61206" applyNumberFormat="1" applyFont="1" applyFill="1" applyBorder="1" applyAlignment="1">
      <alignment horizontal="center" vertical="center" wrapText="1"/>
    </xf>
    <xf numFmtId="0" fontId="84" fillId="74" borderId="0" xfId="61207" applyFont="1" applyFill="1"/>
    <xf numFmtId="0" fontId="94" fillId="74" borderId="27" xfId="61207" applyFont="1" applyFill="1" applyBorder="1" applyAlignment="1">
      <alignment horizontal="center" vertical="center" wrapText="1"/>
    </xf>
    <xf numFmtId="0" fontId="94" fillId="74" borderId="0" xfId="61207" applyFont="1" applyFill="1" applyBorder="1" applyAlignment="1">
      <alignment horizontal="center" vertical="center" wrapText="1"/>
    </xf>
    <xf numFmtId="0" fontId="84" fillId="74" borderId="0" xfId="61207" applyFont="1" applyFill="1" applyBorder="1" applyAlignment="1">
      <alignment wrapText="1"/>
    </xf>
    <xf numFmtId="0" fontId="105" fillId="74" borderId="0" xfId="61207" applyFont="1" applyFill="1"/>
    <xf numFmtId="0" fontId="105" fillId="74" borderId="0" xfId="61207" applyFont="1" applyFill="1" applyAlignment="1">
      <alignment horizontal="center" vertical="top"/>
    </xf>
    <xf numFmtId="0" fontId="25" fillId="74" borderId="28" xfId="61207" applyFont="1" applyFill="1" applyBorder="1" applyAlignment="1">
      <alignment horizontal="center" vertical="top" wrapText="1"/>
    </xf>
    <xf numFmtId="0" fontId="25" fillId="74" borderId="1" xfId="61207" applyFont="1" applyFill="1" applyBorder="1" applyAlignment="1">
      <alignment horizontal="center" vertical="top" wrapText="1"/>
    </xf>
    <xf numFmtId="3" fontId="108" fillId="74" borderId="3" xfId="61208" applyNumberFormat="1" applyFont="1" applyFill="1" applyBorder="1" applyAlignment="1">
      <alignment horizontal="center" vertical="center" wrapText="1"/>
    </xf>
    <xf numFmtId="3" fontId="109" fillId="74" borderId="3" xfId="61208" applyNumberFormat="1" applyFont="1" applyFill="1" applyBorder="1" applyAlignment="1">
      <alignment horizontal="center" vertical="center" wrapText="1"/>
    </xf>
    <xf numFmtId="0" fontId="109" fillId="74" borderId="3" xfId="61208" applyFont="1" applyFill="1" applyBorder="1" applyAlignment="1">
      <alignment horizontal="center" vertical="center" wrapText="1"/>
    </xf>
    <xf numFmtId="3" fontId="25" fillId="74" borderId="3" xfId="61208" applyNumberFormat="1" applyFont="1" applyFill="1" applyBorder="1" applyAlignment="1">
      <alignment horizontal="center" vertical="center" wrapText="1"/>
    </xf>
    <xf numFmtId="0" fontId="84" fillId="74" borderId="1" xfId="61207" applyFont="1" applyFill="1" applyBorder="1" applyAlignment="1">
      <alignment horizontal="center" vertical="center"/>
    </xf>
    <xf numFmtId="0" fontId="84" fillId="74" borderId="30" xfId="61207" applyFont="1" applyFill="1" applyBorder="1" applyAlignment="1">
      <alignment horizontal="center" vertical="center"/>
    </xf>
    <xf numFmtId="4" fontId="84" fillId="74" borderId="30" xfId="61207" applyNumberFormat="1" applyFont="1" applyFill="1" applyBorder="1" applyAlignment="1">
      <alignment vertical="center" wrapText="1"/>
    </xf>
    <xf numFmtId="3" fontId="84" fillId="74" borderId="1" xfId="61207" applyNumberFormat="1" applyFont="1" applyFill="1" applyBorder="1" applyAlignment="1">
      <alignment horizontal="center" vertical="center" wrapText="1"/>
    </xf>
    <xf numFmtId="3" fontId="84" fillId="74" borderId="3" xfId="61207" applyNumberFormat="1" applyFont="1" applyFill="1" applyBorder="1" applyAlignment="1">
      <alignment horizontal="center" vertical="center" wrapText="1"/>
    </xf>
    <xf numFmtId="4" fontId="84" fillId="74" borderId="30" xfId="61209" applyNumberFormat="1" applyFont="1" applyFill="1" applyBorder="1" applyAlignment="1">
      <alignment vertical="center" wrapText="1"/>
    </xf>
    <xf numFmtId="4" fontId="84" fillId="74" borderId="30" xfId="61209" applyNumberFormat="1" applyFont="1" applyFill="1" applyBorder="1" applyAlignment="1">
      <alignment horizontal="left" vertical="center" wrapText="1"/>
    </xf>
    <xf numFmtId="4" fontId="84" fillId="74" borderId="30" xfId="61207" applyNumberFormat="1" applyFont="1" applyFill="1" applyBorder="1" applyAlignment="1">
      <alignment horizontal="left" vertical="center" wrapText="1"/>
    </xf>
    <xf numFmtId="4" fontId="84" fillId="74" borderId="30" xfId="16" applyNumberFormat="1" applyFont="1" applyFill="1" applyBorder="1" applyAlignment="1">
      <alignment horizontal="left" vertical="center" wrapText="1"/>
    </xf>
    <xf numFmtId="3" fontId="84" fillId="74" borderId="30" xfId="61207" applyNumberFormat="1" applyFont="1" applyFill="1" applyBorder="1" applyAlignment="1">
      <alignment vertical="center" wrapText="1"/>
    </xf>
    <xf numFmtId="0" fontId="110" fillId="74" borderId="0" xfId="61207" applyFont="1" applyFill="1"/>
    <xf numFmtId="4" fontId="84" fillId="75" borderId="30" xfId="61207" applyNumberFormat="1" applyFont="1" applyFill="1" applyBorder="1" applyAlignment="1">
      <alignment vertical="center" wrapText="1"/>
    </xf>
    <xf numFmtId="3" fontId="84" fillId="75" borderId="1" xfId="61207" applyNumberFormat="1" applyFont="1" applyFill="1" applyBorder="1" applyAlignment="1">
      <alignment horizontal="center" vertical="center" wrapText="1"/>
    </xf>
    <xf numFmtId="3" fontId="84" fillId="75" borderId="30" xfId="61207" applyNumberFormat="1" applyFont="1" applyFill="1" applyBorder="1" applyAlignment="1">
      <alignment vertical="center" wrapText="1"/>
    </xf>
    <xf numFmtId="0" fontId="86" fillId="74" borderId="0" xfId="61207" applyFont="1" applyFill="1"/>
    <xf numFmtId="0" fontId="110" fillId="74" borderId="0" xfId="61207" applyFont="1" applyFill="1" applyAlignment="1">
      <alignment vertical="center"/>
    </xf>
    <xf numFmtId="0" fontId="84" fillId="74" borderId="71" xfId="61207" applyFont="1" applyFill="1" applyBorder="1" applyAlignment="1">
      <alignment horizontal="center" vertical="center"/>
    </xf>
    <xf numFmtId="4" fontId="84" fillId="74" borderId="71" xfId="61207" applyNumberFormat="1" applyFont="1" applyFill="1" applyBorder="1" applyAlignment="1">
      <alignment vertical="center" wrapText="1"/>
    </xf>
    <xf numFmtId="4" fontId="84" fillId="74" borderId="1" xfId="61207" applyNumberFormat="1" applyFont="1" applyFill="1" applyBorder="1" applyAlignment="1">
      <alignment vertical="center" wrapText="1"/>
    </xf>
    <xf numFmtId="0" fontId="84" fillId="74" borderId="39" xfId="61207" applyFont="1" applyFill="1" applyBorder="1" applyAlignment="1">
      <alignment horizontal="center" vertical="center"/>
    </xf>
    <xf numFmtId="3" fontId="84" fillId="74" borderId="39" xfId="61207" applyNumberFormat="1" applyFont="1" applyFill="1" applyBorder="1" applyAlignment="1">
      <alignment horizontal="center" vertical="center" wrapText="1"/>
    </xf>
    <xf numFmtId="3" fontId="84" fillId="74" borderId="2" xfId="61207" applyNumberFormat="1" applyFont="1" applyFill="1" applyBorder="1" applyAlignment="1">
      <alignment horizontal="center" vertical="center" wrapText="1"/>
    </xf>
    <xf numFmtId="0" fontId="84" fillId="74" borderId="29" xfId="61207" applyFont="1" applyFill="1" applyBorder="1" applyAlignment="1">
      <alignment horizontal="center" vertical="center"/>
    </xf>
    <xf numFmtId="4" fontId="84" fillId="74" borderId="29" xfId="61207" applyNumberFormat="1" applyFont="1" applyFill="1" applyBorder="1" applyAlignment="1">
      <alignment vertical="center" wrapText="1"/>
    </xf>
    <xf numFmtId="3" fontId="84" fillId="74" borderId="29" xfId="61207" applyNumberFormat="1" applyFont="1" applyFill="1" applyBorder="1" applyAlignment="1">
      <alignment horizontal="center" vertical="center" wrapText="1"/>
    </xf>
    <xf numFmtId="0" fontId="84" fillId="74" borderId="0" xfId="61207" applyFont="1" applyFill="1" applyBorder="1"/>
    <xf numFmtId="3" fontId="84" fillId="74" borderId="0" xfId="61207" applyNumberFormat="1" applyFont="1" applyFill="1" applyAlignment="1">
      <alignment horizontal="center"/>
    </xf>
    <xf numFmtId="3" fontId="111" fillId="74" borderId="0" xfId="61210" applyNumberFormat="1" applyFont="1" applyFill="1" applyAlignment="1">
      <alignment horizontal="center" vertical="center" wrapText="1"/>
    </xf>
    <xf numFmtId="3" fontId="112" fillId="74" borderId="0" xfId="61210" applyNumberFormat="1" applyFont="1" applyFill="1" applyAlignment="1">
      <alignment horizontal="left" vertical="center" wrapText="1"/>
    </xf>
    <xf numFmtId="3" fontId="113" fillId="74" borderId="0" xfId="61210" applyNumberFormat="1" applyFont="1" applyFill="1" applyAlignment="1">
      <alignment horizontal="center" vertical="center" wrapText="1"/>
    </xf>
    <xf numFmtId="3" fontId="111" fillId="74" borderId="0" xfId="61210" applyNumberFormat="1" applyFont="1" applyFill="1" applyAlignment="1">
      <alignment horizontal="center" vertical="center"/>
    </xf>
    <xf numFmtId="3" fontId="114" fillId="74" borderId="0" xfId="61210" applyNumberFormat="1" applyFont="1" applyFill="1" applyAlignment="1">
      <alignment horizontal="center" vertical="center" wrapText="1"/>
    </xf>
    <xf numFmtId="3" fontId="115" fillId="74" borderId="0" xfId="61210" applyNumberFormat="1" applyFont="1" applyFill="1" applyAlignment="1">
      <alignment horizontal="center" vertical="center"/>
    </xf>
    <xf numFmtId="3" fontId="115" fillId="74" borderId="0" xfId="61210" applyNumberFormat="1" applyFont="1" applyFill="1" applyAlignment="1">
      <alignment horizontal="center" vertical="center" wrapText="1"/>
    </xf>
    <xf numFmtId="3" fontId="116" fillId="74" borderId="0" xfId="61210" applyNumberFormat="1" applyFont="1" applyFill="1" applyAlignment="1">
      <alignment horizontal="right" vertical="center" wrapText="1"/>
    </xf>
    <xf numFmtId="4" fontId="111" fillId="74" borderId="0" xfId="61210" applyNumberFormat="1" applyFont="1" applyFill="1" applyAlignment="1">
      <alignment horizontal="center" vertical="center" wrapText="1"/>
    </xf>
    <xf numFmtId="3" fontId="117" fillId="74" borderId="1" xfId="61210" applyNumberFormat="1" applyFont="1" applyFill="1" applyBorder="1" applyAlignment="1">
      <alignment horizontal="center" vertical="center" wrapText="1"/>
    </xf>
    <xf numFmtId="49" fontId="117" fillId="74" borderId="1" xfId="61210" applyNumberFormat="1" applyFont="1" applyFill="1" applyBorder="1" applyAlignment="1">
      <alignment horizontal="center" vertical="center" wrapText="1"/>
    </xf>
    <xf numFmtId="3" fontId="118" fillId="74" borderId="1" xfId="61210" applyNumberFormat="1" applyFont="1" applyFill="1" applyBorder="1" applyAlignment="1">
      <alignment horizontal="center" vertical="center" wrapText="1"/>
    </xf>
    <xf numFmtId="49" fontId="118" fillId="74" borderId="1" xfId="61210" applyNumberFormat="1" applyFont="1" applyFill="1" applyBorder="1" applyAlignment="1">
      <alignment horizontal="center" vertical="center" wrapText="1"/>
    </xf>
    <xf numFmtId="3" fontId="117" fillId="74" borderId="1" xfId="61210" applyNumberFormat="1" applyFont="1" applyFill="1" applyBorder="1" applyAlignment="1">
      <alignment horizontal="left" vertical="center" wrapText="1"/>
    </xf>
    <xf numFmtId="3" fontId="117" fillId="75" borderId="1" xfId="61210" applyNumberFormat="1" applyFont="1" applyFill="1" applyBorder="1" applyAlignment="1">
      <alignment horizontal="left" vertical="center" wrapText="1"/>
    </xf>
    <xf numFmtId="3" fontId="117" fillId="75" borderId="1" xfId="61210" applyNumberFormat="1" applyFont="1" applyFill="1" applyBorder="1" applyAlignment="1">
      <alignment horizontal="center" vertical="center" wrapText="1"/>
    </xf>
    <xf numFmtId="170" fontId="117" fillId="74" borderId="1" xfId="61210" applyNumberFormat="1" applyFont="1" applyFill="1" applyBorder="1" applyAlignment="1">
      <alignment horizontal="center" vertical="center" wrapText="1"/>
    </xf>
    <xf numFmtId="3" fontId="117" fillId="74" borderId="39" xfId="61210" applyNumberFormat="1" applyFont="1" applyFill="1" applyBorder="1" applyAlignment="1">
      <alignment horizontal="center" vertical="center" wrapText="1"/>
    </xf>
    <xf numFmtId="3" fontId="117" fillId="75" borderId="39" xfId="61210" applyNumberFormat="1" applyFont="1" applyFill="1" applyBorder="1" applyAlignment="1">
      <alignment horizontal="left" vertical="center" wrapText="1"/>
    </xf>
    <xf numFmtId="3" fontId="117" fillId="75" borderId="39" xfId="61210" applyNumberFormat="1" applyFont="1" applyFill="1" applyBorder="1" applyAlignment="1">
      <alignment horizontal="center" vertical="center" wrapText="1"/>
    </xf>
    <xf numFmtId="3" fontId="117" fillId="74" borderId="29" xfId="61210" applyNumberFormat="1" applyFont="1" applyFill="1" applyBorder="1" applyAlignment="1">
      <alignment horizontal="center" vertical="center" wrapText="1"/>
    </xf>
    <xf numFmtId="3" fontId="117" fillId="74" borderId="29" xfId="61210" applyNumberFormat="1" applyFont="1" applyFill="1" applyBorder="1" applyAlignment="1">
      <alignment horizontal="left" vertical="center" wrapText="1"/>
    </xf>
    <xf numFmtId="3" fontId="112" fillId="74" borderId="0" xfId="61210" applyNumberFormat="1" applyFont="1" applyFill="1" applyAlignment="1">
      <alignment horizontal="left" vertical="center"/>
    </xf>
    <xf numFmtId="4" fontId="115" fillId="74" borderId="0" xfId="61210" applyNumberFormat="1" applyFont="1" applyFill="1" applyAlignment="1">
      <alignment horizontal="center" vertical="center"/>
    </xf>
    <xf numFmtId="3" fontId="105" fillId="74" borderId="68" xfId="61206" applyNumberFormat="1" applyFont="1" applyFill="1" applyBorder="1" applyAlignment="1">
      <alignment horizontal="center" vertical="center"/>
    </xf>
    <xf numFmtId="3" fontId="83" fillId="0" borderId="0" xfId="61211" applyNumberFormat="1" applyFont="1" applyFill="1"/>
    <xf numFmtId="3" fontId="83" fillId="0" borderId="39" xfId="61211" applyNumberFormat="1" applyFont="1" applyFill="1" applyBorder="1" applyAlignment="1">
      <alignment horizontal="center" vertical="center" wrapText="1"/>
    </xf>
    <xf numFmtId="3" fontId="109" fillId="0" borderId="39" xfId="61211" applyNumberFormat="1" applyFont="1" applyFill="1" applyBorder="1" applyAlignment="1">
      <alignment horizontal="center" vertical="center" wrapText="1"/>
    </xf>
    <xf numFmtId="3" fontId="109" fillId="0" borderId="1" xfId="61212" applyNumberFormat="1" applyFont="1" applyFill="1" applyBorder="1" applyAlignment="1">
      <alignment horizontal="center" vertical="center" wrapText="1"/>
    </xf>
    <xf numFmtId="3" fontId="120" fillId="0" borderId="1" xfId="61211" applyNumberFormat="1" applyFont="1" applyFill="1" applyBorder="1" applyAlignment="1">
      <alignment horizontal="center" vertical="center" wrapText="1"/>
    </xf>
    <xf numFmtId="3" fontId="120" fillId="0" borderId="1" xfId="61211" applyNumberFormat="1" applyFont="1" applyFill="1" applyBorder="1" applyAlignment="1">
      <alignment horizontal="center" vertical="center"/>
    </xf>
    <xf numFmtId="3" fontId="121" fillId="0" borderId="1" xfId="61211" applyNumberFormat="1" applyFont="1" applyFill="1" applyBorder="1" applyAlignment="1">
      <alignment horizontal="center"/>
    </xf>
    <xf numFmtId="3" fontId="121" fillId="0" borderId="0" xfId="61211" applyNumberFormat="1" applyFont="1" applyFill="1"/>
    <xf numFmtId="3" fontId="122" fillId="0" borderId="1" xfId="61211" applyNumberFormat="1" applyFont="1" applyFill="1" applyBorder="1" applyAlignment="1">
      <alignment horizontal="center" vertical="center"/>
    </xf>
    <xf numFmtId="3" fontId="122" fillId="0" borderId="1" xfId="61211" applyNumberFormat="1" applyFont="1" applyFill="1" applyBorder="1" applyAlignment="1">
      <alignment horizontal="center" vertical="center" wrapText="1"/>
    </xf>
    <xf numFmtId="3" fontId="123" fillId="0" borderId="1" xfId="61211" applyNumberFormat="1" applyFont="1" applyFill="1" applyBorder="1" applyAlignment="1">
      <alignment horizontal="center"/>
    </xf>
    <xf numFmtId="3" fontId="83" fillId="0" borderId="1" xfId="61211" applyNumberFormat="1" applyFont="1" applyFill="1" applyBorder="1" applyAlignment="1">
      <alignment horizontal="center" vertical="center"/>
    </xf>
    <xf numFmtId="3" fontId="86" fillId="0" borderId="1" xfId="7" applyNumberFormat="1" applyFont="1" applyFill="1" applyBorder="1" applyAlignment="1">
      <alignment horizontal="left" vertical="center" wrapText="1"/>
    </xf>
    <xf numFmtId="3" fontId="124" fillId="0" borderId="1" xfId="7" applyNumberFormat="1" applyFont="1" applyFill="1" applyBorder="1" applyAlignment="1">
      <alignment horizontal="left" vertical="center" wrapText="1"/>
    </xf>
    <xf numFmtId="3" fontId="109" fillId="0" borderId="1" xfId="61211" applyNumberFormat="1" applyFont="1" applyFill="1" applyBorder="1" applyAlignment="1">
      <alignment horizontal="center" vertical="center"/>
    </xf>
    <xf numFmtId="3" fontId="83" fillId="0" borderId="1" xfId="61211" applyNumberFormat="1" applyFont="1" applyFill="1" applyBorder="1" applyAlignment="1">
      <alignment horizontal="center"/>
    </xf>
    <xf numFmtId="171" fontId="83" fillId="0" borderId="0" xfId="61211" applyNumberFormat="1" applyFont="1" applyFill="1"/>
    <xf numFmtId="4" fontId="83" fillId="0" borderId="0" xfId="61211" applyNumberFormat="1" applyFont="1" applyFill="1"/>
    <xf numFmtId="4" fontId="121" fillId="0" borderId="0" xfId="61211" applyNumberFormat="1" applyFont="1" applyFill="1"/>
    <xf numFmtId="0" fontId="87" fillId="0" borderId="28" xfId="18" applyFont="1" applyFill="1" applyBorder="1" applyAlignment="1">
      <alignment horizontal="left" vertical="center" wrapText="1"/>
    </xf>
    <xf numFmtId="3" fontId="86" fillId="0" borderId="1" xfId="7" applyNumberFormat="1" applyFont="1" applyFill="1" applyBorder="1" applyAlignment="1">
      <alignment horizontal="left" vertical="center"/>
    </xf>
    <xf numFmtId="3" fontId="84" fillId="0" borderId="1" xfId="7" applyNumberFormat="1" applyFont="1" applyFill="1" applyBorder="1" applyAlignment="1">
      <alignment horizontal="left" vertical="center" wrapText="1"/>
    </xf>
    <xf numFmtId="49" fontId="83" fillId="0" borderId="1" xfId="18" applyNumberFormat="1" applyFont="1" applyFill="1" applyBorder="1" applyAlignment="1">
      <alignment horizontal="left" vertical="center" wrapText="1"/>
    </xf>
    <xf numFmtId="0" fontId="83" fillId="0" borderId="28" xfId="18" applyFont="1" applyFill="1" applyBorder="1" applyAlignment="1">
      <alignment horizontal="left" vertical="center" wrapText="1"/>
    </xf>
    <xf numFmtId="49" fontId="83" fillId="0" borderId="1" xfId="18" applyNumberFormat="1" applyFont="1" applyFill="1" applyBorder="1" applyAlignment="1">
      <alignment vertical="center"/>
    </xf>
    <xf numFmtId="49" fontId="83" fillId="0" borderId="1" xfId="18" applyNumberFormat="1" applyFont="1" applyFill="1" applyBorder="1" applyAlignment="1">
      <alignment vertical="center" wrapText="1"/>
    </xf>
    <xf numFmtId="0" fontId="87" fillId="0" borderId="28" xfId="18" applyFont="1" applyFill="1" applyBorder="1" applyAlignment="1">
      <alignment vertical="center" wrapText="1"/>
    </xf>
    <xf numFmtId="3" fontId="86" fillId="0" borderId="1" xfId="61211" applyNumberFormat="1" applyFont="1" applyFill="1" applyBorder="1" applyAlignment="1">
      <alignment horizontal="left" vertical="center" wrapText="1"/>
    </xf>
    <xf numFmtId="3" fontId="124" fillId="0" borderId="1" xfId="61211" applyNumberFormat="1" applyFont="1" applyFill="1" applyBorder="1" applyAlignment="1">
      <alignment horizontal="left" vertical="center" wrapText="1"/>
    </xf>
    <xf numFmtId="3" fontId="86" fillId="0" borderId="39" xfId="7" applyNumberFormat="1" applyFont="1" applyFill="1" applyBorder="1" applyAlignment="1">
      <alignment horizontal="left" vertical="center"/>
    </xf>
    <xf numFmtId="3" fontId="86" fillId="0" borderId="39" xfId="7" applyNumberFormat="1" applyFont="1" applyFill="1" applyBorder="1" applyAlignment="1">
      <alignment horizontal="left" vertical="center" wrapText="1"/>
    </xf>
    <xf numFmtId="0" fontId="83" fillId="0" borderId="1" xfId="18" applyFont="1" applyFill="1" applyBorder="1" applyAlignment="1">
      <alignment horizontal="left" vertical="center" wrapText="1"/>
    </xf>
    <xf numFmtId="3" fontId="124" fillId="0" borderId="39" xfId="7" applyNumberFormat="1" applyFont="1" applyFill="1" applyBorder="1" applyAlignment="1">
      <alignment horizontal="left" vertical="center" wrapText="1"/>
    </xf>
    <xf numFmtId="49" fontId="83" fillId="0" borderId="1" xfId="18" applyNumberFormat="1" applyFont="1" applyFill="1" applyBorder="1" applyAlignment="1">
      <alignment horizontal="left" vertical="center"/>
    </xf>
    <xf numFmtId="3" fontId="86" fillId="0" borderId="28" xfId="7" applyNumberFormat="1" applyFont="1" applyFill="1" applyBorder="1" applyAlignment="1">
      <alignment horizontal="left" vertical="center" wrapText="1"/>
    </xf>
    <xf numFmtId="49" fontId="83" fillId="0" borderId="1" xfId="0" applyNumberFormat="1" applyFont="1" applyFill="1" applyBorder="1" applyAlignment="1">
      <alignment horizontal="left" vertical="center"/>
    </xf>
    <xf numFmtId="0" fontId="83" fillId="0" borderId="28" xfId="0" applyFont="1" applyFill="1" applyBorder="1" applyAlignment="1">
      <alignment horizontal="left" vertical="center" wrapText="1"/>
    </xf>
    <xf numFmtId="3" fontId="86" fillId="0" borderId="1" xfId="18" applyNumberFormat="1" applyFont="1" applyFill="1" applyBorder="1" applyAlignment="1">
      <alignment horizontal="left" vertical="center" wrapText="1"/>
    </xf>
    <xf numFmtId="49" fontId="83" fillId="0" borderId="28" xfId="18" applyNumberFormat="1" applyFont="1" applyFill="1" applyBorder="1" applyAlignment="1">
      <alignment horizontal="left" vertical="center" wrapText="1"/>
    </xf>
    <xf numFmtId="49" fontId="25" fillId="0" borderId="1" xfId="18" applyNumberFormat="1" applyFont="1" applyFill="1" applyBorder="1" applyAlignment="1">
      <alignment horizontal="left" vertical="center" wrapText="1"/>
    </xf>
    <xf numFmtId="0" fontId="25" fillId="0" borderId="28" xfId="18" applyFont="1" applyFill="1" applyBorder="1" applyAlignment="1">
      <alignment horizontal="left" vertical="center" wrapText="1"/>
    </xf>
    <xf numFmtId="3" fontId="124" fillId="0" borderId="28" xfId="7" applyNumberFormat="1" applyFont="1" applyFill="1" applyBorder="1" applyAlignment="1">
      <alignment horizontal="left" vertical="center" wrapText="1"/>
    </xf>
    <xf numFmtId="3" fontId="84" fillId="0" borderId="28" xfId="7" applyNumberFormat="1" applyFont="1" applyFill="1" applyBorder="1" applyAlignment="1">
      <alignment horizontal="left" vertical="center" wrapText="1"/>
    </xf>
    <xf numFmtId="49" fontId="86" fillId="0" borderId="1" xfId="18" applyNumberFormat="1" applyFont="1" applyFill="1" applyBorder="1" applyAlignment="1">
      <alignment horizontal="left" vertical="center"/>
    </xf>
    <xf numFmtId="0" fontId="86" fillId="0" borderId="28" xfId="18" applyFont="1" applyFill="1" applyBorder="1" applyAlignment="1">
      <alignment horizontal="left" vertical="center" wrapText="1"/>
    </xf>
    <xf numFmtId="3" fontId="83" fillId="0" borderId="0" xfId="61211" applyNumberFormat="1" applyFont="1" applyFill="1" applyAlignment="1">
      <alignment horizontal="center"/>
    </xf>
    <xf numFmtId="0" fontId="83" fillId="0" borderId="0" xfId="61211" applyFont="1" applyFill="1"/>
    <xf numFmtId="0" fontId="109" fillId="0" borderId="2" xfId="61211" applyFont="1" applyFill="1" applyBorder="1" applyAlignment="1">
      <alignment horizontal="center" vertical="center" wrapText="1"/>
    </xf>
    <xf numFmtId="0" fontId="83" fillId="0" borderId="2" xfId="61211" applyFont="1" applyFill="1" applyBorder="1" applyAlignment="1">
      <alignment horizontal="center" vertical="center" wrapText="1"/>
    </xf>
    <xf numFmtId="0" fontId="109" fillId="0" borderId="1" xfId="61211" applyFont="1" applyFill="1" applyBorder="1" applyAlignment="1">
      <alignment horizontal="center" vertical="center" wrapText="1"/>
    </xf>
    <xf numFmtId="0" fontId="120" fillId="0" borderId="1" xfId="61211" applyFont="1" applyFill="1" applyBorder="1" applyAlignment="1">
      <alignment horizontal="center" vertical="center" wrapText="1"/>
    </xf>
    <xf numFmtId="0" fontId="120" fillId="0" borderId="1" xfId="61211" applyFont="1" applyFill="1" applyBorder="1" applyAlignment="1">
      <alignment horizontal="center" vertical="center"/>
    </xf>
    <xf numFmtId="0" fontId="121" fillId="0" borderId="0" xfId="61211" applyFont="1" applyFill="1"/>
    <xf numFmtId="0" fontId="83" fillId="0" borderId="1" xfId="61211" applyFont="1" applyFill="1" applyBorder="1" applyAlignment="1">
      <alignment horizontal="center" vertical="center"/>
    </xf>
    <xf numFmtId="49" fontId="86" fillId="0" borderId="1" xfId="7" applyNumberFormat="1" applyFont="1" applyFill="1" applyBorder="1" applyAlignment="1">
      <alignment horizontal="left" vertical="center" wrapText="1"/>
    </xf>
    <xf numFmtId="0" fontId="124" fillId="0" borderId="28" xfId="7" applyFont="1" applyFill="1" applyBorder="1" applyAlignment="1">
      <alignment horizontal="left" vertical="center" wrapText="1"/>
    </xf>
    <xf numFmtId="0" fontId="86" fillId="0" borderId="1" xfId="7" applyFont="1" applyFill="1" applyBorder="1" applyAlignment="1">
      <alignment horizontal="left" vertical="center" wrapText="1"/>
    </xf>
    <xf numFmtId="49" fontId="86" fillId="0" borderId="1" xfId="7" applyNumberFormat="1" applyFont="1" applyFill="1" applyBorder="1" applyAlignment="1">
      <alignment horizontal="left" vertical="center"/>
    </xf>
    <xf numFmtId="0" fontId="86" fillId="0" borderId="28" xfId="7" applyFont="1" applyFill="1" applyBorder="1" applyAlignment="1">
      <alignment horizontal="left" vertical="center" wrapText="1"/>
    </xf>
    <xf numFmtId="49" fontId="84" fillId="0" borderId="1" xfId="7" applyNumberFormat="1" applyFont="1" applyFill="1" applyBorder="1" applyAlignment="1">
      <alignment horizontal="left" vertical="center" wrapText="1"/>
    </xf>
    <xf numFmtId="0" fontId="84" fillId="0" borderId="28" xfId="7" applyFont="1" applyFill="1" applyBorder="1" applyAlignment="1">
      <alignment horizontal="left" vertical="center" wrapText="1"/>
    </xf>
    <xf numFmtId="49" fontId="86" fillId="0" borderId="1" xfId="61211" applyNumberFormat="1" applyFont="1" applyFill="1" applyBorder="1" applyAlignment="1">
      <alignment horizontal="left" vertical="center" wrapText="1"/>
    </xf>
    <xf numFmtId="0" fontId="124" fillId="0" borderId="28" xfId="61211" applyFont="1" applyFill="1" applyBorder="1" applyAlignment="1">
      <alignment horizontal="left" vertical="center" wrapText="1"/>
    </xf>
    <xf numFmtId="49" fontId="86" fillId="0" borderId="39" xfId="7" applyNumberFormat="1" applyFont="1" applyFill="1" applyBorder="1" applyAlignment="1">
      <alignment horizontal="left" vertical="center"/>
    </xf>
    <xf numFmtId="0" fontId="86" fillId="0" borderId="67" xfId="7" applyFont="1" applyFill="1" applyBorder="1" applyAlignment="1">
      <alignment horizontal="left" vertical="center" wrapText="1"/>
    </xf>
    <xf numFmtId="0" fontId="86" fillId="0" borderId="39" xfId="7" applyFont="1" applyFill="1" applyBorder="1" applyAlignment="1">
      <alignment horizontal="left" vertical="center" wrapText="1"/>
    </xf>
    <xf numFmtId="0" fontId="124" fillId="0" borderId="67" xfId="7" applyFont="1" applyFill="1" applyBorder="1" applyAlignment="1">
      <alignment horizontal="left" vertical="center" wrapText="1"/>
    </xf>
    <xf numFmtId="49" fontId="86" fillId="0" borderId="1" xfId="18" applyNumberFormat="1" applyFont="1" applyFill="1" applyBorder="1" applyAlignment="1">
      <alignment horizontal="left" vertical="center" wrapText="1"/>
    </xf>
    <xf numFmtId="0" fontId="124" fillId="0" borderId="29" xfId="18" applyFont="1" applyFill="1" applyBorder="1" applyAlignment="1">
      <alignment horizontal="left" vertical="center" wrapText="1"/>
    </xf>
    <xf numFmtId="0" fontId="83" fillId="0" borderId="0" xfId="61211" applyFont="1" applyFill="1" applyAlignment="1">
      <alignment horizontal="center"/>
    </xf>
    <xf numFmtId="3" fontId="109" fillId="0" borderId="2" xfId="61211" applyNumberFormat="1" applyFont="1" applyFill="1" applyBorder="1" applyAlignment="1">
      <alignment horizontal="center" vertical="center" wrapText="1"/>
    </xf>
    <xf numFmtId="3" fontId="83" fillId="0" borderId="2" xfId="61211" applyNumberFormat="1" applyFont="1" applyFill="1" applyBorder="1" applyAlignment="1">
      <alignment horizontal="center" vertical="center" wrapText="1"/>
    </xf>
    <xf numFmtId="3" fontId="109" fillId="0" borderId="1" xfId="61211" applyNumberFormat="1" applyFont="1" applyFill="1" applyBorder="1" applyAlignment="1">
      <alignment horizontal="center" vertical="center" wrapText="1"/>
    </xf>
    <xf numFmtId="3" fontId="83" fillId="0" borderId="1" xfId="61211" applyNumberFormat="1" applyFont="1" applyFill="1" applyBorder="1" applyAlignment="1">
      <alignment horizontal="center" vertical="center" wrapText="1"/>
    </xf>
    <xf numFmtId="3" fontId="124" fillId="0" borderId="28" xfId="61211" applyNumberFormat="1" applyFont="1" applyFill="1" applyBorder="1" applyAlignment="1">
      <alignment horizontal="left" vertical="center" wrapText="1"/>
    </xf>
    <xf numFmtId="3" fontId="86" fillId="0" borderId="67" xfId="7" applyNumberFormat="1" applyFont="1" applyFill="1" applyBorder="1" applyAlignment="1">
      <alignment horizontal="left" vertical="center" wrapText="1"/>
    </xf>
    <xf numFmtId="3" fontId="124" fillId="0" borderId="67" xfId="7" applyNumberFormat="1" applyFont="1" applyFill="1" applyBorder="1" applyAlignment="1">
      <alignment horizontal="left" vertical="center" wrapText="1"/>
    </xf>
    <xf numFmtId="3" fontId="124" fillId="0" borderId="29" xfId="18" applyNumberFormat="1" applyFont="1" applyFill="1" applyBorder="1" applyAlignment="1">
      <alignment horizontal="left" vertical="center" wrapText="1"/>
    </xf>
    <xf numFmtId="49" fontId="83" fillId="0" borderId="1" xfId="18" applyNumberFormat="1" applyFont="1" applyFill="1" applyBorder="1" applyAlignment="1">
      <alignment horizontal="center" vertical="center" wrapText="1"/>
    </xf>
    <xf numFmtId="49" fontId="86" fillId="0" borderId="1" xfId="18" applyNumberFormat="1" applyFont="1" applyFill="1" applyBorder="1" applyAlignment="1">
      <alignment horizontal="center" vertical="center"/>
    </xf>
    <xf numFmtId="0" fontId="119" fillId="0" borderId="0" xfId="61211" applyFont="1" applyFill="1" applyBorder="1" applyAlignment="1">
      <alignment horizontal="center" vertical="center" wrapText="1"/>
    </xf>
    <xf numFmtId="0" fontId="109" fillId="0" borderId="1" xfId="61212" applyFont="1" applyFill="1" applyBorder="1" applyAlignment="1">
      <alignment horizontal="center" vertical="center" wrapText="1"/>
    </xf>
    <xf numFmtId="0" fontId="109" fillId="0" borderId="3" xfId="61212" applyFont="1" applyFill="1" applyBorder="1" applyAlignment="1">
      <alignment horizontal="center" vertical="center" wrapText="1"/>
    </xf>
    <xf numFmtId="0" fontId="83" fillId="0" borderId="1" xfId="61211" applyFont="1" applyFill="1" applyBorder="1" applyAlignment="1">
      <alignment horizontal="center" vertical="center" wrapText="1"/>
    </xf>
    <xf numFmtId="0" fontId="83" fillId="0" borderId="1" xfId="18" applyFont="1" applyFill="1" applyBorder="1" applyAlignment="1">
      <alignment horizontal="center" vertical="center" wrapText="1"/>
    </xf>
    <xf numFmtId="0" fontId="83" fillId="0" borderId="0" xfId="61212" applyFont="1" applyFill="1"/>
    <xf numFmtId="0" fontId="109" fillId="0" borderId="2" xfId="61212" applyFont="1" applyFill="1" applyBorder="1" applyAlignment="1">
      <alignment horizontal="center" vertical="center" wrapText="1"/>
    </xf>
    <xf numFmtId="0" fontId="83" fillId="0" borderId="2" xfId="61212" applyFont="1" applyFill="1" applyBorder="1" applyAlignment="1">
      <alignment horizontal="center" vertical="center" wrapText="1"/>
    </xf>
    <xf numFmtId="0" fontId="83" fillId="0" borderId="0" xfId="61212" applyFont="1" applyFill="1" applyAlignment="1">
      <alignment horizontal="center"/>
    </xf>
    <xf numFmtId="0" fontId="120" fillId="0" borderId="1" xfId="61212" applyFont="1" applyFill="1" applyBorder="1" applyAlignment="1">
      <alignment horizontal="center" vertical="center" wrapText="1"/>
    </xf>
    <xf numFmtId="0" fontId="120" fillId="0" borderId="1" xfId="61212" applyFont="1" applyFill="1" applyBorder="1" applyAlignment="1">
      <alignment horizontal="center" vertical="center"/>
    </xf>
    <xf numFmtId="3" fontId="120" fillId="0" borderId="1" xfId="61212" applyNumberFormat="1" applyFont="1" applyFill="1" applyBorder="1" applyAlignment="1">
      <alignment horizontal="center" vertical="center"/>
    </xf>
    <xf numFmtId="0" fontId="121" fillId="0" borderId="0" xfId="61212" applyFont="1" applyFill="1"/>
    <xf numFmtId="3" fontId="122" fillId="0" borderId="1" xfId="61212" applyNumberFormat="1" applyFont="1" applyFill="1" applyBorder="1" applyAlignment="1">
      <alignment horizontal="center" vertical="center"/>
    </xf>
    <xf numFmtId="3" fontId="121" fillId="0" borderId="0" xfId="61212" applyNumberFormat="1" applyFont="1" applyFill="1"/>
    <xf numFmtId="2" fontId="121" fillId="0" borderId="0" xfId="61212" applyNumberFormat="1" applyFont="1" applyFill="1"/>
    <xf numFmtId="172" fontId="121" fillId="0" borderId="0" xfId="61212" applyNumberFormat="1" applyFont="1" applyFill="1"/>
    <xf numFmtId="0" fontId="83" fillId="0" borderId="1" xfId="61212" applyFont="1" applyFill="1" applyBorder="1" applyAlignment="1">
      <alignment horizontal="center" vertical="center"/>
    </xf>
    <xf numFmtId="0" fontId="124" fillId="0" borderId="28" xfId="18" applyFont="1" applyFill="1" applyBorder="1" applyAlignment="1">
      <alignment horizontal="left" vertical="center" wrapText="1"/>
    </xf>
    <xf numFmtId="3" fontId="109" fillId="0" borderId="1" xfId="61212" applyNumberFormat="1" applyFont="1" applyFill="1" applyBorder="1" applyAlignment="1">
      <alignment horizontal="center" vertical="center"/>
    </xf>
    <xf numFmtId="4" fontId="83" fillId="0" borderId="0" xfId="61212" applyNumberFormat="1" applyFont="1" applyFill="1"/>
    <xf numFmtId="0" fontId="86" fillId="0" borderId="1" xfId="18" applyFont="1" applyFill="1" applyBorder="1" applyAlignment="1">
      <alignment horizontal="left" vertical="center" wrapText="1"/>
    </xf>
    <xf numFmtId="49" fontId="84" fillId="0" borderId="1" xfId="18" applyNumberFormat="1" applyFont="1" applyFill="1" applyBorder="1" applyAlignment="1">
      <alignment horizontal="left" vertical="center" wrapText="1"/>
    </xf>
    <xf numFmtId="0" fontId="84" fillId="0" borderId="28" xfId="18" applyFont="1" applyFill="1" applyBorder="1" applyAlignment="1">
      <alignment horizontal="left" vertical="center" wrapText="1"/>
    </xf>
    <xf numFmtId="49" fontId="86" fillId="0" borderId="1" xfId="61212" applyNumberFormat="1" applyFont="1" applyFill="1" applyBorder="1" applyAlignment="1">
      <alignment horizontal="left" vertical="center" wrapText="1"/>
    </xf>
    <xf numFmtId="0" fontId="124" fillId="0" borderId="28" xfId="61212" applyFont="1" applyFill="1" applyBorder="1" applyAlignment="1">
      <alignment horizontal="left" vertical="center" wrapText="1"/>
    </xf>
    <xf numFmtId="49" fontId="86" fillId="0" borderId="39" xfId="18" applyNumberFormat="1" applyFont="1" applyFill="1" applyBorder="1" applyAlignment="1">
      <alignment horizontal="left" vertical="center"/>
    </xf>
    <xf numFmtId="0" fontId="86" fillId="0" borderId="67" xfId="18" applyFont="1" applyFill="1" applyBorder="1" applyAlignment="1">
      <alignment horizontal="left" vertical="center" wrapText="1"/>
    </xf>
    <xf numFmtId="0" fontId="86" fillId="0" borderId="39" xfId="18" applyFont="1" applyFill="1" applyBorder="1" applyAlignment="1">
      <alignment horizontal="left" vertical="center" wrapText="1"/>
    </xf>
    <xf numFmtId="0" fontId="124" fillId="0" borderId="67" xfId="18" applyFont="1" applyFill="1" applyBorder="1" applyAlignment="1">
      <alignment horizontal="left" vertical="center" wrapText="1"/>
    </xf>
    <xf numFmtId="3" fontId="83" fillId="0" borderId="1" xfId="61212" applyNumberFormat="1" applyFont="1" applyFill="1" applyBorder="1" applyAlignment="1">
      <alignment horizontal="center" vertical="center"/>
    </xf>
    <xf numFmtId="3" fontId="83" fillId="0" borderId="0" xfId="61212" applyNumberFormat="1" applyFont="1" applyFill="1"/>
    <xf numFmtId="0" fontId="83" fillId="0" borderId="0" xfId="61213" applyFont="1" applyFill="1"/>
    <xf numFmtId="0" fontId="109" fillId="0" borderId="1" xfId="61213" applyFont="1" applyFill="1" applyBorder="1" applyAlignment="1">
      <alignment horizontal="center" vertical="center" wrapText="1"/>
    </xf>
    <xf numFmtId="0" fontId="83" fillId="0" borderId="1" xfId="61213" applyFont="1" applyFill="1" applyBorder="1" applyAlignment="1">
      <alignment horizontal="center" vertical="center" wrapText="1"/>
    </xf>
    <xf numFmtId="0" fontId="120" fillId="0" borderId="1" xfId="61213" applyFont="1" applyFill="1" applyBorder="1" applyAlignment="1">
      <alignment horizontal="center" vertical="center" wrapText="1"/>
    </xf>
    <xf numFmtId="0" fontId="121" fillId="0" borderId="0" xfId="61213" applyFont="1" applyFill="1"/>
    <xf numFmtId="3" fontId="85" fillId="0" borderId="1" xfId="13" applyNumberFormat="1" applyFont="1" applyFill="1" applyBorder="1" applyAlignment="1">
      <alignment horizontal="center" vertical="center"/>
    </xf>
    <xf numFmtId="3" fontId="122" fillId="0" borderId="1" xfId="61213" applyNumberFormat="1" applyFont="1" applyFill="1" applyBorder="1" applyAlignment="1">
      <alignment horizontal="center" vertical="center"/>
    </xf>
    <xf numFmtId="3" fontId="121" fillId="0" borderId="0" xfId="61213" applyNumberFormat="1" applyFont="1" applyFill="1"/>
    <xf numFmtId="0" fontId="121" fillId="0" borderId="1" xfId="61213" applyFont="1" applyFill="1" applyBorder="1"/>
    <xf numFmtId="0" fontId="83" fillId="0" borderId="1" xfId="61213" applyFont="1" applyFill="1" applyBorder="1" applyAlignment="1">
      <alignment horizontal="center" vertical="center"/>
    </xf>
    <xf numFmtId="49" fontId="86" fillId="0" borderId="1" xfId="60885" applyNumberFormat="1" applyFont="1" applyFill="1" applyBorder="1" applyAlignment="1">
      <alignment horizontal="left" vertical="center" wrapText="1"/>
    </xf>
    <xf numFmtId="0" fontId="124" fillId="0" borderId="28" xfId="60885" applyFont="1" applyFill="1" applyBorder="1" applyAlignment="1">
      <alignment horizontal="left" vertical="center" wrapText="1"/>
    </xf>
    <xf numFmtId="3" fontId="109" fillId="0" borderId="1" xfId="61213" applyNumberFormat="1" applyFont="1" applyFill="1" applyBorder="1" applyAlignment="1">
      <alignment horizontal="center" vertical="center"/>
    </xf>
    <xf numFmtId="3" fontId="83" fillId="0" borderId="0" xfId="61213" applyNumberFormat="1" applyFont="1" applyFill="1"/>
    <xf numFmtId="4" fontId="83" fillId="0" borderId="0" xfId="61213" applyNumberFormat="1" applyFont="1" applyFill="1"/>
    <xf numFmtId="0" fontId="86" fillId="0" borderId="1" xfId="60885" applyFont="1" applyFill="1" applyBorder="1" applyAlignment="1">
      <alignment horizontal="left" vertical="center" wrapText="1"/>
    </xf>
    <xf numFmtId="49" fontId="86" fillId="0" borderId="1" xfId="60885" applyNumberFormat="1" applyFont="1" applyFill="1" applyBorder="1" applyAlignment="1">
      <alignment horizontal="left" vertical="center"/>
    </xf>
    <xf numFmtId="0" fontId="86" fillId="0" borderId="28" xfId="60885" applyFont="1" applyFill="1" applyBorder="1" applyAlignment="1">
      <alignment horizontal="left" vertical="center" wrapText="1"/>
    </xf>
    <xf numFmtId="49" fontId="84" fillId="0" borderId="1" xfId="60885" applyNumberFormat="1" applyFont="1" applyFill="1" applyBorder="1" applyAlignment="1">
      <alignment horizontal="left" vertical="center" wrapText="1"/>
    </xf>
    <xf numFmtId="0" fontId="84" fillId="0" borderId="28" xfId="60885" applyFont="1" applyFill="1" applyBorder="1" applyAlignment="1">
      <alignment horizontal="left" vertical="center" wrapText="1"/>
    </xf>
    <xf numFmtId="49" fontId="86" fillId="0" borderId="1" xfId="61213" applyNumberFormat="1" applyFont="1" applyFill="1" applyBorder="1" applyAlignment="1">
      <alignment horizontal="left" vertical="center" wrapText="1"/>
    </xf>
    <xf numFmtId="0" fontId="124" fillId="0" borderId="28" xfId="61213" applyFont="1" applyFill="1" applyBorder="1" applyAlignment="1">
      <alignment horizontal="left" vertical="center" wrapText="1"/>
    </xf>
    <xf numFmtId="49" fontId="86" fillId="0" borderId="39" xfId="60885" applyNumberFormat="1" applyFont="1" applyFill="1" applyBorder="1" applyAlignment="1">
      <alignment horizontal="left" vertical="center"/>
    </xf>
    <xf numFmtId="0" fontId="86" fillId="0" borderId="67" xfId="60885" applyFont="1" applyFill="1" applyBorder="1" applyAlignment="1">
      <alignment horizontal="left" vertical="center" wrapText="1"/>
    </xf>
    <xf numFmtId="3" fontId="109" fillId="0" borderId="1" xfId="61213" applyNumberFormat="1" applyFont="1" applyFill="1" applyBorder="1" applyAlignment="1">
      <alignment horizontal="center"/>
    </xf>
    <xf numFmtId="0" fontId="86" fillId="0" borderId="39" xfId="60885" applyFont="1" applyFill="1" applyBorder="1" applyAlignment="1">
      <alignment horizontal="left" vertical="center" wrapText="1"/>
    </xf>
    <xf numFmtId="0" fontId="124" fillId="0" borderId="67" xfId="60885" applyFont="1" applyFill="1" applyBorder="1" applyAlignment="1">
      <alignment horizontal="left" vertical="center" wrapText="1"/>
    </xf>
    <xf numFmtId="49" fontId="83" fillId="0" borderId="1" xfId="13" applyNumberFormat="1" applyFont="1" applyFill="1" applyBorder="1" applyAlignment="1">
      <alignment horizontal="left" vertical="center"/>
    </xf>
    <xf numFmtId="0" fontId="83" fillId="0" borderId="28" xfId="13" applyFont="1" applyFill="1" applyBorder="1" applyAlignment="1">
      <alignment horizontal="left" vertical="center" wrapText="1"/>
    </xf>
    <xf numFmtId="0" fontId="83" fillId="0" borderId="0" xfId="61213" applyFont="1" applyFill="1" applyAlignment="1">
      <alignment horizontal="center"/>
    </xf>
    <xf numFmtId="0" fontId="128" fillId="0" borderId="0" xfId="61213" applyFont="1" applyFill="1"/>
    <xf numFmtId="3" fontId="109" fillId="0" borderId="30" xfId="61213" applyNumberFormat="1" applyFont="1" applyFill="1" applyBorder="1" applyAlignment="1">
      <alignment horizontal="center" vertical="center" wrapText="1"/>
    </xf>
    <xf numFmtId="3" fontId="83" fillId="0" borderId="1" xfId="61213" applyNumberFormat="1" applyFont="1" applyFill="1" applyBorder="1" applyAlignment="1">
      <alignment horizontal="center" vertical="center" wrapText="1"/>
    </xf>
    <xf numFmtId="3" fontId="109" fillId="0" borderId="1" xfId="61213" applyNumberFormat="1" applyFont="1" applyFill="1" applyBorder="1" applyAlignment="1">
      <alignment horizontal="center" vertical="center" wrapText="1"/>
    </xf>
    <xf numFmtId="3" fontId="120" fillId="0" borderId="1" xfId="61213" applyNumberFormat="1" applyFont="1" applyFill="1" applyBorder="1" applyAlignment="1">
      <alignment horizontal="center" vertical="center" wrapText="1"/>
    </xf>
    <xf numFmtId="3" fontId="83" fillId="0" borderId="1" xfId="61213" applyNumberFormat="1" applyFont="1" applyFill="1" applyBorder="1" applyAlignment="1">
      <alignment horizontal="center" vertical="center"/>
    </xf>
    <xf numFmtId="3" fontId="86" fillId="0" borderId="1" xfId="60885" applyNumberFormat="1" applyFont="1" applyFill="1" applyBorder="1" applyAlignment="1">
      <alignment horizontal="left" vertical="center" wrapText="1"/>
    </xf>
    <xf numFmtId="3" fontId="124" fillId="0" borderId="28" xfId="60885" applyNumberFormat="1" applyFont="1" applyFill="1" applyBorder="1" applyAlignment="1">
      <alignment horizontal="left" vertical="center" wrapText="1"/>
    </xf>
    <xf numFmtId="3" fontId="86" fillId="0" borderId="1" xfId="60885" applyNumberFormat="1" applyFont="1" applyFill="1" applyBorder="1" applyAlignment="1">
      <alignment horizontal="left" vertical="center"/>
    </xf>
    <xf numFmtId="3" fontId="86" fillId="0" borderId="28" xfId="60885" applyNumberFormat="1" applyFont="1" applyFill="1" applyBorder="1" applyAlignment="1">
      <alignment horizontal="left" vertical="center" wrapText="1"/>
    </xf>
    <xf numFmtId="3" fontId="84" fillId="0" borderId="1" xfId="60885" applyNumberFormat="1" applyFont="1" applyFill="1" applyBorder="1" applyAlignment="1">
      <alignment horizontal="left" vertical="center" wrapText="1"/>
    </xf>
    <xf numFmtId="3" fontId="84" fillId="0" borderId="28" xfId="60885" applyNumberFormat="1" applyFont="1" applyFill="1" applyBorder="1" applyAlignment="1">
      <alignment horizontal="left" vertical="center" wrapText="1"/>
    </xf>
    <xf numFmtId="3" fontId="86" fillId="0" borderId="1" xfId="61213" applyNumberFormat="1" applyFont="1" applyFill="1" applyBorder="1" applyAlignment="1">
      <alignment horizontal="left" vertical="center" wrapText="1"/>
    </xf>
    <xf numFmtId="3" fontId="124" fillId="0" borderId="28" xfId="61213" applyNumberFormat="1" applyFont="1" applyFill="1" applyBorder="1" applyAlignment="1">
      <alignment horizontal="left" vertical="center" wrapText="1"/>
    </xf>
    <xf numFmtId="3" fontId="86" fillId="0" borderId="39" xfId="60885" applyNumberFormat="1" applyFont="1" applyFill="1" applyBorder="1" applyAlignment="1">
      <alignment horizontal="left" vertical="center"/>
    </xf>
    <xf numFmtId="3" fontId="86" fillId="0" borderId="67" xfId="60885" applyNumberFormat="1" applyFont="1" applyFill="1" applyBorder="1" applyAlignment="1">
      <alignment horizontal="left" vertical="center" wrapText="1"/>
    </xf>
    <xf numFmtId="3" fontId="86" fillId="0" borderId="39" xfId="60885" applyNumberFormat="1" applyFont="1" applyFill="1" applyBorder="1" applyAlignment="1">
      <alignment horizontal="left" vertical="center" wrapText="1"/>
    </xf>
    <xf numFmtId="3" fontId="124" fillId="0" borderId="67" xfId="60885" applyNumberFormat="1" applyFont="1" applyFill="1" applyBorder="1" applyAlignment="1">
      <alignment horizontal="left" vertical="center" wrapText="1"/>
    </xf>
    <xf numFmtId="3" fontId="83" fillId="0" borderId="1" xfId="61213" applyNumberFormat="1" applyFont="1" applyFill="1" applyBorder="1" applyAlignment="1">
      <alignment horizontal="center"/>
    </xf>
    <xf numFmtId="3" fontId="129" fillId="0" borderId="1" xfId="61213" applyNumberFormat="1" applyFont="1" applyFill="1" applyBorder="1"/>
    <xf numFmtId="3" fontId="83" fillId="0" borderId="1" xfId="61213" applyNumberFormat="1" applyFont="1" applyFill="1" applyBorder="1"/>
    <xf numFmtId="3" fontId="129" fillId="0" borderId="28" xfId="61213" applyNumberFormat="1" applyFont="1" applyFill="1" applyBorder="1" applyAlignment="1"/>
    <xf numFmtId="3" fontId="83" fillId="0" borderId="29" xfId="61213" applyNumberFormat="1" applyFont="1" applyFill="1" applyBorder="1" applyAlignment="1"/>
    <xf numFmtId="3" fontId="105" fillId="74" borderId="38" xfId="61206" applyNumberFormat="1" applyFont="1" applyFill="1" applyBorder="1" applyAlignment="1">
      <alignment horizontal="center" vertical="center" wrapText="1" shrinkToFit="1"/>
    </xf>
    <xf numFmtId="3" fontId="105" fillId="74" borderId="39" xfId="61206" applyNumberFormat="1" applyFont="1" applyFill="1" applyBorder="1" applyAlignment="1">
      <alignment horizontal="center" vertical="center" wrapText="1" shrinkToFit="1"/>
    </xf>
    <xf numFmtId="3" fontId="105" fillId="74" borderId="28" xfId="61206" applyNumberFormat="1" applyFont="1" applyFill="1" applyBorder="1" applyAlignment="1">
      <alignment horizontal="center" vertical="center" wrapText="1" shrinkToFit="1"/>
    </xf>
    <xf numFmtId="3" fontId="105" fillId="74" borderId="42" xfId="61206" applyNumberFormat="1" applyFont="1" applyFill="1" applyBorder="1" applyAlignment="1">
      <alignment horizontal="center" vertical="center" wrapText="1" shrinkToFit="1"/>
    </xf>
    <xf numFmtId="0" fontId="88" fillId="74" borderId="28" xfId="61206" applyFont="1" applyFill="1" applyBorder="1" applyAlignment="1">
      <alignment horizontal="left" vertical="center" wrapText="1"/>
    </xf>
    <xf numFmtId="0" fontId="105" fillId="74" borderId="28" xfId="61206" applyFont="1" applyFill="1" applyBorder="1" applyAlignment="1">
      <alignment horizontal="left" vertical="center" wrapText="1"/>
    </xf>
    <xf numFmtId="3" fontId="107" fillId="74" borderId="42" xfId="61206" applyNumberFormat="1" applyFont="1" applyFill="1" applyBorder="1" applyAlignment="1">
      <alignment horizontal="center" vertical="center" wrapText="1" shrinkToFit="1"/>
    </xf>
    <xf numFmtId="3" fontId="107" fillId="74" borderId="1" xfId="61206" applyNumberFormat="1" applyFont="1" applyFill="1" applyBorder="1" applyAlignment="1">
      <alignment horizontal="center" vertical="center" wrapText="1" shrinkToFit="1"/>
    </xf>
    <xf numFmtId="3" fontId="107" fillId="74" borderId="28" xfId="61206" applyNumberFormat="1" applyFont="1" applyFill="1" applyBorder="1" applyAlignment="1">
      <alignment horizontal="center" vertical="center" wrapText="1" shrinkToFit="1"/>
    </xf>
    <xf numFmtId="3" fontId="107" fillId="74" borderId="41" xfId="61206" applyNumberFormat="1" applyFont="1" applyFill="1" applyBorder="1" applyAlignment="1">
      <alignment horizontal="center" vertical="center"/>
    </xf>
    <xf numFmtId="3" fontId="107" fillId="74" borderId="41" xfId="61206" applyNumberFormat="1" applyFont="1" applyFill="1" applyBorder="1" applyAlignment="1">
      <alignment horizontal="center" vertical="center" wrapText="1"/>
    </xf>
    <xf numFmtId="3" fontId="130" fillId="74" borderId="1" xfId="61206" applyNumberFormat="1" applyFont="1" applyFill="1" applyBorder="1" applyAlignment="1">
      <alignment horizontal="center" vertical="center" wrapText="1"/>
    </xf>
    <xf numFmtId="3" fontId="130" fillId="74" borderId="28" xfId="61206" applyNumberFormat="1" applyFont="1" applyFill="1" applyBorder="1" applyAlignment="1">
      <alignment horizontal="center" vertical="center" wrapText="1"/>
    </xf>
    <xf numFmtId="3" fontId="130" fillId="74" borderId="30" xfId="61206" applyNumberFormat="1" applyFont="1" applyFill="1" applyBorder="1" applyAlignment="1">
      <alignment horizontal="center" vertical="center" wrapText="1"/>
    </xf>
    <xf numFmtId="0" fontId="129" fillId="74" borderId="28" xfId="61206" applyFont="1" applyFill="1" applyBorder="1" applyAlignment="1">
      <alignment horizontal="left" vertical="center" wrapText="1"/>
    </xf>
    <xf numFmtId="3" fontId="105" fillId="74" borderId="62" xfId="61206" applyNumberFormat="1" applyFont="1" applyFill="1" applyBorder="1" applyAlignment="1">
      <alignment horizontal="center" vertical="center" wrapText="1"/>
    </xf>
    <xf numFmtId="3" fontId="105" fillId="74" borderId="61" xfId="61206" applyNumberFormat="1" applyFont="1" applyFill="1" applyBorder="1" applyAlignment="1">
      <alignment horizontal="center" vertical="center" wrapText="1"/>
    </xf>
    <xf numFmtId="3" fontId="105" fillId="74" borderId="69" xfId="61206" applyNumberFormat="1" applyFont="1" applyFill="1" applyBorder="1" applyAlignment="1">
      <alignment horizontal="center" vertical="center" wrapText="1"/>
    </xf>
    <xf numFmtId="3" fontId="105" fillId="74" borderId="28" xfId="61206" applyNumberFormat="1" applyFont="1" applyFill="1" applyBorder="1" applyAlignment="1">
      <alignment horizontal="center" vertical="center" wrapText="1"/>
    </xf>
    <xf numFmtId="0" fontId="71" fillId="0" borderId="0" xfId="58595" applyFill="1"/>
    <xf numFmtId="0" fontId="86" fillId="0" borderId="0" xfId="61215" applyFont="1" applyFill="1" applyAlignment="1">
      <alignment vertical="center" wrapText="1"/>
    </xf>
    <xf numFmtId="0" fontId="109" fillId="0" borderId="28" xfId="61215" applyFont="1" applyFill="1" applyBorder="1" applyAlignment="1">
      <alignment horizontal="center" vertical="center" wrapText="1"/>
    </xf>
    <xf numFmtId="0" fontId="109" fillId="0" borderId="1" xfId="61215" applyFont="1" applyFill="1" applyBorder="1" applyAlignment="1">
      <alignment horizontal="center" vertical="center" wrapText="1"/>
    </xf>
    <xf numFmtId="0" fontId="121" fillId="0" borderId="1" xfId="58595" applyFont="1" applyFill="1" applyBorder="1" applyAlignment="1">
      <alignment horizontal="center" vertical="center" wrapText="1"/>
    </xf>
    <xf numFmtId="0" fontId="121" fillId="0" borderId="28" xfId="58595" applyFont="1" applyFill="1" applyBorder="1" applyAlignment="1">
      <alignment horizontal="center" vertical="center" wrapText="1"/>
    </xf>
    <xf numFmtId="0" fontId="120" fillId="0" borderId="1" xfId="61215" applyFont="1" applyFill="1" applyBorder="1" applyAlignment="1">
      <alignment horizontal="center" vertical="center"/>
    </xf>
    <xf numFmtId="0" fontId="120" fillId="0" borderId="1" xfId="61215" applyFont="1" applyFill="1" applyBorder="1" applyAlignment="1">
      <alignment horizontal="center" vertical="center" wrapText="1"/>
    </xf>
    <xf numFmtId="0" fontId="121" fillId="0" borderId="0" xfId="58595" applyFont="1" applyFill="1"/>
    <xf numFmtId="3" fontId="132" fillId="0" borderId="1" xfId="61215" applyNumberFormat="1" applyFont="1" applyFill="1" applyBorder="1" applyAlignment="1">
      <alignment horizontal="center" vertical="center"/>
    </xf>
    <xf numFmtId="3" fontId="132" fillId="0" borderId="1" xfId="61215" applyNumberFormat="1" applyFont="1" applyFill="1" applyBorder="1" applyAlignment="1">
      <alignment horizontal="center" vertical="center" wrapText="1"/>
    </xf>
    <xf numFmtId="0" fontId="71" fillId="0" borderId="1" xfId="58595" applyFill="1" applyBorder="1" applyAlignment="1">
      <alignment horizontal="center" vertical="center" wrapText="1"/>
    </xf>
    <xf numFmtId="0" fontId="86" fillId="0" borderId="1" xfId="61215" applyFont="1" applyFill="1" applyBorder="1" applyAlignment="1">
      <alignment vertical="center" wrapText="1"/>
    </xf>
    <xf numFmtId="3" fontId="97" fillId="0" borderId="1" xfId="61215" applyNumberFormat="1" applyFont="1" applyFill="1" applyBorder="1" applyAlignment="1">
      <alignment horizontal="center" vertical="center"/>
    </xf>
    <xf numFmtId="0" fontId="97" fillId="0" borderId="1" xfId="61215" applyFont="1" applyFill="1" applyBorder="1" applyAlignment="1">
      <alignment horizontal="center" vertical="center"/>
    </xf>
    <xf numFmtId="3" fontId="86" fillId="0" borderId="0" xfId="61215" applyNumberFormat="1" applyFont="1" applyFill="1" applyAlignment="1">
      <alignment vertical="center" wrapText="1"/>
    </xf>
    <xf numFmtId="3" fontId="71" fillId="0" borderId="0" xfId="58595" applyNumberFormat="1" applyFill="1"/>
    <xf numFmtId="0" fontId="89" fillId="74" borderId="0" xfId="61216" applyFont="1" applyFill="1"/>
    <xf numFmtId="3" fontId="83" fillId="74" borderId="0" xfId="61216" applyNumberFormat="1" applyFont="1" applyFill="1" applyAlignment="1" applyProtection="1">
      <alignment horizontal="center" vertical="center"/>
      <protection locked="0"/>
    </xf>
    <xf numFmtId="3" fontId="83" fillId="74" borderId="0" xfId="61216" applyNumberFormat="1" applyFont="1" applyFill="1" applyAlignment="1" applyProtection="1">
      <alignment horizontal="left" vertical="center"/>
      <protection locked="0"/>
    </xf>
    <xf numFmtId="0" fontId="2" fillId="74" borderId="0" xfId="61216" applyFill="1"/>
    <xf numFmtId="3" fontId="25" fillId="74" borderId="1" xfId="61216" applyNumberFormat="1" applyFont="1" applyFill="1" applyBorder="1" applyAlignment="1" applyProtection="1">
      <alignment horizontal="center" vertical="center" wrapText="1"/>
      <protection locked="0"/>
    </xf>
    <xf numFmtId="3" fontId="25" fillId="74" borderId="1" xfId="61217" applyNumberFormat="1" applyFont="1" applyFill="1" applyBorder="1" applyAlignment="1" applyProtection="1">
      <alignment horizontal="center" vertical="center" wrapText="1"/>
      <protection locked="0"/>
    </xf>
    <xf numFmtId="3" fontId="83" fillId="74" borderId="1" xfId="61216" applyNumberFormat="1" applyFont="1" applyFill="1" applyBorder="1" applyAlignment="1" applyProtection="1">
      <alignment horizontal="center" vertical="center"/>
      <protection locked="0"/>
    </xf>
    <xf numFmtId="3" fontId="83" fillId="74" borderId="30" xfId="61216" applyNumberFormat="1" applyFont="1" applyFill="1" applyBorder="1" applyAlignment="1" applyProtection="1">
      <alignment horizontal="left" vertical="center" wrapText="1"/>
      <protection locked="0"/>
    </xf>
    <xf numFmtId="49" fontId="83" fillId="74" borderId="1" xfId="6" applyNumberFormat="1" applyFont="1" applyFill="1" applyBorder="1" applyAlignment="1">
      <alignment horizontal="center" vertical="center" wrapText="1"/>
    </xf>
    <xf numFmtId="0" fontId="87" fillId="74" borderId="1" xfId="6" applyFont="1" applyFill="1" applyBorder="1" applyAlignment="1">
      <alignment horizontal="left" vertical="center" wrapText="1"/>
    </xf>
    <xf numFmtId="3" fontId="83" fillId="74" borderId="1" xfId="6" applyNumberFormat="1" applyFont="1" applyFill="1" applyBorder="1" applyAlignment="1" applyProtection="1">
      <alignment horizontal="center" vertical="center"/>
      <protection locked="0"/>
    </xf>
    <xf numFmtId="3" fontId="83" fillId="74" borderId="1" xfId="6" applyNumberFormat="1" applyFont="1" applyFill="1" applyBorder="1" applyAlignment="1" applyProtection="1">
      <alignment horizontal="left" vertical="center" wrapText="1"/>
      <protection locked="0"/>
    </xf>
    <xf numFmtId="49" fontId="83" fillId="74" borderId="1" xfId="6" applyNumberFormat="1" applyFont="1" applyFill="1" applyBorder="1" applyAlignment="1">
      <alignment horizontal="center" vertical="center"/>
    </xf>
    <xf numFmtId="0" fontId="83" fillId="74" borderId="1" xfId="6" applyFont="1" applyFill="1" applyBorder="1" applyAlignment="1">
      <alignment horizontal="left" vertical="center" wrapText="1"/>
    </xf>
    <xf numFmtId="0" fontId="83" fillId="74" borderId="1" xfId="6" applyFont="1" applyFill="1" applyBorder="1" applyAlignment="1">
      <alignment horizontal="center" vertical="center" wrapText="1"/>
    </xf>
    <xf numFmtId="0" fontId="25" fillId="74" borderId="1" xfId="6" applyFont="1" applyFill="1" applyBorder="1" applyAlignment="1">
      <alignment horizontal="left" vertical="center" wrapText="1"/>
    </xf>
    <xf numFmtId="0" fontId="83" fillId="74" borderId="0" xfId="61216" applyFont="1" applyFill="1"/>
    <xf numFmtId="0" fontId="83" fillId="74" borderId="39" xfId="6" applyFont="1" applyFill="1" applyBorder="1" applyAlignment="1">
      <alignment horizontal="center" vertical="center" wrapText="1"/>
    </xf>
    <xf numFmtId="0" fontId="83" fillId="74" borderId="39" xfId="6" applyFont="1" applyFill="1" applyBorder="1" applyAlignment="1">
      <alignment horizontal="left" vertical="center" wrapText="1"/>
    </xf>
    <xf numFmtId="3" fontId="83" fillId="74" borderId="1" xfId="6" applyNumberFormat="1" applyFont="1" applyFill="1" applyBorder="1" applyAlignment="1" applyProtection="1">
      <alignment horizontal="center" vertical="center" wrapText="1"/>
      <protection locked="0"/>
    </xf>
    <xf numFmtId="3" fontId="25" fillId="74" borderId="1" xfId="6" applyNumberFormat="1" applyFont="1" applyFill="1" applyBorder="1" applyAlignment="1" applyProtection="1">
      <alignment horizontal="left" vertical="center" wrapText="1"/>
      <protection locked="0"/>
    </xf>
    <xf numFmtId="0" fontId="83" fillId="74" borderId="28" xfId="6" applyFont="1" applyFill="1" applyBorder="1" applyAlignment="1">
      <alignment horizontal="left" vertical="center" wrapText="1"/>
    </xf>
    <xf numFmtId="49" fontId="83" fillId="74" borderId="1" xfId="59296" applyNumberFormat="1" applyFont="1" applyFill="1" applyBorder="1" applyAlignment="1">
      <alignment horizontal="center" vertical="center"/>
    </xf>
    <xf numFmtId="0" fontId="83" fillId="74" borderId="1" xfId="59296" applyFont="1" applyFill="1" applyBorder="1" applyAlignment="1">
      <alignment horizontal="left" vertical="center" wrapText="1"/>
    </xf>
    <xf numFmtId="49" fontId="25" fillId="74" borderId="1" xfId="6" applyNumberFormat="1" applyFont="1" applyFill="1" applyBorder="1" applyAlignment="1">
      <alignment horizontal="center" vertical="center" wrapText="1"/>
    </xf>
    <xf numFmtId="3" fontId="83" fillId="74" borderId="1" xfId="61216" applyNumberFormat="1" applyFont="1" applyFill="1" applyBorder="1" applyAlignment="1" applyProtection="1">
      <alignment horizontal="left" vertical="center" wrapText="1"/>
      <protection locked="0"/>
    </xf>
    <xf numFmtId="0" fontId="83" fillId="74" borderId="0" xfId="61216" applyFont="1" applyFill="1" applyAlignment="1">
      <alignment horizontal="left"/>
    </xf>
    <xf numFmtId="3" fontId="85" fillId="74" borderId="3" xfId="61217" applyNumberFormat="1" applyFont="1" applyFill="1" applyBorder="1" applyAlignment="1" applyProtection="1">
      <alignment horizontal="center" vertical="center" wrapText="1"/>
      <protection locked="0"/>
    </xf>
    <xf numFmtId="3" fontId="85" fillId="74" borderId="3" xfId="61216" applyNumberFormat="1" applyFont="1" applyFill="1" applyBorder="1" applyAlignment="1" applyProtection="1">
      <alignment horizontal="center" vertical="center" wrapText="1"/>
      <protection locked="0"/>
    </xf>
    <xf numFmtId="3" fontId="85" fillId="74" borderId="1" xfId="61216" applyNumberFormat="1" applyFont="1" applyFill="1" applyBorder="1" applyAlignment="1" applyProtection="1">
      <alignment horizontal="center" vertical="center" wrapText="1"/>
      <protection locked="0"/>
    </xf>
    <xf numFmtId="3" fontId="85" fillId="74" borderId="1" xfId="61217" applyNumberFormat="1" applyFont="1" applyFill="1" applyBorder="1" applyAlignment="1" applyProtection="1">
      <alignment horizontal="center" vertical="center" wrapText="1"/>
      <protection locked="0"/>
    </xf>
    <xf numFmtId="0" fontId="133" fillId="74" borderId="0" xfId="61216" applyFont="1" applyFill="1"/>
    <xf numFmtId="0" fontId="25" fillId="0" borderId="0" xfId="58524" applyFont="1" applyFill="1" applyAlignment="1">
      <alignment horizontal="center" vertical="center"/>
    </xf>
    <xf numFmtId="0" fontId="25" fillId="74" borderId="0" xfId="58524" applyFont="1" applyFill="1" applyAlignment="1">
      <alignment horizontal="left" vertical="center"/>
    </xf>
    <xf numFmtId="0" fontId="25" fillId="76" borderId="0" xfId="58524" applyFont="1" applyFill="1" applyAlignment="1">
      <alignment horizontal="center" vertical="center"/>
    </xf>
    <xf numFmtId="3" fontId="25" fillId="74" borderId="0" xfId="58524" applyNumberFormat="1" applyFont="1" applyFill="1" applyAlignment="1">
      <alignment vertical="center"/>
    </xf>
    <xf numFmtId="0" fontId="25" fillId="76" borderId="0" xfId="58524" applyFont="1" applyFill="1" applyAlignment="1">
      <alignment horizontal="right" vertical="center"/>
    </xf>
    <xf numFmtId="0" fontId="25" fillId="76" borderId="0" xfId="58524" applyNumberFormat="1" applyFont="1" applyFill="1" applyBorder="1" applyAlignment="1">
      <alignment horizontal="center" vertical="center" wrapText="1"/>
    </xf>
    <xf numFmtId="3" fontId="135" fillId="74" borderId="0" xfId="58524" applyNumberFormat="1" applyFont="1" applyFill="1" applyBorder="1" applyAlignment="1">
      <alignment horizontal="right" vertical="center"/>
    </xf>
    <xf numFmtId="4" fontId="135" fillId="76" borderId="0" xfId="58524" applyNumberFormat="1" applyFont="1" applyFill="1" applyBorder="1" applyAlignment="1">
      <alignment horizontal="right" vertical="center"/>
    </xf>
    <xf numFmtId="3" fontId="135" fillId="76" borderId="0" xfId="58524" applyNumberFormat="1" applyFont="1" applyFill="1" applyBorder="1" applyAlignment="1">
      <alignment horizontal="right" vertical="center"/>
    </xf>
    <xf numFmtId="0" fontId="85" fillId="76" borderId="0" xfId="58524" applyFont="1" applyFill="1" applyAlignment="1">
      <alignment horizontal="right" vertical="center"/>
    </xf>
    <xf numFmtId="0" fontId="85" fillId="0" borderId="30" xfId="61218" applyFont="1" applyFill="1" applyBorder="1" applyAlignment="1">
      <alignment vertical="center"/>
    </xf>
    <xf numFmtId="0" fontId="85" fillId="0" borderId="28" xfId="61218" applyFont="1" applyFill="1" applyBorder="1" applyAlignment="1">
      <alignment horizontal="center" vertical="center"/>
    </xf>
    <xf numFmtId="3" fontId="136" fillId="74" borderId="30" xfId="18" applyNumberFormat="1" applyFont="1" applyFill="1" applyBorder="1" applyAlignment="1">
      <alignment horizontal="right" vertical="center" wrapText="1"/>
    </xf>
    <xf numFmtId="3" fontId="25" fillId="74" borderId="30" xfId="58524" applyNumberFormat="1" applyFont="1" applyFill="1" applyBorder="1" applyAlignment="1">
      <alignment horizontal="right" vertical="center" wrapText="1"/>
    </xf>
    <xf numFmtId="0" fontId="25" fillId="0" borderId="1" xfId="58524" applyFont="1" applyBorder="1" applyAlignment="1">
      <alignment horizontal="center" vertical="center"/>
    </xf>
    <xf numFmtId="4" fontId="25" fillId="74" borderId="1" xfId="58524" applyNumberFormat="1" applyFont="1" applyFill="1" applyBorder="1" applyAlignment="1">
      <alignment horizontal="center" vertical="center" wrapText="1"/>
    </xf>
    <xf numFmtId="3" fontId="25" fillId="74" borderId="30" xfId="58524" applyNumberFormat="1" applyFont="1" applyFill="1" applyBorder="1" applyAlignment="1">
      <alignment vertical="center" wrapText="1"/>
    </xf>
    <xf numFmtId="0" fontId="25" fillId="74" borderId="0" xfId="58524" applyFont="1" applyFill="1" applyAlignment="1">
      <alignment horizontal="right" vertical="center"/>
    </xf>
    <xf numFmtId="3" fontId="25" fillId="74" borderId="0" xfId="58524" applyNumberFormat="1" applyFont="1" applyFill="1" applyAlignment="1">
      <alignment horizontal="right" vertical="center"/>
    </xf>
    <xf numFmtId="4" fontId="25" fillId="74" borderId="30" xfId="58524" applyNumberFormat="1" applyFont="1" applyFill="1" applyBorder="1" applyAlignment="1">
      <alignment horizontal="center" vertical="center" wrapText="1"/>
    </xf>
    <xf numFmtId="0" fontId="25" fillId="0" borderId="1" xfId="58524" applyFont="1" applyFill="1" applyBorder="1" applyAlignment="1">
      <alignment horizontal="center" vertical="center"/>
    </xf>
    <xf numFmtId="0" fontId="87" fillId="0" borderId="1" xfId="18" applyFont="1" applyFill="1" applyBorder="1" applyAlignment="1">
      <alignment horizontal="left" vertical="center" wrapText="1"/>
    </xf>
    <xf numFmtId="4" fontId="25" fillId="0" borderId="30" xfId="58524" applyNumberFormat="1" applyFont="1" applyFill="1" applyBorder="1" applyAlignment="1">
      <alignment horizontal="center" vertical="center" wrapText="1"/>
    </xf>
    <xf numFmtId="3" fontId="25" fillId="0" borderId="30" xfId="58524" applyNumberFormat="1" applyFont="1" applyFill="1" applyBorder="1" applyAlignment="1">
      <alignment vertical="center" wrapText="1"/>
    </xf>
    <xf numFmtId="0" fontId="25" fillId="0" borderId="0" xfId="58524" applyFont="1" applyFill="1" applyAlignment="1">
      <alignment horizontal="right" vertical="center"/>
    </xf>
    <xf numFmtId="3" fontId="25" fillId="0" borderId="0" xfId="58524" applyNumberFormat="1" applyFont="1" applyFill="1" applyAlignment="1">
      <alignment horizontal="right" vertical="center"/>
    </xf>
    <xf numFmtId="49" fontId="25" fillId="0" borderId="1" xfId="18" applyNumberFormat="1" applyFont="1" applyFill="1" applyBorder="1" applyAlignment="1">
      <alignment horizontal="center" vertical="center" wrapText="1"/>
    </xf>
    <xf numFmtId="0" fontId="25" fillId="0" borderId="1" xfId="18" applyFont="1" applyFill="1" applyBorder="1" applyAlignment="1">
      <alignment horizontal="left" vertical="center" wrapText="1"/>
    </xf>
    <xf numFmtId="49" fontId="83" fillId="0" borderId="1" xfId="18" applyNumberFormat="1" applyFont="1" applyFill="1" applyBorder="1" applyAlignment="1">
      <alignment horizontal="center" vertical="center"/>
    </xf>
    <xf numFmtId="49" fontId="83" fillId="0" borderId="1" xfId="58524" applyNumberFormat="1" applyFont="1" applyFill="1" applyBorder="1" applyAlignment="1">
      <alignment horizontal="center" vertical="center" wrapText="1"/>
    </xf>
    <xf numFmtId="0" fontId="87" fillId="0" borderId="1" xfId="58524" applyFont="1" applyFill="1" applyBorder="1" applyAlignment="1">
      <alignment horizontal="left" vertical="center" wrapText="1"/>
    </xf>
    <xf numFmtId="49" fontId="83" fillId="0" borderId="39" xfId="18" applyNumberFormat="1" applyFont="1" applyFill="1" applyBorder="1" applyAlignment="1">
      <alignment horizontal="center" vertical="center"/>
    </xf>
    <xf numFmtId="0" fontId="83" fillId="0" borderId="39" xfId="18" applyFont="1" applyFill="1" applyBorder="1" applyAlignment="1">
      <alignment horizontal="left" vertical="center" wrapText="1"/>
    </xf>
    <xf numFmtId="0" fontId="87" fillId="0" borderId="39" xfId="18" applyFont="1" applyFill="1" applyBorder="1" applyAlignment="1">
      <alignment horizontal="left" vertical="center" wrapText="1"/>
    </xf>
    <xf numFmtId="0" fontId="25" fillId="0" borderId="0" xfId="58524" applyFont="1" applyFill="1" applyAlignment="1">
      <alignment horizontal="left" vertical="center"/>
    </xf>
    <xf numFmtId="4" fontId="25" fillId="0" borderId="0" xfId="58524" applyNumberFormat="1" applyFont="1" applyFill="1" applyAlignment="1">
      <alignment horizontal="right" vertical="center"/>
    </xf>
    <xf numFmtId="4" fontId="25" fillId="76" borderId="0" xfId="58524" applyNumberFormat="1" applyFont="1" applyFill="1" applyAlignment="1">
      <alignment horizontal="right" vertical="center"/>
    </xf>
    <xf numFmtId="3" fontId="25" fillId="76" borderId="0" xfId="58524" applyNumberFormat="1" applyFont="1" applyFill="1" applyAlignment="1">
      <alignment horizontal="right" vertical="center"/>
    </xf>
    <xf numFmtId="3" fontId="136" fillId="0" borderId="30" xfId="18" applyNumberFormat="1" applyFont="1" applyFill="1" applyBorder="1" applyAlignment="1">
      <alignment horizontal="right" vertical="center" wrapText="1"/>
    </xf>
    <xf numFmtId="0" fontId="92" fillId="0" borderId="0" xfId="0" applyFont="1" applyFill="1" applyBorder="1" applyAlignment="1">
      <alignment horizontal="center" vertical="center" wrapText="1"/>
    </xf>
    <xf numFmtId="0" fontId="84" fillId="0" borderId="0" xfId="0" applyFont="1" applyFill="1"/>
    <xf numFmtId="3" fontId="25" fillId="0" borderId="1" xfId="0" applyNumberFormat="1" applyFont="1" applyFill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left" vertical="center" wrapText="1"/>
    </xf>
    <xf numFmtId="0" fontId="84" fillId="0" borderId="1" xfId="0" applyFont="1" applyFill="1" applyBorder="1" applyAlignment="1">
      <alignment horizontal="center" vertical="center"/>
    </xf>
    <xf numFmtId="3" fontId="84" fillId="0" borderId="1" xfId="0" applyNumberFormat="1" applyFont="1" applyFill="1" applyBorder="1" applyAlignment="1">
      <alignment horizontal="center" vertical="center"/>
    </xf>
    <xf numFmtId="3" fontId="84" fillId="0" borderId="0" xfId="0" applyNumberFormat="1" applyFont="1" applyFill="1"/>
    <xf numFmtId="0" fontId="84" fillId="0" borderId="1" xfId="0" applyFont="1" applyFill="1" applyBorder="1"/>
    <xf numFmtId="49" fontId="25" fillId="0" borderId="1" xfId="18" applyNumberFormat="1" applyFont="1" applyFill="1" applyBorder="1" applyAlignment="1">
      <alignment horizontal="center" vertical="center"/>
    </xf>
    <xf numFmtId="0" fontId="25" fillId="0" borderId="1" xfId="18" applyFont="1" applyFill="1" applyBorder="1" applyAlignment="1">
      <alignment horizontal="center" vertical="center" wrapText="1"/>
    </xf>
    <xf numFmtId="3" fontId="94" fillId="0" borderId="1" xfId="0" applyNumberFormat="1" applyFont="1" applyFill="1" applyBorder="1" applyAlignment="1">
      <alignment horizontal="center" vertical="center"/>
    </xf>
    <xf numFmtId="49" fontId="25" fillId="0" borderId="39" xfId="18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49" fontId="84" fillId="0" borderId="1" xfId="18" applyNumberFormat="1" applyFont="1" applyFill="1" applyBorder="1" applyAlignment="1">
      <alignment horizontal="center" vertical="center" wrapText="1"/>
    </xf>
    <xf numFmtId="49" fontId="84" fillId="0" borderId="1" xfId="18" applyNumberFormat="1" applyFont="1" applyFill="1" applyBorder="1" applyAlignment="1">
      <alignment horizontal="center" vertical="center"/>
    </xf>
    <xf numFmtId="0" fontId="84" fillId="0" borderId="1" xfId="0" applyFont="1" applyFill="1" applyBorder="1" applyAlignment="1">
      <alignment horizontal="justify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85" fillId="0" borderId="1" xfId="18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left" vertical="center" wrapText="1"/>
    </xf>
    <xf numFmtId="0" fontId="94" fillId="0" borderId="1" xfId="0" applyFont="1" applyFill="1" applyBorder="1" applyAlignment="1">
      <alignment horizontal="center" vertical="center"/>
    </xf>
    <xf numFmtId="0" fontId="94" fillId="0" borderId="0" xfId="0" applyFont="1" applyFill="1"/>
    <xf numFmtId="3" fontId="94" fillId="0" borderId="0" xfId="0" applyNumberFormat="1" applyFont="1" applyFill="1"/>
    <xf numFmtId="1" fontId="84" fillId="0" borderId="1" xfId="0" applyNumberFormat="1" applyFont="1" applyFill="1" applyBorder="1" applyAlignment="1">
      <alignment horizontal="center" vertical="center"/>
    </xf>
    <xf numFmtId="0" fontId="84" fillId="0" borderId="39" xfId="0" applyFont="1" applyFill="1" applyBorder="1" applyAlignment="1">
      <alignment horizontal="center" vertical="center"/>
    </xf>
    <xf numFmtId="0" fontId="84" fillId="0" borderId="2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49" fontId="85" fillId="0" borderId="1" xfId="18" applyNumberFormat="1" applyFont="1" applyFill="1" applyBorder="1" applyAlignment="1">
      <alignment horizontal="center" vertical="center"/>
    </xf>
    <xf numFmtId="1" fontId="84" fillId="0" borderId="39" xfId="0" applyNumberFormat="1" applyFont="1" applyFill="1" applyBorder="1" applyAlignment="1">
      <alignment horizontal="center" vertical="center"/>
    </xf>
    <xf numFmtId="1" fontId="84" fillId="0" borderId="3" xfId="0" applyNumberFormat="1" applyFont="1" applyFill="1" applyBorder="1" applyAlignment="1">
      <alignment horizontal="center" vertical="center"/>
    </xf>
    <xf numFmtId="49" fontId="85" fillId="0" borderId="1" xfId="18" applyNumberFormat="1" applyFont="1" applyFill="1" applyBorder="1" applyAlignment="1">
      <alignment horizontal="center" vertical="center" wrapText="1"/>
    </xf>
    <xf numFmtId="1" fontId="84" fillId="0" borderId="2" xfId="0" applyNumberFormat="1" applyFont="1" applyFill="1" applyBorder="1" applyAlignment="1">
      <alignment horizontal="center" vertical="center"/>
    </xf>
    <xf numFmtId="3" fontId="84" fillId="0" borderId="39" xfId="0" applyNumberFormat="1" applyFont="1" applyFill="1" applyBorder="1" applyAlignment="1">
      <alignment horizontal="center" vertical="center"/>
    </xf>
    <xf numFmtId="3" fontId="84" fillId="0" borderId="2" xfId="0" applyNumberFormat="1" applyFont="1" applyFill="1" applyBorder="1" applyAlignment="1">
      <alignment horizontal="center" vertical="center"/>
    </xf>
    <xf numFmtId="3" fontId="84" fillId="0" borderId="3" xfId="0" applyNumberFormat="1" applyFont="1" applyFill="1" applyBorder="1" applyAlignment="1">
      <alignment horizontal="center" vertical="center"/>
    </xf>
    <xf numFmtId="1" fontId="94" fillId="0" borderId="1" xfId="0" applyNumberFormat="1" applyFont="1" applyFill="1" applyBorder="1" applyAlignment="1">
      <alignment horizontal="center" vertical="center"/>
    </xf>
    <xf numFmtId="3" fontId="84" fillId="0" borderId="1" xfId="0" applyNumberFormat="1" applyFont="1" applyFill="1" applyBorder="1"/>
    <xf numFmtId="0" fontId="94" fillId="0" borderId="1" xfId="0" applyFont="1" applyFill="1" applyBorder="1" applyAlignment="1" applyProtection="1">
      <alignment horizontal="center" vertical="center" wrapText="1"/>
      <protection locked="0"/>
    </xf>
    <xf numFmtId="0" fontId="84" fillId="0" borderId="1" xfId="0" applyFont="1" applyFill="1" applyBorder="1" applyAlignment="1" applyProtection="1">
      <alignment horizontal="center" vertical="center" wrapText="1"/>
      <protection locked="0"/>
    </xf>
    <xf numFmtId="0" fontId="94" fillId="0" borderId="1" xfId="0" applyFont="1" applyFill="1" applyBorder="1"/>
    <xf numFmtId="0" fontId="94" fillId="0" borderId="28" xfId="0" applyFont="1" applyFill="1" applyBorder="1" applyAlignment="1">
      <alignment horizontal="center" vertical="center" wrapText="1"/>
    </xf>
    <xf numFmtId="0" fontId="94" fillId="0" borderId="29" xfId="0" applyFont="1" applyFill="1" applyBorder="1" applyAlignment="1">
      <alignment horizontal="center" vertical="center" wrapText="1"/>
    </xf>
    <xf numFmtId="0" fontId="94" fillId="0" borderId="30" xfId="0" applyFont="1" applyFill="1" applyBorder="1" applyAlignment="1">
      <alignment horizontal="center" vertical="center" wrapText="1"/>
    </xf>
    <xf numFmtId="0" fontId="84" fillId="0" borderId="0" xfId="0" applyFont="1" applyFill="1" applyAlignment="1"/>
    <xf numFmtId="0" fontId="25" fillId="0" borderId="0" xfId="58792" applyFont="1" applyFill="1" applyProtection="1">
      <protection locked="0"/>
    </xf>
    <xf numFmtId="0" fontId="25" fillId="74" borderId="1" xfId="58792" applyFont="1" applyFill="1" applyBorder="1" applyAlignment="1" applyProtection="1">
      <alignment horizontal="center" vertical="center" wrapText="1"/>
      <protection locked="0"/>
    </xf>
    <xf numFmtId="0" fontId="25" fillId="0" borderId="1" xfId="58792" applyFont="1" applyBorder="1" applyAlignment="1" applyProtection="1">
      <alignment horizontal="center" vertical="center" wrapText="1"/>
      <protection locked="0"/>
    </xf>
    <xf numFmtId="3" fontId="25" fillId="0" borderId="39" xfId="58792" applyNumberFormat="1" applyFont="1" applyFill="1" applyBorder="1" applyAlignment="1" applyProtection="1">
      <alignment horizontal="center" vertical="center"/>
      <protection locked="0"/>
    </xf>
    <xf numFmtId="3" fontId="25" fillId="0" borderId="1" xfId="58792" applyNumberFormat="1" applyFont="1" applyFill="1" applyBorder="1" applyAlignment="1" applyProtection="1">
      <alignment horizontal="center" vertical="center"/>
      <protection locked="0"/>
    </xf>
    <xf numFmtId="3" fontId="25" fillId="0" borderId="2" xfId="58792" applyNumberFormat="1" applyFont="1" applyFill="1" applyBorder="1" applyAlignment="1" applyProtection="1">
      <alignment horizontal="center" vertical="center"/>
      <protection locked="0"/>
    </xf>
    <xf numFmtId="0" fontId="25" fillId="0" borderId="1" xfId="58792" applyFont="1" applyFill="1" applyBorder="1" applyAlignment="1" applyProtection="1">
      <alignment vertical="center" wrapText="1"/>
      <protection locked="0"/>
    </xf>
    <xf numFmtId="3" fontId="25" fillId="0" borderId="3" xfId="58792" applyNumberFormat="1" applyFont="1" applyFill="1" applyBorder="1" applyAlignment="1" applyProtection="1">
      <alignment horizontal="center" vertical="center"/>
      <protection locked="0"/>
    </xf>
    <xf numFmtId="0" fontId="25" fillId="0" borderId="1" xfId="58792" applyFont="1" applyFill="1" applyBorder="1" applyAlignment="1" applyProtection="1">
      <alignment horizontal="center"/>
      <protection locked="0"/>
    </xf>
    <xf numFmtId="0" fontId="84" fillId="0" borderId="0" xfId="58792" applyFont="1" applyFill="1" applyAlignment="1">
      <alignment horizontal="center"/>
    </xf>
    <xf numFmtId="0" fontId="84" fillId="0" borderId="0" xfId="58792" applyFont="1" applyFill="1"/>
    <xf numFmtId="3" fontId="84" fillId="0" borderId="0" xfId="58792" applyNumberFormat="1" applyFont="1" applyFill="1" applyAlignment="1">
      <alignment horizontal="center"/>
    </xf>
    <xf numFmtId="3" fontId="85" fillId="0" borderId="1" xfId="58792" applyNumberFormat="1" applyFont="1" applyFill="1" applyBorder="1" applyAlignment="1" applyProtection="1">
      <alignment horizontal="center" vertical="center"/>
      <protection locked="0"/>
    </xf>
    <xf numFmtId="0" fontId="85" fillId="0" borderId="0" xfId="58792" applyFont="1" applyFill="1" applyProtection="1">
      <protection locked="0"/>
    </xf>
    <xf numFmtId="0" fontId="25" fillId="0" borderId="39" xfId="58792" applyFont="1" applyFill="1" applyBorder="1" applyAlignment="1" applyProtection="1">
      <alignment vertical="center" wrapText="1"/>
      <protection locked="0"/>
    </xf>
    <xf numFmtId="3" fontId="25" fillId="0" borderId="1" xfId="58792" applyNumberFormat="1" applyFont="1" applyFill="1" applyBorder="1" applyAlignment="1" applyProtection="1">
      <alignment horizontal="center"/>
      <protection locked="0"/>
    </xf>
    <xf numFmtId="3" fontId="25" fillId="0" borderId="1" xfId="58792" applyNumberFormat="1" applyFont="1" applyFill="1" applyBorder="1" applyAlignment="1" applyProtection="1">
      <alignment vertical="center"/>
      <protection locked="0"/>
    </xf>
    <xf numFmtId="3" fontId="25" fillId="0" borderId="2" xfId="58792" applyNumberFormat="1" applyFont="1" applyFill="1" applyBorder="1" applyAlignment="1" applyProtection="1">
      <alignment vertical="center"/>
      <protection locked="0"/>
    </xf>
    <xf numFmtId="3" fontId="25" fillId="0" borderId="39" xfId="58792" applyNumberFormat="1" applyFont="1" applyFill="1" applyBorder="1" applyAlignment="1" applyProtection="1">
      <alignment vertical="center"/>
      <protection locked="0"/>
    </xf>
    <xf numFmtId="3" fontId="25" fillId="0" borderId="3" xfId="58792" applyNumberFormat="1" applyFont="1" applyFill="1" applyBorder="1" applyAlignment="1" applyProtection="1">
      <alignment vertical="center"/>
      <protection locked="0"/>
    </xf>
    <xf numFmtId="0" fontId="94" fillId="0" borderId="0" xfId="58792" applyFont="1" applyFill="1"/>
    <xf numFmtId="3" fontId="84" fillId="0" borderId="0" xfId="58792" applyNumberFormat="1" applyFont="1" applyFill="1"/>
    <xf numFmtId="0" fontId="85" fillId="0" borderId="1" xfId="58792" applyFont="1" applyFill="1" applyBorder="1" applyAlignment="1" applyProtection="1">
      <alignment horizontal="center" vertical="center" wrapText="1"/>
      <protection locked="0"/>
    </xf>
    <xf numFmtId="0" fontId="85" fillId="0" borderId="28" xfId="58792" applyFont="1" applyFill="1" applyBorder="1" applyAlignment="1" applyProtection="1">
      <alignment horizontal="center" vertical="center" wrapText="1"/>
      <protection locked="0"/>
    </xf>
    <xf numFmtId="0" fontId="85" fillId="0" borderId="1" xfId="58792" applyFont="1" applyFill="1" applyBorder="1" applyAlignment="1" applyProtection="1">
      <alignment horizontal="center" vertical="center"/>
      <protection locked="0"/>
    </xf>
    <xf numFmtId="0" fontId="92" fillId="0" borderId="0" xfId="0" applyFont="1" applyFill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center" wrapText="1"/>
    </xf>
    <xf numFmtId="0" fontId="84" fillId="0" borderId="39" xfId="0" applyFont="1" applyFill="1" applyBorder="1" applyAlignment="1">
      <alignment horizontal="center" vertical="center" wrapText="1"/>
    </xf>
    <xf numFmtId="0" fontId="84" fillId="0" borderId="3" xfId="0" applyFont="1" applyFill="1" applyBorder="1" applyAlignment="1">
      <alignment horizontal="center" vertical="center" wrapText="1"/>
    </xf>
    <xf numFmtId="3" fontId="84" fillId="0" borderId="1" xfId="0" applyNumberFormat="1" applyFont="1" applyFill="1" applyBorder="1" applyAlignment="1">
      <alignment horizontal="center" vertical="center" wrapText="1"/>
    </xf>
    <xf numFmtId="3" fontId="25" fillId="0" borderId="28" xfId="0" applyNumberFormat="1" applyFont="1" applyFill="1" applyBorder="1" applyAlignment="1">
      <alignment horizontal="center" vertical="center" wrapText="1"/>
    </xf>
    <xf numFmtId="0" fontId="93" fillId="0" borderId="29" xfId="0" applyFont="1" applyFill="1" applyBorder="1" applyAlignment="1">
      <alignment horizontal="center" vertical="center" wrapText="1"/>
    </xf>
    <xf numFmtId="0" fontId="93" fillId="0" borderId="30" xfId="0" applyFont="1" applyFill="1" applyBorder="1" applyAlignment="1">
      <alignment horizontal="center" vertical="center" wrapText="1"/>
    </xf>
    <xf numFmtId="0" fontId="93" fillId="0" borderId="2" xfId="0" applyFont="1" applyFill="1" applyBorder="1" applyAlignment="1">
      <alignment horizontal="center" vertical="center" wrapText="1"/>
    </xf>
    <xf numFmtId="0" fontId="93" fillId="0" borderId="3" xfId="0" applyFont="1" applyFill="1" applyBorder="1" applyAlignment="1">
      <alignment horizontal="center" vertical="center" wrapText="1"/>
    </xf>
    <xf numFmtId="3" fontId="84" fillId="0" borderId="39" xfId="0" applyNumberFormat="1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center" vertical="center"/>
    </xf>
    <xf numFmtId="0" fontId="93" fillId="0" borderId="3" xfId="0" applyFont="1" applyFill="1" applyBorder="1" applyAlignment="1">
      <alignment horizontal="center" vertical="center"/>
    </xf>
    <xf numFmtId="0" fontId="84" fillId="0" borderId="39" xfId="0" applyFont="1" applyFill="1" applyBorder="1" applyAlignment="1">
      <alignment horizontal="center"/>
    </xf>
    <xf numFmtId="0" fontId="93" fillId="0" borderId="2" xfId="0" applyFont="1" applyFill="1" applyBorder="1" applyAlignment="1">
      <alignment horizontal="center"/>
    </xf>
    <xf numFmtId="0" fontId="93" fillId="0" borderId="3" xfId="0" applyFont="1" applyFill="1" applyBorder="1" applyAlignment="1">
      <alignment horizontal="center"/>
    </xf>
    <xf numFmtId="1" fontId="84" fillId="0" borderId="39" xfId="0" applyNumberFormat="1" applyFont="1" applyFill="1" applyBorder="1" applyAlignment="1">
      <alignment horizontal="center" vertical="center"/>
    </xf>
    <xf numFmtId="0" fontId="84" fillId="0" borderId="39" xfId="0" applyFont="1" applyFill="1" applyBorder="1" applyAlignment="1">
      <alignment horizontal="center" vertical="center"/>
    </xf>
    <xf numFmtId="3" fontId="84" fillId="0" borderId="39" xfId="0" applyNumberFormat="1" applyFont="1" applyFill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center"/>
    </xf>
    <xf numFmtId="1" fontId="84" fillId="0" borderId="39" xfId="0" applyNumberFormat="1" applyFont="1" applyFill="1" applyBorder="1" applyAlignment="1">
      <alignment horizontal="center" vertical="center" wrapText="1"/>
    </xf>
    <xf numFmtId="0" fontId="92" fillId="0" borderId="27" xfId="58792" applyFont="1" applyFill="1" applyBorder="1" applyAlignment="1">
      <alignment horizontal="center" vertical="center" wrapText="1"/>
    </xf>
    <xf numFmtId="0" fontId="0" fillId="0" borderId="27" xfId="0" applyBorder="1" applyAlignment="1">
      <alignment wrapText="1"/>
    </xf>
    <xf numFmtId="0" fontId="85" fillId="74" borderId="1" xfId="61208" applyFont="1" applyFill="1" applyBorder="1" applyAlignment="1">
      <alignment horizontal="center" vertical="center"/>
    </xf>
    <xf numFmtId="4" fontId="85" fillId="74" borderId="28" xfId="61208" applyNumberFormat="1" applyFont="1" applyFill="1" applyBorder="1" applyAlignment="1">
      <alignment horizontal="center" vertical="center" wrapText="1"/>
    </xf>
    <xf numFmtId="4" fontId="85" fillId="74" borderId="29" xfId="61208" applyNumberFormat="1" applyFont="1" applyFill="1" applyBorder="1" applyAlignment="1">
      <alignment horizontal="center" vertical="center" wrapText="1"/>
    </xf>
    <xf numFmtId="4" fontId="85" fillId="74" borderId="30" xfId="61208" applyNumberFormat="1" applyFont="1" applyFill="1" applyBorder="1" applyAlignment="1">
      <alignment horizontal="center" vertical="center" wrapText="1"/>
    </xf>
    <xf numFmtId="3" fontId="129" fillId="74" borderId="28" xfId="61216" applyNumberFormat="1" applyFont="1" applyFill="1" applyBorder="1" applyAlignment="1" applyProtection="1">
      <alignment horizontal="center" vertical="center" wrapText="1"/>
      <protection locked="0"/>
    </xf>
    <xf numFmtId="3" fontId="129" fillId="74" borderId="29" xfId="61216" applyNumberFormat="1" applyFont="1" applyFill="1" applyBorder="1" applyAlignment="1" applyProtection="1">
      <alignment horizontal="center" vertical="center" wrapText="1"/>
      <protection locked="0"/>
    </xf>
    <xf numFmtId="3" fontId="129" fillId="74" borderId="30" xfId="61216" applyNumberFormat="1" applyFont="1" applyFill="1" applyBorder="1" applyAlignment="1" applyProtection="1">
      <alignment horizontal="center" vertical="center" wrapText="1"/>
      <protection locked="0"/>
    </xf>
    <xf numFmtId="3" fontId="134" fillId="74" borderId="0" xfId="61216" applyNumberFormat="1" applyFont="1" applyFill="1" applyAlignment="1" applyProtection="1">
      <alignment horizontal="center" vertical="center"/>
      <protection locked="0"/>
    </xf>
    <xf numFmtId="3" fontId="83" fillId="74" borderId="39" xfId="61216" applyNumberFormat="1" applyFont="1" applyFill="1" applyBorder="1" applyAlignment="1" applyProtection="1">
      <alignment horizontal="center" vertical="center" wrapText="1"/>
      <protection locked="0"/>
    </xf>
    <xf numFmtId="3" fontId="83" fillId="74" borderId="3" xfId="61216" applyNumberFormat="1" applyFont="1" applyFill="1" applyBorder="1" applyAlignment="1" applyProtection="1">
      <alignment horizontal="center" vertical="center" wrapText="1"/>
      <protection locked="0"/>
    </xf>
    <xf numFmtId="3" fontId="25" fillId="74" borderId="39" xfId="61217" applyNumberFormat="1" applyFont="1" applyFill="1" applyBorder="1" applyAlignment="1" applyProtection="1">
      <alignment horizontal="center" vertical="center" wrapText="1"/>
      <protection locked="0"/>
    </xf>
    <xf numFmtId="3" fontId="25" fillId="74" borderId="3" xfId="61217" applyNumberFormat="1" applyFont="1" applyFill="1" applyBorder="1" applyAlignment="1" applyProtection="1">
      <alignment horizontal="center" vertical="center" wrapText="1"/>
      <protection locked="0"/>
    </xf>
    <xf numFmtId="3" fontId="25" fillId="74" borderId="39" xfId="61216" applyNumberFormat="1" applyFont="1" applyFill="1" applyBorder="1" applyAlignment="1" applyProtection="1">
      <alignment horizontal="center" vertical="center" wrapText="1"/>
      <protection locked="0"/>
    </xf>
    <xf numFmtId="3" fontId="25" fillId="74" borderId="3" xfId="61216" applyNumberFormat="1" applyFont="1" applyFill="1" applyBorder="1" applyAlignment="1" applyProtection="1">
      <alignment horizontal="center" vertical="center" wrapText="1"/>
      <protection locked="0"/>
    </xf>
    <xf numFmtId="3" fontId="25" fillId="74" borderId="67" xfId="61216" applyNumberFormat="1" applyFont="1" applyFill="1" applyBorder="1" applyAlignment="1" applyProtection="1">
      <alignment horizontal="center" vertical="center" wrapText="1"/>
      <protection locked="0"/>
    </xf>
    <xf numFmtId="3" fontId="25" fillId="74" borderId="72" xfId="61216" applyNumberFormat="1" applyFont="1" applyFill="1" applyBorder="1" applyAlignment="1" applyProtection="1">
      <alignment horizontal="center" vertical="center" wrapText="1"/>
      <protection locked="0"/>
    </xf>
    <xf numFmtId="3" fontId="25" fillId="74" borderId="71" xfId="61216" applyNumberFormat="1" applyFont="1" applyFill="1" applyBorder="1" applyAlignment="1" applyProtection="1">
      <alignment horizontal="center" vertical="center" wrapText="1"/>
      <protection locked="0"/>
    </xf>
    <xf numFmtId="0" fontId="94" fillId="74" borderId="0" xfId="61207" applyFont="1" applyFill="1" applyAlignment="1">
      <alignment horizontal="center" vertical="center" wrapText="1"/>
    </xf>
    <xf numFmtId="0" fontId="84" fillId="74" borderId="0" xfId="61207" applyFont="1" applyFill="1" applyAlignment="1">
      <alignment wrapText="1"/>
    </xf>
    <xf numFmtId="0" fontId="25" fillId="74" borderId="39" xfId="61207" applyFont="1" applyFill="1" applyBorder="1" applyAlignment="1">
      <alignment horizontal="center" vertical="center" wrapText="1"/>
    </xf>
    <xf numFmtId="0" fontId="25" fillId="74" borderId="2" xfId="61207" applyFont="1" applyFill="1" applyBorder="1" applyAlignment="1">
      <alignment horizontal="center" vertical="center" wrapText="1"/>
    </xf>
    <xf numFmtId="0" fontId="25" fillId="74" borderId="3" xfId="61207" applyFont="1" applyFill="1" applyBorder="1" applyAlignment="1">
      <alignment horizontal="center" vertical="center" wrapText="1"/>
    </xf>
    <xf numFmtId="0" fontId="25" fillId="74" borderId="1" xfId="61207" applyFont="1" applyFill="1" applyBorder="1" applyAlignment="1">
      <alignment horizontal="center" vertical="center" wrapText="1"/>
    </xf>
    <xf numFmtId="3" fontId="25" fillId="74" borderId="1" xfId="61208" applyNumberFormat="1" applyFont="1" applyFill="1" applyBorder="1" applyAlignment="1">
      <alignment horizontal="center" vertical="center" wrapText="1"/>
    </xf>
    <xf numFmtId="0" fontId="25" fillId="74" borderId="67" xfId="61207" applyFont="1" applyFill="1" applyBorder="1" applyAlignment="1">
      <alignment horizontal="center" vertical="center" wrapText="1"/>
    </xf>
    <xf numFmtId="0" fontId="25" fillId="74" borderId="71" xfId="61207" applyFont="1" applyFill="1" applyBorder="1" applyAlignment="1">
      <alignment horizontal="center" vertical="center" wrapText="1"/>
    </xf>
    <xf numFmtId="0" fontId="25" fillId="74" borderId="66" xfId="61207" applyFont="1" applyFill="1" applyBorder="1" applyAlignment="1">
      <alignment horizontal="center" vertical="center" wrapText="1"/>
    </xf>
    <xf numFmtId="0" fontId="25" fillId="74" borderId="73" xfId="61207" applyFont="1" applyFill="1" applyBorder="1" applyAlignment="1">
      <alignment horizontal="center" vertical="center" wrapText="1"/>
    </xf>
    <xf numFmtId="0" fontId="25" fillId="74" borderId="59" xfId="61207" applyFont="1" applyFill="1" applyBorder="1" applyAlignment="1">
      <alignment horizontal="center" vertical="center" wrapText="1"/>
    </xf>
    <xf numFmtId="0" fontId="25" fillId="74" borderId="58" xfId="61207" applyFont="1" applyFill="1" applyBorder="1" applyAlignment="1">
      <alignment horizontal="center" vertical="center" wrapText="1"/>
    </xf>
    <xf numFmtId="3" fontId="25" fillId="74" borderId="67" xfId="61208" applyNumberFormat="1" applyFont="1" applyFill="1" applyBorder="1" applyAlignment="1">
      <alignment horizontal="center" vertical="center" wrapText="1"/>
    </xf>
    <xf numFmtId="3" fontId="25" fillId="74" borderId="71" xfId="61208" applyNumberFormat="1" applyFont="1" applyFill="1" applyBorder="1" applyAlignment="1">
      <alignment horizontal="center" vertical="center" wrapText="1"/>
    </xf>
    <xf numFmtId="3" fontId="25" fillId="74" borderId="66" xfId="61208" applyNumberFormat="1" applyFont="1" applyFill="1" applyBorder="1" applyAlignment="1">
      <alignment horizontal="center" vertical="center" wrapText="1"/>
    </xf>
    <xf numFmtId="3" fontId="25" fillId="74" borderId="73" xfId="61208" applyNumberFormat="1" applyFont="1" applyFill="1" applyBorder="1" applyAlignment="1">
      <alignment horizontal="center" vertical="center" wrapText="1"/>
    </xf>
    <xf numFmtId="3" fontId="25" fillId="74" borderId="59" xfId="61208" applyNumberFormat="1" applyFont="1" applyFill="1" applyBorder="1" applyAlignment="1">
      <alignment horizontal="center" vertical="center" wrapText="1"/>
    </xf>
    <xf numFmtId="3" fontId="25" fillId="74" borderId="58" xfId="61208" applyNumberFormat="1" applyFont="1" applyFill="1" applyBorder="1" applyAlignment="1">
      <alignment horizontal="center" vertical="center" wrapText="1"/>
    </xf>
    <xf numFmtId="3" fontId="25" fillId="74" borderId="72" xfId="61208" applyNumberFormat="1" applyFont="1" applyFill="1" applyBorder="1" applyAlignment="1">
      <alignment horizontal="center" vertical="center" wrapText="1"/>
    </xf>
    <xf numFmtId="3" fontId="25" fillId="74" borderId="27" xfId="61208" applyNumberFormat="1" applyFont="1" applyFill="1" applyBorder="1" applyAlignment="1">
      <alignment horizontal="center" vertical="center" wrapText="1"/>
    </xf>
    <xf numFmtId="0" fontId="105" fillId="74" borderId="67" xfId="61207" applyFont="1" applyFill="1" applyBorder="1" applyAlignment="1">
      <alignment horizontal="center" vertical="center" wrapText="1"/>
    </xf>
    <xf numFmtId="0" fontId="105" fillId="74" borderId="71" xfId="61207" applyFont="1" applyFill="1" applyBorder="1" applyAlignment="1">
      <alignment horizontal="center" vertical="center" wrapText="1"/>
    </xf>
    <xf numFmtId="0" fontId="105" fillId="74" borderId="66" xfId="61207" applyFont="1" applyFill="1" applyBorder="1" applyAlignment="1">
      <alignment horizontal="center" vertical="center" wrapText="1"/>
    </xf>
    <xf numFmtId="0" fontId="105" fillId="74" borderId="73" xfId="61207" applyFont="1" applyFill="1" applyBorder="1" applyAlignment="1">
      <alignment horizontal="center" vertical="center" wrapText="1"/>
    </xf>
    <xf numFmtId="0" fontId="105" fillId="74" borderId="59" xfId="61207" applyFont="1" applyFill="1" applyBorder="1" applyAlignment="1">
      <alignment horizontal="center" vertical="center" wrapText="1"/>
    </xf>
    <xf numFmtId="0" fontId="105" fillId="74" borderId="58" xfId="61207" applyFont="1" applyFill="1" applyBorder="1" applyAlignment="1">
      <alignment horizontal="center" vertical="center" wrapText="1"/>
    </xf>
    <xf numFmtId="3" fontId="25" fillId="74" borderId="39" xfId="61208" applyNumberFormat="1" applyFont="1" applyFill="1" applyBorder="1" applyAlignment="1">
      <alignment horizontal="center" vertical="center" wrapText="1"/>
    </xf>
    <xf numFmtId="3" fontId="25" fillId="74" borderId="2" xfId="61208" applyNumberFormat="1" applyFont="1" applyFill="1" applyBorder="1" applyAlignment="1">
      <alignment horizontal="center" vertical="center" wrapText="1"/>
    </xf>
    <xf numFmtId="3" fontId="25" fillId="74" borderId="3" xfId="61208" applyNumberFormat="1" applyFont="1" applyFill="1" applyBorder="1" applyAlignment="1">
      <alignment horizontal="center" vertical="center" wrapText="1"/>
    </xf>
    <xf numFmtId="0" fontId="25" fillId="74" borderId="28" xfId="61207" applyFont="1" applyFill="1" applyBorder="1" applyAlignment="1">
      <alignment horizontal="center" vertical="center" wrapText="1"/>
    </xf>
    <xf numFmtId="0" fontId="25" fillId="74" borderId="29" xfId="61207" applyFont="1" applyFill="1" applyBorder="1" applyAlignment="1">
      <alignment horizontal="center" vertical="center" wrapText="1"/>
    </xf>
    <xf numFmtId="0" fontId="25" fillId="74" borderId="30" xfId="61207" applyFont="1" applyFill="1" applyBorder="1" applyAlignment="1">
      <alignment horizontal="center" vertical="center" wrapText="1"/>
    </xf>
    <xf numFmtId="3" fontId="25" fillId="74" borderId="28" xfId="61208" applyNumberFormat="1" applyFont="1" applyFill="1" applyBorder="1" applyAlignment="1">
      <alignment horizontal="center" vertical="center" wrapText="1"/>
    </xf>
    <xf numFmtId="3" fontId="25" fillId="74" borderId="29" xfId="61208" applyNumberFormat="1" applyFont="1" applyFill="1" applyBorder="1" applyAlignment="1">
      <alignment horizontal="center" vertical="center" wrapText="1"/>
    </xf>
    <xf numFmtId="3" fontId="25" fillId="74" borderId="30" xfId="61208" applyNumberFormat="1" applyFont="1" applyFill="1" applyBorder="1" applyAlignment="1">
      <alignment horizontal="center" vertical="center" wrapText="1"/>
    </xf>
    <xf numFmtId="3" fontId="114" fillId="74" borderId="0" xfId="61210" applyNumberFormat="1" applyFont="1" applyFill="1" applyAlignment="1">
      <alignment horizontal="center" vertical="center" wrapText="1"/>
    </xf>
    <xf numFmtId="3" fontId="117" fillId="74" borderId="39" xfId="61210" applyNumberFormat="1" applyFont="1" applyFill="1" applyBorder="1" applyAlignment="1">
      <alignment horizontal="center" vertical="center" wrapText="1"/>
    </xf>
    <xf numFmtId="3" fontId="117" fillId="74" borderId="2" xfId="61210" applyNumberFormat="1" applyFont="1" applyFill="1" applyBorder="1" applyAlignment="1">
      <alignment horizontal="center" vertical="center" wrapText="1"/>
    </xf>
    <xf numFmtId="3" fontId="117" fillId="74" borderId="3" xfId="61210" applyNumberFormat="1" applyFont="1" applyFill="1" applyBorder="1" applyAlignment="1">
      <alignment horizontal="center" vertical="center" wrapText="1"/>
    </xf>
    <xf numFmtId="3" fontId="117" fillId="74" borderId="28" xfId="61210" applyNumberFormat="1" applyFont="1" applyFill="1" applyBorder="1" applyAlignment="1">
      <alignment horizontal="center" vertical="center" wrapText="1"/>
    </xf>
    <xf numFmtId="3" fontId="117" fillId="74" borderId="29" xfId="61210" applyNumberFormat="1" applyFont="1" applyFill="1" applyBorder="1" applyAlignment="1">
      <alignment horizontal="center" vertical="center" wrapText="1"/>
    </xf>
    <xf numFmtId="3" fontId="117" fillId="74" borderId="67" xfId="61210" applyNumberFormat="1" applyFont="1" applyFill="1" applyBorder="1" applyAlignment="1">
      <alignment horizontal="center" vertical="center" wrapText="1"/>
    </xf>
    <xf numFmtId="3" fontId="117" fillId="74" borderId="71" xfId="61210" applyNumberFormat="1" applyFont="1" applyFill="1" applyBorder="1" applyAlignment="1">
      <alignment horizontal="center" vertical="center" wrapText="1"/>
    </xf>
    <xf numFmtId="3" fontId="117" fillId="74" borderId="66" xfId="61210" applyNumberFormat="1" applyFont="1" applyFill="1" applyBorder="1" applyAlignment="1">
      <alignment horizontal="center" vertical="center" wrapText="1"/>
    </xf>
    <xf numFmtId="3" fontId="117" fillId="74" borderId="73" xfId="61210" applyNumberFormat="1" applyFont="1" applyFill="1" applyBorder="1" applyAlignment="1">
      <alignment horizontal="center" vertical="center" wrapText="1"/>
    </xf>
    <xf numFmtId="3" fontId="117" fillId="74" borderId="59" xfId="61210" applyNumberFormat="1" applyFont="1" applyFill="1" applyBorder="1" applyAlignment="1">
      <alignment horizontal="center" vertical="center" wrapText="1"/>
    </xf>
    <xf numFmtId="3" fontId="117" fillId="74" borderId="58" xfId="61210" applyNumberFormat="1" applyFont="1" applyFill="1" applyBorder="1" applyAlignment="1">
      <alignment horizontal="center" vertical="center" wrapText="1"/>
    </xf>
    <xf numFmtId="3" fontId="117" fillId="74" borderId="72" xfId="61210" applyNumberFormat="1" applyFont="1" applyFill="1" applyBorder="1" applyAlignment="1">
      <alignment horizontal="center" vertical="center" wrapText="1"/>
    </xf>
    <xf numFmtId="3" fontId="117" fillId="74" borderId="1" xfId="61210" applyNumberFormat="1" applyFont="1" applyFill="1" applyBorder="1" applyAlignment="1">
      <alignment horizontal="center" vertical="center" wrapText="1"/>
    </xf>
    <xf numFmtId="4" fontId="118" fillId="74" borderId="28" xfId="0" applyNumberFormat="1" applyFont="1" applyFill="1" applyBorder="1" applyAlignment="1">
      <alignment horizontal="center" vertical="center" wrapText="1"/>
    </xf>
    <xf numFmtId="4" fontId="118" fillId="74" borderId="29" xfId="0" applyNumberFormat="1" applyFont="1" applyFill="1" applyBorder="1" applyAlignment="1">
      <alignment horizontal="center" vertical="center" wrapText="1"/>
    </xf>
    <xf numFmtId="4" fontId="118" fillId="74" borderId="30" xfId="0" applyNumberFormat="1" applyFont="1" applyFill="1" applyBorder="1" applyAlignment="1">
      <alignment horizontal="center" vertical="center" wrapText="1"/>
    </xf>
    <xf numFmtId="0" fontId="118" fillId="74" borderId="1" xfId="0" applyFont="1" applyFill="1" applyBorder="1" applyAlignment="1">
      <alignment horizontal="center" vertical="center"/>
    </xf>
    <xf numFmtId="0" fontId="92" fillId="74" borderId="0" xfId="61203" applyFont="1" applyFill="1" applyAlignment="1">
      <alignment horizontal="center" vertical="center" wrapText="1"/>
    </xf>
    <xf numFmtId="0" fontId="84" fillId="74" borderId="1" xfId="61203" applyFont="1" applyFill="1" applyBorder="1" applyAlignment="1">
      <alignment horizontal="center" vertical="center" wrapText="1"/>
    </xf>
    <xf numFmtId="49" fontId="84" fillId="74" borderId="26" xfId="61203" applyNumberFormat="1" applyFont="1" applyFill="1" applyBorder="1" applyAlignment="1">
      <alignment horizontal="center" vertical="center" wrapText="1"/>
    </xf>
    <xf numFmtId="49" fontId="84" fillId="74" borderId="3" xfId="61203" applyNumberFormat="1" applyFont="1" applyFill="1" applyBorder="1" applyAlignment="1">
      <alignment horizontal="center" vertical="center" wrapText="1"/>
    </xf>
    <xf numFmtId="3" fontId="84" fillId="74" borderId="1" xfId="61203" applyNumberFormat="1" applyFont="1" applyFill="1" applyBorder="1" applyAlignment="1">
      <alignment horizontal="center" vertical="center" wrapText="1"/>
    </xf>
    <xf numFmtId="0" fontId="93" fillId="74" borderId="1" xfId="61203" applyFont="1" applyFill="1" applyBorder="1" applyAlignment="1">
      <alignment horizontal="center" vertical="center" wrapText="1"/>
    </xf>
    <xf numFmtId="3" fontId="95" fillId="74" borderId="0" xfId="61204" applyNumberFormat="1" applyFont="1" applyFill="1" applyAlignment="1">
      <alignment horizontal="center" vertical="center" wrapText="1"/>
    </xf>
    <xf numFmtId="0" fontId="96" fillId="74" borderId="0" xfId="61204" applyFont="1" applyFill="1" applyAlignment="1">
      <alignment horizontal="center" vertical="center" wrapText="1"/>
    </xf>
    <xf numFmtId="3" fontId="84" fillId="74" borderId="31" xfId="61204" applyNumberFormat="1" applyFont="1" applyFill="1" applyBorder="1" applyAlignment="1">
      <alignment horizontal="center" vertical="center" wrapText="1"/>
    </xf>
    <xf numFmtId="3" fontId="84" fillId="74" borderId="36" xfId="61204" applyNumberFormat="1" applyFont="1" applyFill="1" applyBorder="1" applyAlignment="1">
      <alignment horizontal="center" vertical="center" wrapText="1"/>
    </xf>
    <xf numFmtId="0" fontId="7" fillId="74" borderId="36" xfId="61204" applyFill="1" applyBorder="1" applyAlignment="1">
      <alignment horizontal="center" vertical="center" wrapText="1"/>
    </xf>
    <xf numFmtId="3" fontId="84" fillId="74" borderId="32" xfId="58524" applyNumberFormat="1" applyFont="1" applyFill="1" applyBorder="1" applyAlignment="1">
      <alignment horizontal="center" vertical="center" wrapText="1"/>
    </xf>
    <xf numFmtId="3" fontId="84" fillId="74" borderId="37" xfId="58524" applyNumberFormat="1" applyFont="1" applyFill="1" applyBorder="1" applyAlignment="1">
      <alignment horizontal="center" vertical="center" wrapText="1"/>
    </xf>
    <xf numFmtId="3" fontId="84" fillId="74" borderId="33" xfId="61204" applyNumberFormat="1" applyFont="1" applyFill="1" applyBorder="1" applyAlignment="1">
      <alignment horizontal="center" vertical="center"/>
    </xf>
    <xf numFmtId="3" fontId="84" fillId="74" borderId="34" xfId="61204" applyNumberFormat="1" applyFont="1" applyFill="1" applyBorder="1" applyAlignment="1">
      <alignment horizontal="center" vertical="center"/>
    </xf>
    <xf numFmtId="3" fontId="84" fillId="74" borderId="35" xfId="61204" applyNumberFormat="1" applyFont="1" applyFill="1" applyBorder="1" applyAlignment="1">
      <alignment horizontal="center" vertical="center"/>
    </xf>
    <xf numFmtId="0" fontId="101" fillId="74" borderId="57" xfId="58718" applyFont="1" applyFill="1" applyBorder="1" applyAlignment="1">
      <alignment horizontal="center" vertical="center" wrapText="1"/>
    </xf>
    <xf numFmtId="0" fontId="101" fillId="74" borderId="47" xfId="58718" applyFont="1" applyFill="1" applyBorder="1" applyAlignment="1">
      <alignment horizontal="center" vertical="center" wrapText="1"/>
    </xf>
    <xf numFmtId="0" fontId="104" fillId="74" borderId="2" xfId="58718" applyFont="1" applyFill="1" applyBorder="1" applyAlignment="1">
      <alignment horizontal="center" vertical="center" wrapText="1"/>
    </xf>
    <xf numFmtId="0" fontId="104" fillId="74" borderId="3" xfId="58718" applyFont="1" applyFill="1" applyBorder="1" applyAlignment="1">
      <alignment horizontal="center" vertical="center" wrapText="1"/>
    </xf>
    <xf numFmtId="0" fontId="102" fillId="74" borderId="2" xfId="58718" applyFont="1" applyFill="1" applyBorder="1" applyAlignment="1">
      <alignment horizontal="center" vertical="center" wrapText="1"/>
    </xf>
    <xf numFmtId="0" fontId="102" fillId="74" borderId="3" xfId="58718" applyFont="1" applyFill="1" applyBorder="1" applyAlignment="1">
      <alignment horizontal="center" vertical="center" wrapText="1"/>
    </xf>
    <xf numFmtId="4" fontId="104" fillId="74" borderId="2" xfId="58718" applyNumberFormat="1" applyFont="1" applyFill="1" applyBorder="1" applyAlignment="1">
      <alignment horizontal="center" vertical="center" wrapText="1"/>
    </xf>
    <xf numFmtId="4" fontId="104" fillId="74" borderId="3" xfId="58718" applyNumberFormat="1" applyFont="1" applyFill="1" applyBorder="1" applyAlignment="1">
      <alignment horizontal="center" vertical="center" wrapText="1"/>
    </xf>
    <xf numFmtId="0" fontId="25" fillId="74" borderId="2" xfId="58718" applyFont="1" applyFill="1" applyBorder="1" applyAlignment="1">
      <alignment horizontal="center" vertical="center" wrapText="1"/>
    </xf>
    <xf numFmtId="0" fontId="25" fillId="74" borderId="3" xfId="58718" applyFont="1" applyFill="1" applyBorder="1" applyAlignment="1">
      <alignment horizontal="center" vertical="center" wrapText="1"/>
    </xf>
    <xf numFmtId="0" fontId="101" fillId="74" borderId="40" xfId="58718" applyFont="1" applyFill="1" applyBorder="1" applyAlignment="1">
      <alignment horizontal="center" vertical="center" wrapText="1"/>
    </xf>
    <xf numFmtId="0" fontId="104" fillId="74" borderId="56" xfId="58718" applyFont="1" applyFill="1" applyBorder="1" applyAlignment="1">
      <alignment horizontal="center" vertical="center" wrapText="1"/>
    </xf>
    <xf numFmtId="0" fontId="104" fillId="74" borderId="46" xfId="58718" applyFont="1" applyFill="1" applyBorder="1" applyAlignment="1">
      <alignment horizontal="center" vertical="center" wrapText="1"/>
    </xf>
    <xf numFmtId="0" fontId="98" fillId="74" borderId="0" xfId="58718" applyFont="1" applyFill="1" applyAlignment="1">
      <alignment horizontal="center" vertical="center"/>
    </xf>
    <xf numFmtId="0" fontId="73" fillId="74" borderId="49" xfId="58718" applyFill="1" applyBorder="1" applyAlignment="1">
      <alignment horizontal="right" vertical="center"/>
    </xf>
    <xf numFmtId="0" fontId="100" fillId="74" borderId="50" xfId="58718" applyFont="1" applyFill="1" applyBorder="1" applyAlignment="1">
      <alignment horizontal="center" vertical="center" wrapText="1"/>
    </xf>
    <xf numFmtId="0" fontId="100" fillId="74" borderId="56" xfId="58718" applyFont="1" applyFill="1" applyBorder="1" applyAlignment="1">
      <alignment horizontal="center" vertical="center" wrapText="1"/>
    </xf>
    <xf numFmtId="0" fontId="100" fillId="74" borderId="46" xfId="58718" applyFont="1" applyFill="1" applyBorder="1" applyAlignment="1">
      <alignment horizontal="center" vertical="center" wrapText="1"/>
    </xf>
    <xf numFmtId="0" fontId="100" fillId="74" borderId="51" xfId="58718" applyFont="1" applyFill="1" applyBorder="1" applyAlignment="1">
      <alignment horizontal="center" vertical="center" wrapText="1"/>
    </xf>
    <xf numFmtId="0" fontId="100" fillId="74" borderId="2" xfId="58718" applyFont="1" applyFill="1" applyBorder="1" applyAlignment="1">
      <alignment horizontal="center" vertical="center" wrapText="1"/>
    </xf>
    <xf numFmtId="0" fontId="100" fillId="74" borderId="3" xfId="58718" applyFont="1" applyFill="1" applyBorder="1" applyAlignment="1">
      <alignment horizontal="center" vertical="center" wrapText="1"/>
    </xf>
    <xf numFmtId="0" fontId="100" fillId="74" borderId="52" xfId="58718" applyFont="1" applyFill="1" applyBorder="1" applyAlignment="1">
      <alignment horizontal="center" vertical="center" wrapText="1"/>
    </xf>
    <xf numFmtId="0" fontId="100" fillId="74" borderId="1" xfId="58718" applyFont="1" applyFill="1" applyBorder="1" applyAlignment="1">
      <alignment horizontal="center" vertical="center" wrapText="1"/>
    </xf>
    <xf numFmtId="0" fontId="94" fillId="74" borderId="53" xfId="58718" applyFont="1" applyFill="1" applyBorder="1" applyAlignment="1">
      <alignment horizontal="center" vertical="center" wrapText="1"/>
    </xf>
    <xf numFmtId="0" fontId="94" fillId="74" borderId="52" xfId="58718" applyFont="1" applyFill="1" applyBorder="1" applyAlignment="1">
      <alignment horizontal="center" vertical="center" wrapText="1"/>
    </xf>
    <xf numFmtId="0" fontId="94" fillId="74" borderId="54" xfId="58718" applyFont="1" applyFill="1" applyBorder="1" applyAlignment="1">
      <alignment horizontal="center" vertical="center" wrapText="1"/>
    </xf>
    <xf numFmtId="0" fontId="101" fillId="74" borderId="53" xfId="58718" applyFont="1" applyFill="1" applyBorder="1" applyAlignment="1">
      <alignment horizontal="center" vertical="center" wrapText="1"/>
    </xf>
    <xf numFmtId="0" fontId="101" fillId="74" borderId="52" xfId="58718" applyFont="1" applyFill="1" applyBorder="1" applyAlignment="1">
      <alignment horizontal="center" vertical="center" wrapText="1"/>
    </xf>
    <xf numFmtId="0" fontId="101" fillId="74" borderId="54" xfId="58718" applyFont="1" applyFill="1" applyBorder="1" applyAlignment="1">
      <alignment horizontal="center" vertical="center" wrapText="1"/>
    </xf>
    <xf numFmtId="0" fontId="101" fillId="74" borderId="55" xfId="58718" applyFont="1" applyFill="1" applyBorder="1" applyAlignment="1">
      <alignment horizontal="center" vertical="center" wrapText="1"/>
    </xf>
    <xf numFmtId="0" fontId="84" fillId="74" borderId="38" xfId="58718" applyFont="1" applyFill="1" applyBorder="1" applyAlignment="1">
      <alignment horizontal="center" vertical="center" wrapText="1"/>
    </xf>
    <xf numFmtId="0" fontId="84" fillId="74" borderId="46" xfId="58718" applyFont="1" applyFill="1" applyBorder="1" applyAlignment="1">
      <alignment horizontal="center" vertical="center" wrapText="1"/>
    </xf>
    <xf numFmtId="0" fontId="100" fillId="74" borderId="39" xfId="58718" applyFont="1" applyFill="1" applyBorder="1" applyAlignment="1">
      <alignment horizontal="center" vertical="center" wrapText="1"/>
    </xf>
    <xf numFmtId="0" fontId="101" fillId="74" borderId="40" xfId="58718" applyFont="1" applyFill="1" applyBorder="1" applyAlignment="1">
      <alignment horizontal="center" vertical="center"/>
    </xf>
    <xf numFmtId="0" fontId="101" fillId="74" borderId="47" xfId="58718" applyFont="1" applyFill="1" applyBorder="1" applyAlignment="1">
      <alignment horizontal="center" vertical="center"/>
    </xf>
    <xf numFmtId="0" fontId="25" fillId="74" borderId="56" xfId="58718" applyFont="1" applyFill="1" applyBorder="1" applyAlignment="1">
      <alignment horizontal="center" vertical="center" wrapText="1"/>
    </xf>
    <xf numFmtId="0" fontId="25" fillId="74" borderId="46" xfId="58718" applyFont="1" applyFill="1" applyBorder="1" applyAlignment="1">
      <alignment horizontal="center" vertical="center" wrapText="1"/>
    </xf>
    <xf numFmtId="0" fontId="91" fillId="74" borderId="27" xfId="61204" applyFont="1" applyFill="1" applyBorder="1" applyAlignment="1">
      <alignment horizontal="center" vertical="center" wrapText="1"/>
    </xf>
    <xf numFmtId="0" fontId="86" fillId="74" borderId="39" xfId="61204" applyFont="1" applyFill="1" applyBorder="1" applyAlignment="1">
      <alignment horizontal="center" vertical="center" wrapText="1"/>
    </xf>
    <xf numFmtId="0" fontId="86" fillId="74" borderId="3" xfId="61204" applyFont="1" applyFill="1" applyBorder="1" applyAlignment="1">
      <alignment horizontal="center" vertical="center" wrapText="1"/>
    </xf>
    <xf numFmtId="0" fontId="97" fillId="74" borderId="39" xfId="61204" applyFont="1" applyFill="1" applyBorder="1" applyAlignment="1">
      <alignment horizontal="center" vertical="center" wrapText="1"/>
    </xf>
    <xf numFmtId="0" fontId="7" fillId="74" borderId="3" xfId="61204" applyFill="1" applyBorder="1" applyAlignment="1">
      <alignment horizontal="center" vertical="center" wrapText="1"/>
    </xf>
    <xf numFmtId="0" fontId="90" fillId="74" borderId="39" xfId="61204" applyFont="1" applyFill="1" applyBorder="1" applyAlignment="1">
      <alignment horizontal="center" vertical="center" wrapText="1"/>
    </xf>
    <xf numFmtId="0" fontId="89" fillId="74" borderId="3" xfId="61204" applyFont="1" applyFill="1" applyBorder="1" applyAlignment="1">
      <alignment horizontal="center" vertical="center" wrapText="1"/>
    </xf>
    <xf numFmtId="3" fontId="84" fillId="74" borderId="28" xfId="61204" applyNumberFormat="1" applyFont="1" applyFill="1" applyBorder="1" applyAlignment="1">
      <alignment horizontal="center" vertical="center" wrapText="1"/>
    </xf>
    <xf numFmtId="3" fontId="93" fillId="74" borderId="30" xfId="61204" applyNumberFormat="1" applyFont="1" applyFill="1" applyBorder="1" applyAlignment="1">
      <alignment horizontal="center" vertical="center" wrapText="1"/>
    </xf>
    <xf numFmtId="0" fontId="105" fillId="74" borderId="43" xfId="61206" applyFont="1" applyFill="1" applyBorder="1" applyAlignment="1">
      <alignment horizontal="center" vertical="center" wrapText="1"/>
    </xf>
    <xf numFmtId="0" fontId="106" fillId="74" borderId="40" xfId="61206" applyFont="1" applyFill="1" applyBorder="1" applyAlignment="1">
      <alignment horizontal="center" vertical="center" wrapText="1"/>
    </xf>
    <xf numFmtId="0" fontId="95" fillId="74" borderId="0" xfId="61206" applyFont="1" applyFill="1" applyAlignment="1">
      <alignment horizontal="center" vertical="center" wrapText="1"/>
    </xf>
    <xf numFmtId="0" fontId="105" fillId="74" borderId="53" xfId="61206" applyFont="1" applyFill="1" applyBorder="1" applyAlignment="1">
      <alignment horizontal="center" vertical="center" wrapText="1"/>
    </xf>
    <xf numFmtId="0" fontId="105" fillId="74" borderId="56" xfId="61206" applyFont="1" applyFill="1" applyBorder="1" applyAlignment="1">
      <alignment horizontal="center" vertical="center" wrapText="1"/>
    </xf>
    <xf numFmtId="0" fontId="105" fillId="74" borderId="38" xfId="61206" applyFont="1" applyFill="1" applyBorder="1" applyAlignment="1">
      <alignment horizontal="center" vertical="center" wrapText="1"/>
    </xf>
    <xf numFmtId="0" fontId="105" fillId="74" borderId="51" xfId="61206" applyFont="1" applyFill="1" applyBorder="1" applyAlignment="1">
      <alignment horizontal="center" vertical="center" wrapText="1"/>
    </xf>
    <xf numFmtId="0" fontId="105" fillId="74" borderId="2" xfId="61206" applyFont="1" applyFill="1" applyBorder="1" applyAlignment="1">
      <alignment horizontal="center" vertical="center" wrapText="1"/>
    </xf>
    <xf numFmtId="0" fontId="105" fillId="74" borderId="55" xfId="61206" applyFont="1" applyFill="1" applyBorder="1" applyAlignment="1">
      <alignment horizontal="center" vertical="center" wrapText="1"/>
    </xf>
    <xf numFmtId="0" fontId="105" fillId="74" borderId="66" xfId="61206" applyFont="1" applyFill="1" applyBorder="1" applyAlignment="1">
      <alignment horizontal="center" vertical="center" wrapText="1"/>
    </xf>
    <xf numFmtId="0" fontId="105" fillId="74" borderId="67" xfId="61206" applyFont="1" applyFill="1" applyBorder="1" applyAlignment="1">
      <alignment horizontal="center" vertical="center" wrapText="1"/>
    </xf>
    <xf numFmtId="3" fontId="105" fillId="74" borderId="53" xfId="61206" applyNumberFormat="1" applyFont="1" applyFill="1" applyBorder="1" applyAlignment="1">
      <alignment horizontal="center" vertical="center" wrapText="1"/>
    </xf>
    <xf numFmtId="3" fontId="105" fillId="74" borderId="64" xfId="61206" applyNumberFormat="1" applyFont="1" applyFill="1" applyBorder="1" applyAlignment="1">
      <alignment horizontal="center" vertical="center" wrapText="1"/>
    </xf>
    <xf numFmtId="3" fontId="105" fillId="74" borderId="52" xfId="61206" applyNumberFormat="1" applyFont="1" applyFill="1" applyBorder="1" applyAlignment="1">
      <alignment horizontal="center" vertical="center" wrapText="1"/>
    </xf>
    <xf numFmtId="3" fontId="105" fillId="74" borderId="55" xfId="61206" applyNumberFormat="1" applyFont="1" applyFill="1" applyBorder="1" applyAlignment="1">
      <alignment horizontal="center" vertical="center" wrapText="1"/>
    </xf>
    <xf numFmtId="3" fontId="105" fillId="74" borderId="65" xfId="61206" applyNumberFormat="1" applyFont="1" applyFill="1" applyBorder="1" applyAlignment="1">
      <alignment horizontal="center" vertical="center" wrapText="1"/>
    </xf>
    <xf numFmtId="3" fontId="105" fillId="74" borderId="36" xfId="61206" applyNumberFormat="1" applyFont="1" applyFill="1" applyBorder="1" applyAlignment="1">
      <alignment horizontal="center" vertical="center" wrapText="1"/>
    </xf>
    <xf numFmtId="3" fontId="105" fillId="74" borderId="70" xfId="61206" applyNumberFormat="1" applyFont="1" applyFill="1" applyBorder="1" applyAlignment="1">
      <alignment horizontal="center" vertical="center"/>
    </xf>
    <xf numFmtId="0" fontId="106" fillId="74" borderId="52" xfId="61206" applyFont="1" applyFill="1" applyBorder="1" applyAlignment="1">
      <alignment horizontal="center" vertical="center" wrapText="1"/>
    </xf>
    <xf numFmtId="0" fontId="106" fillId="74" borderId="54" xfId="61206" applyFont="1" applyFill="1" applyBorder="1" applyAlignment="1">
      <alignment horizontal="center" vertical="center" wrapText="1"/>
    </xf>
    <xf numFmtId="3" fontId="105" fillId="74" borderId="70" xfId="61206" applyNumberFormat="1" applyFont="1" applyFill="1" applyBorder="1" applyAlignment="1">
      <alignment horizontal="center" vertical="center" wrapText="1"/>
    </xf>
    <xf numFmtId="3" fontId="105" fillId="74" borderId="48" xfId="61206" applyNumberFormat="1" applyFont="1" applyFill="1" applyBorder="1" applyAlignment="1">
      <alignment horizontal="center" vertical="center" wrapText="1"/>
    </xf>
    <xf numFmtId="0" fontId="106" fillId="74" borderId="29" xfId="61206" applyFont="1" applyFill="1" applyBorder="1" applyAlignment="1">
      <alignment horizontal="center" vertical="center" wrapText="1"/>
    </xf>
    <xf numFmtId="0" fontId="106" fillId="74" borderId="30" xfId="61206" applyFont="1" applyFill="1" applyBorder="1" applyAlignment="1">
      <alignment horizontal="center" vertical="center" wrapText="1"/>
    </xf>
    <xf numFmtId="3" fontId="105" fillId="74" borderId="39" xfId="61206" applyNumberFormat="1" applyFont="1" applyFill="1" applyBorder="1" applyAlignment="1">
      <alignment horizontal="center" vertical="center" wrapText="1"/>
    </xf>
    <xf numFmtId="0" fontId="106" fillId="74" borderId="2" xfId="61206" applyFont="1" applyFill="1" applyBorder="1" applyAlignment="1">
      <alignment horizontal="center" vertical="center" wrapText="1"/>
    </xf>
    <xf numFmtId="3" fontId="105" fillId="74" borderId="67" xfId="61206" applyNumberFormat="1" applyFont="1" applyFill="1" applyBorder="1" applyAlignment="1">
      <alignment horizontal="center" vertical="center" wrapText="1"/>
    </xf>
    <xf numFmtId="0" fontId="106" fillId="74" borderId="66" xfId="61206" applyFont="1" applyFill="1" applyBorder="1" applyAlignment="1">
      <alignment horizontal="center" vertical="center" wrapText="1"/>
    </xf>
    <xf numFmtId="3" fontId="105" fillId="74" borderId="30" xfId="61206" applyNumberFormat="1" applyFont="1" applyFill="1" applyBorder="1" applyAlignment="1">
      <alignment horizontal="center" vertical="center" wrapText="1"/>
    </xf>
    <xf numFmtId="0" fontId="106" fillId="74" borderId="71" xfId="61206" applyFont="1" applyFill="1" applyBorder="1" applyAlignment="1">
      <alignment horizontal="center" vertical="center" wrapText="1"/>
    </xf>
    <xf numFmtId="3" fontId="105" fillId="74" borderId="1" xfId="61206" applyNumberFormat="1" applyFont="1" applyFill="1" applyBorder="1" applyAlignment="1">
      <alignment horizontal="center" vertical="center" wrapText="1"/>
    </xf>
    <xf numFmtId="0" fontId="106" fillId="74" borderId="39" xfId="61206" applyFont="1" applyFill="1" applyBorder="1" applyAlignment="1">
      <alignment horizontal="center" vertical="center" wrapText="1"/>
    </xf>
    <xf numFmtId="3" fontId="109" fillId="0" borderId="3" xfId="61211" applyNumberFormat="1" applyFont="1" applyFill="1" applyBorder="1" applyAlignment="1">
      <alignment horizontal="center" vertical="center" wrapText="1"/>
    </xf>
    <xf numFmtId="3" fontId="109" fillId="0" borderId="1" xfId="61211" applyNumberFormat="1" applyFont="1" applyFill="1" applyBorder="1" applyAlignment="1">
      <alignment horizontal="center" vertical="center" wrapText="1"/>
    </xf>
    <xf numFmtId="3" fontId="83" fillId="0" borderId="1" xfId="61211" applyNumberFormat="1" applyFont="1" applyFill="1" applyBorder="1" applyAlignment="1">
      <alignment horizontal="center"/>
    </xf>
    <xf numFmtId="0" fontId="85" fillId="0" borderId="1" xfId="0" applyFont="1" applyFill="1" applyBorder="1" applyAlignment="1">
      <alignment horizontal="center" vertical="center"/>
    </xf>
    <xf numFmtId="3" fontId="119" fillId="0" borderId="27" xfId="61211" applyNumberFormat="1" applyFont="1" applyFill="1" applyBorder="1" applyAlignment="1">
      <alignment horizontal="center" vertical="center" wrapText="1"/>
    </xf>
    <xf numFmtId="3" fontId="84" fillId="0" borderId="39" xfId="61211" applyNumberFormat="1" applyFont="1" applyFill="1" applyBorder="1" applyAlignment="1">
      <alignment horizontal="center" vertical="center" wrapText="1"/>
    </xf>
    <xf numFmtId="3" fontId="84" fillId="0" borderId="2" xfId="61211" applyNumberFormat="1" applyFont="1" applyFill="1" applyBorder="1" applyAlignment="1">
      <alignment horizontal="center" vertical="center" wrapText="1"/>
    </xf>
    <xf numFmtId="3" fontId="84" fillId="0" borderId="3" xfId="61211" applyNumberFormat="1" applyFont="1" applyFill="1" applyBorder="1" applyAlignment="1">
      <alignment horizontal="center" vertical="center" wrapText="1"/>
    </xf>
    <xf numFmtId="3" fontId="109" fillId="0" borderId="59" xfId="61211" applyNumberFormat="1" applyFont="1" applyFill="1" applyBorder="1" applyAlignment="1">
      <alignment horizontal="center" vertical="center" wrapText="1"/>
    </xf>
    <xf numFmtId="3" fontId="109" fillId="0" borderId="27" xfId="61211" applyNumberFormat="1" applyFont="1" applyFill="1" applyBorder="1" applyAlignment="1">
      <alignment horizontal="center" vertical="center" wrapText="1"/>
    </xf>
    <xf numFmtId="4" fontId="25" fillId="0" borderId="28" xfId="0" applyNumberFormat="1" applyFont="1" applyFill="1" applyBorder="1" applyAlignment="1">
      <alignment horizontal="center" vertical="center" wrapText="1"/>
    </xf>
    <xf numFmtId="4" fontId="25" fillId="0" borderId="29" xfId="0" applyNumberFormat="1" applyFont="1" applyFill="1" applyBorder="1" applyAlignment="1">
      <alignment horizontal="center" vertical="center" wrapText="1"/>
    </xf>
    <xf numFmtId="4" fontId="25" fillId="0" borderId="30" xfId="0" applyNumberFormat="1" applyFont="1" applyFill="1" applyBorder="1" applyAlignment="1">
      <alignment horizontal="center" vertical="center" wrapText="1"/>
    </xf>
    <xf numFmtId="4" fontId="85" fillId="0" borderId="2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 applyAlignment="1">
      <alignment horizontal="center" vertical="center" wrapText="1"/>
    </xf>
    <xf numFmtId="4" fontId="85" fillId="0" borderId="30" xfId="0" applyNumberFormat="1" applyFont="1" applyFill="1" applyBorder="1" applyAlignment="1">
      <alignment horizontal="center" vertical="center" wrapText="1"/>
    </xf>
    <xf numFmtId="3" fontId="109" fillId="0" borderId="28" xfId="61211" applyNumberFormat="1" applyFont="1" applyFill="1" applyBorder="1" applyAlignment="1">
      <alignment horizontal="center" vertical="center" wrapText="1"/>
    </xf>
    <xf numFmtId="3" fontId="109" fillId="0" borderId="30" xfId="61211" applyNumberFormat="1" applyFont="1" applyFill="1" applyBorder="1" applyAlignment="1">
      <alignment horizontal="center" vertical="center" wrapText="1"/>
    </xf>
    <xf numFmtId="0" fontId="109" fillId="0" borderId="39" xfId="61211" applyFont="1" applyFill="1" applyBorder="1" applyAlignment="1">
      <alignment horizontal="center" vertical="center" wrapText="1"/>
    </xf>
    <xf numFmtId="0" fontId="109" fillId="0" borderId="3" xfId="61211" applyFont="1" applyFill="1" applyBorder="1" applyAlignment="1">
      <alignment horizontal="center" vertical="center" wrapText="1"/>
    </xf>
    <xf numFmtId="0" fontId="109" fillId="0" borderId="1" xfId="61211" applyFont="1" applyFill="1" applyBorder="1" applyAlignment="1">
      <alignment horizontal="center" vertical="center" wrapText="1"/>
    </xf>
    <xf numFmtId="0" fontId="83" fillId="0" borderId="28" xfId="61211" applyFont="1" applyFill="1" applyBorder="1" applyAlignment="1">
      <alignment horizontal="center" vertical="center" wrapText="1"/>
    </xf>
    <xf numFmtId="0" fontId="83" fillId="0" borderId="30" xfId="61211" applyFont="1" applyFill="1" applyBorder="1" applyAlignment="1">
      <alignment horizontal="center" vertical="center" wrapText="1"/>
    </xf>
    <xf numFmtId="0" fontId="83" fillId="0" borderId="1" xfId="61211" applyFont="1" applyFill="1" applyBorder="1" applyAlignment="1">
      <alignment horizontal="center" vertical="center" wrapText="1"/>
    </xf>
    <xf numFmtId="0" fontId="119" fillId="0" borderId="27" xfId="61211" applyFont="1" applyFill="1" applyBorder="1" applyAlignment="1">
      <alignment horizontal="center" vertical="center" wrapText="1"/>
    </xf>
    <xf numFmtId="0" fontId="84" fillId="0" borderId="39" xfId="61211" applyFont="1" applyFill="1" applyBorder="1" applyAlignment="1">
      <alignment horizontal="center" vertical="center" wrapText="1"/>
    </xf>
    <xf numFmtId="0" fontId="84" fillId="0" borderId="2" xfId="61211" applyFont="1" applyFill="1" applyBorder="1" applyAlignment="1">
      <alignment horizontal="center" vertical="center" wrapText="1"/>
    </xf>
    <xf numFmtId="0" fontId="84" fillId="0" borderId="3" xfId="61211" applyFont="1" applyFill="1" applyBorder="1" applyAlignment="1">
      <alignment horizontal="center" vertical="center" wrapText="1"/>
    </xf>
    <xf numFmtId="0" fontId="109" fillId="0" borderId="1" xfId="61211" applyFont="1" applyFill="1" applyBorder="1" applyAlignment="1">
      <alignment horizontal="center" vertical="top" wrapText="1"/>
    </xf>
    <xf numFmtId="0" fontId="109" fillId="0" borderId="2" xfId="61211" applyFont="1" applyFill="1" applyBorder="1" applyAlignment="1">
      <alignment horizontal="center" vertical="center" wrapText="1"/>
    </xf>
    <xf numFmtId="0" fontId="119" fillId="0" borderId="0" xfId="61211" applyFont="1" applyFill="1" applyBorder="1" applyAlignment="1">
      <alignment horizontal="center" vertical="center" wrapText="1"/>
    </xf>
    <xf numFmtId="0" fontId="83" fillId="0" borderId="29" xfId="61211" applyFont="1" applyFill="1" applyBorder="1" applyAlignment="1">
      <alignment horizontal="center" vertical="center" wrapText="1"/>
    </xf>
    <xf numFmtId="0" fontId="109" fillId="0" borderId="28" xfId="61211" applyFont="1" applyFill="1" applyBorder="1" applyAlignment="1">
      <alignment horizontal="center" vertical="center" wrapText="1"/>
    </xf>
    <xf numFmtId="0" fontId="109" fillId="0" borderId="30" xfId="61211" applyFont="1" applyFill="1" applyBorder="1" applyAlignment="1">
      <alignment horizontal="center" vertical="center" wrapText="1"/>
    </xf>
    <xf numFmtId="3" fontId="109" fillId="0" borderId="39" xfId="61211" applyNumberFormat="1" applyFont="1" applyFill="1" applyBorder="1" applyAlignment="1">
      <alignment horizontal="center" vertical="center" wrapText="1"/>
    </xf>
    <xf numFmtId="3" fontId="83" fillId="0" borderId="1" xfId="61211" applyNumberFormat="1" applyFont="1" applyFill="1" applyBorder="1" applyAlignment="1">
      <alignment horizontal="center" vertical="center" wrapText="1"/>
    </xf>
    <xf numFmtId="3" fontId="119" fillId="0" borderId="0" xfId="61211" applyNumberFormat="1" applyFont="1" applyFill="1" applyBorder="1" applyAlignment="1">
      <alignment horizontal="center" vertical="center" wrapText="1"/>
    </xf>
    <xf numFmtId="3" fontId="109" fillId="0" borderId="29" xfId="61211" applyNumberFormat="1" applyFont="1" applyFill="1" applyBorder="1" applyAlignment="1">
      <alignment horizontal="center" vertical="center" wrapText="1"/>
    </xf>
    <xf numFmtId="3" fontId="109" fillId="0" borderId="2" xfId="61211" applyNumberFormat="1" applyFont="1" applyFill="1" applyBorder="1" applyAlignment="1">
      <alignment horizontal="center" vertical="center" wrapText="1"/>
    </xf>
    <xf numFmtId="3" fontId="83" fillId="0" borderId="28" xfId="61211" applyNumberFormat="1" applyFont="1" applyFill="1" applyBorder="1" applyAlignment="1">
      <alignment horizontal="center" vertical="center" wrapText="1"/>
    </xf>
    <xf numFmtId="3" fontId="83" fillId="0" borderId="29" xfId="61211" applyNumberFormat="1" applyFont="1" applyFill="1" applyBorder="1" applyAlignment="1">
      <alignment horizontal="center" vertical="center" wrapText="1"/>
    </xf>
    <xf numFmtId="3" fontId="83" fillId="0" borderId="30" xfId="61211" applyNumberFormat="1" applyFont="1" applyFill="1" applyBorder="1" applyAlignment="1">
      <alignment horizontal="center" vertical="center" wrapText="1"/>
    </xf>
    <xf numFmtId="0" fontId="109" fillId="0" borderId="39" xfId="61212" applyFont="1" applyFill="1" applyBorder="1" applyAlignment="1">
      <alignment horizontal="center" vertical="center" wrapText="1"/>
    </xf>
    <xf numFmtId="0" fontId="109" fillId="0" borderId="3" xfId="61212" applyFont="1" applyFill="1" applyBorder="1" applyAlignment="1">
      <alignment horizontal="center" vertical="center" wrapText="1"/>
    </xf>
    <xf numFmtId="0" fontId="83" fillId="0" borderId="1" xfId="61212" applyFont="1" applyFill="1" applyBorder="1" applyAlignment="1">
      <alignment horizontal="center" vertical="center" wrapText="1"/>
    </xf>
    <xf numFmtId="0" fontId="83" fillId="0" borderId="28" xfId="61212" applyFont="1" applyFill="1" applyBorder="1" applyAlignment="1">
      <alignment horizontal="center" vertical="center" wrapText="1"/>
    </xf>
    <xf numFmtId="0" fontId="83" fillId="0" borderId="30" xfId="61212" applyFont="1" applyFill="1" applyBorder="1" applyAlignment="1">
      <alignment horizontal="center" vertical="center" wrapText="1"/>
    </xf>
    <xf numFmtId="0" fontId="119" fillId="0" borderId="27" xfId="61212" applyFont="1" applyFill="1" applyBorder="1" applyAlignment="1">
      <alignment horizontal="center" vertical="center" wrapText="1"/>
    </xf>
    <xf numFmtId="0" fontId="119" fillId="0" borderId="0" xfId="61212" applyFont="1" applyFill="1" applyBorder="1" applyAlignment="1">
      <alignment horizontal="center" vertical="center" wrapText="1"/>
    </xf>
    <xf numFmtId="0" fontId="109" fillId="0" borderId="1" xfId="61212" applyFont="1" applyFill="1" applyBorder="1" applyAlignment="1">
      <alignment horizontal="center" vertical="center" wrapText="1"/>
    </xf>
    <xf numFmtId="0" fontId="84" fillId="0" borderId="39" xfId="61212" applyFont="1" applyFill="1" applyBorder="1" applyAlignment="1">
      <alignment horizontal="center" vertical="center" wrapText="1"/>
    </xf>
    <xf numFmtId="0" fontId="84" fillId="0" borderId="2" xfId="61212" applyFont="1" applyFill="1" applyBorder="1" applyAlignment="1">
      <alignment horizontal="center" vertical="center" wrapText="1"/>
    </xf>
    <xf numFmtId="0" fontId="84" fillId="0" borderId="3" xfId="61212" applyFont="1" applyFill="1" applyBorder="1" applyAlignment="1">
      <alignment horizontal="center" vertical="center" wrapText="1"/>
    </xf>
    <xf numFmtId="0" fontId="109" fillId="0" borderId="28" xfId="61212" applyFont="1" applyFill="1" applyBorder="1" applyAlignment="1">
      <alignment horizontal="center" vertical="center" wrapText="1"/>
    </xf>
    <xf numFmtId="0" fontId="109" fillId="0" borderId="29" xfId="61212" applyFont="1" applyFill="1" applyBorder="1" applyAlignment="1">
      <alignment horizontal="center" vertical="center" wrapText="1"/>
    </xf>
    <xf numFmtId="0" fontId="109" fillId="0" borderId="30" xfId="61212" applyFont="1" applyFill="1" applyBorder="1" applyAlignment="1">
      <alignment horizontal="center" vertical="center" wrapText="1"/>
    </xf>
    <xf numFmtId="0" fontId="109" fillId="0" borderId="2" xfId="61212" applyFont="1" applyFill="1" applyBorder="1" applyAlignment="1">
      <alignment horizontal="center" vertical="center" wrapText="1"/>
    </xf>
    <xf numFmtId="0" fontId="83" fillId="0" borderId="29" xfId="61212" applyFont="1" applyFill="1" applyBorder="1" applyAlignment="1">
      <alignment horizontal="center" vertical="center" wrapText="1"/>
    </xf>
    <xf numFmtId="0" fontId="125" fillId="0" borderId="27" xfId="61213" applyFont="1" applyFill="1" applyBorder="1" applyAlignment="1">
      <alignment horizontal="center" vertical="center" wrapText="1"/>
    </xf>
    <xf numFmtId="0" fontId="109" fillId="0" borderId="1" xfId="61213" applyFont="1" applyFill="1" applyBorder="1" applyAlignment="1">
      <alignment horizontal="center" vertical="center" wrapText="1"/>
    </xf>
    <xf numFmtId="0" fontId="84" fillId="0" borderId="39" xfId="61213" applyFont="1" applyFill="1" applyBorder="1" applyAlignment="1">
      <alignment horizontal="center" vertical="center" wrapText="1"/>
    </xf>
    <xf numFmtId="0" fontId="84" fillId="0" borderId="2" xfId="61213" applyFont="1" applyFill="1" applyBorder="1" applyAlignment="1">
      <alignment horizontal="center" vertical="center" wrapText="1"/>
    </xf>
    <xf numFmtId="0" fontId="84" fillId="0" borderId="3" xfId="61213" applyFont="1" applyFill="1" applyBorder="1" applyAlignment="1">
      <alignment horizontal="center" vertical="center" wrapText="1"/>
    </xf>
    <xf numFmtId="0" fontId="109" fillId="0" borderId="28" xfId="61213" applyFont="1" applyFill="1" applyBorder="1" applyAlignment="1">
      <alignment horizontal="center" vertical="top" wrapText="1"/>
    </xf>
    <xf numFmtId="0" fontId="109" fillId="0" borderId="29" xfId="61213" applyFont="1" applyFill="1" applyBorder="1" applyAlignment="1">
      <alignment horizontal="center" vertical="top" wrapText="1"/>
    </xf>
    <xf numFmtId="0" fontId="109" fillId="0" borderId="30" xfId="61213" applyFont="1" applyFill="1" applyBorder="1" applyAlignment="1">
      <alignment horizontal="center" vertical="top" wrapText="1"/>
    </xf>
    <xf numFmtId="0" fontId="105" fillId="0" borderId="1" xfId="61214" applyFont="1" applyFill="1" applyBorder="1" applyAlignment="1">
      <alignment horizontal="center" vertical="center" wrapText="1"/>
    </xf>
    <xf numFmtId="0" fontId="109" fillId="0" borderId="39" xfId="61213" applyFont="1" applyFill="1" applyBorder="1" applyAlignment="1">
      <alignment horizontal="center" vertical="center" wrapText="1"/>
    </xf>
    <xf numFmtId="0" fontId="109" fillId="0" borderId="2" xfId="61213" applyFont="1" applyFill="1" applyBorder="1" applyAlignment="1">
      <alignment horizontal="center" vertical="center" wrapText="1"/>
    </xf>
    <xf numFmtId="0" fontId="109" fillId="0" borderId="3" xfId="61213" applyFont="1" applyFill="1" applyBorder="1" applyAlignment="1">
      <alignment horizontal="center" vertical="center" wrapText="1"/>
    </xf>
    <xf numFmtId="0" fontId="109" fillId="0" borderId="28" xfId="61213" applyFont="1" applyFill="1" applyBorder="1" applyAlignment="1">
      <alignment horizontal="center" vertical="center" wrapText="1"/>
    </xf>
    <xf numFmtId="0" fontId="109" fillId="0" borderId="29" xfId="61213" applyFont="1" applyFill="1" applyBorder="1" applyAlignment="1">
      <alignment horizontal="center" vertical="center" wrapText="1"/>
    </xf>
    <xf numFmtId="0" fontId="109" fillId="0" borderId="30" xfId="61213" applyFont="1" applyFill="1" applyBorder="1" applyAlignment="1">
      <alignment horizontal="center" vertical="center" wrapText="1"/>
    </xf>
    <xf numFmtId="0" fontId="83" fillId="0" borderId="28" xfId="61213" applyFont="1" applyFill="1" applyBorder="1" applyAlignment="1">
      <alignment horizontal="center" vertical="center" wrapText="1"/>
    </xf>
    <xf numFmtId="0" fontId="83" fillId="0" borderId="30" xfId="61213" applyFont="1" applyFill="1" applyBorder="1" applyAlignment="1">
      <alignment horizontal="center" vertical="center" wrapText="1"/>
    </xf>
    <xf numFmtId="0" fontId="85" fillId="0" borderId="1" xfId="13" applyFont="1" applyFill="1" applyBorder="1" applyAlignment="1">
      <alignment horizontal="center" vertical="center"/>
    </xf>
    <xf numFmtId="4" fontId="85" fillId="0" borderId="28" xfId="13" applyNumberFormat="1" applyFont="1" applyFill="1" applyBorder="1" applyAlignment="1">
      <alignment horizontal="center" vertical="center" wrapText="1"/>
    </xf>
    <xf numFmtId="4" fontId="85" fillId="0" borderId="29" xfId="13" applyNumberFormat="1" applyFont="1" applyFill="1" applyBorder="1" applyAlignment="1">
      <alignment horizontal="center" vertical="center" wrapText="1"/>
    </xf>
    <xf numFmtId="4" fontId="85" fillId="0" borderId="30" xfId="13" applyNumberFormat="1" applyFont="1" applyFill="1" applyBorder="1" applyAlignment="1">
      <alignment horizontal="center" vertical="center" wrapText="1"/>
    </xf>
    <xf numFmtId="3" fontId="125" fillId="0" borderId="27" xfId="61213" applyNumberFormat="1" applyFont="1" applyFill="1" applyBorder="1" applyAlignment="1">
      <alignment horizontal="center" vertical="center" wrapText="1"/>
    </xf>
    <xf numFmtId="3" fontId="109" fillId="0" borderId="1" xfId="61213" applyNumberFormat="1" applyFont="1" applyFill="1" applyBorder="1" applyAlignment="1">
      <alignment horizontal="center" vertical="center" wrapText="1"/>
    </xf>
    <xf numFmtId="3" fontId="84" fillId="0" borderId="39" xfId="61213" applyNumberFormat="1" applyFont="1" applyFill="1" applyBorder="1" applyAlignment="1">
      <alignment horizontal="center" vertical="center" wrapText="1"/>
    </xf>
    <xf numFmtId="3" fontId="84" fillId="0" borderId="2" xfId="61213" applyNumberFormat="1" applyFont="1" applyFill="1" applyBorder="1" applyAlignment="1">
      <alignment horizontal="center" vertical="center" wrapText="1"/>
    </xf>
    <xf numFmtId="3" fontId="84" fillId="0" borderId="3" xfId="61213" applyNumberFormat="1" applyFont="1" applyFill="1" applyBorder="1" applyAlignment="1">
      <alignment horizontal="center" vertical="center" wrapText="1"/>
    </xf>
    <xf numFmtId="3" fontId="109" fillId="0" borderId="28" xfId="61213" applyNumberFormat="1" applyFont="1" applyFill="1" applyBorder="1" applyAlignment="1">
      <alignment horizontal="center" vertical="center" wrapText="1"/>
    </xf>
    <xf numFmtId="3" fontId="109" fillId="0" borderId="29" xfId="61213" applyNumberFormat="1" applyFont="1" applyFill="1" applyBorder="1" applyAlignment="1">
      <alignment horizontal="center" vertical="center" wrapText="1"/>
    </xf>
    <xf numFmtId="3" fontId="109" fillId="0" borderId="30" xfId="61213" applyNumberFormat="1" applyFont="1" applyFill="1" applyBorder="1" applyAlignment="1">
      <alignment horizontal="center" vertical="center" wrapText="1"/>
    </xf>
    <xf numFmtId="3" fontId="109" fillId="0" borderId="67" xfId="61213" applyNumberFormat="1" applyFont="1" applyFill="1" applyBorder="1" applyAlignment="1">
      <alignment horizontal="center" vertical="center" wrapText="1"/>
    </xf>
    <xf numFmtId="3" fontId="109" fillId="0" borderId="72" xfId="61213" applyNumberFormat="1" applyFont="1" applyFill="1" applyBorder="1" applyAlignment="1">
      <alignment horizontal="center" vertical="center" wrapText="1"/>
    </xf>
    <xf numFmtId="3" fontId="109" fillId="0" borderId="71" xfId="61213" applyNumberFormat="1" applyFont="1" applyFill="1" applyBorder="1" applyAlignment="1">
      <alignment horizontal="center" vertical="center" wrapText="1"/>
    </xf>
    <xf numFmtId="3" fontId="109" fillId="0" borderId="59" xfId="61213" applyNumberFormat="1" applyFont="1" applyFill="1" applyBorder="1" applyAlignment="1">
      <alignment horizontal="center" vertical="center" wrapText="1"/>
    </xf>
    <xf numFmtId="3" fontId="109" fillId="0" borderId="27" xfId="61213" applyNumberFormat="1" applyFont="1" applyFill="1" applyBorder="1" applyAlignment="1">
      <alignment horizontal="center" vertical="center" wrapText="1"/>
    </xf>
    <xf numFmtId="3" fontId="109" fillId="0" borderId="58" xfId="61213" applyNumberFormat="1" applyFont="1" applyFill="1" applyBorder="1" applyAlignment="1">
      <alignment horizontal="center" vertical="center" wrapText="1"/>
    </xf>
    <xf numFmtId="3" fontId="109" fillId="0" borderId="39" xfId="61213" applyNumberFormat="1" applyFont="1" applyFill="1" applyBorder="1" applyAlignment="1">
      <alignment horizontal="center" vertical="center" wrapText="1"/>
    </xf>
    <xf numFmtId="3" fontId="109" fillId="0" borderId="2" xfId="61213" applyNumberFormat="1" applyFont="1" applyFill="1" applyBorder="1" applyAlignment="1">
      <alignment horizontal="center" vertical="center" wrapText="1"/>
    </xf>
    <xf numFmtId="3" fontId="109" fillId="0" borderId="3" xfId="61213" applyNumberFormat="1" applyFont="1" applyFill="1" applyBorder="1" applyAlignment="1">
      <alignment horizontal="center" vertical="center" wrapText="1"/>
    </xf>
    <xf numFmtId="3" fontId="83" fillId="0" borderId="29" xfId="61213" applyNumberFormat="1" applyFont="1" applyFill="1" applyBorder="1" applyAlignment="1">
      <alignment horizontal="center" vertical="center" wrapText="1"/>
    </xf>
    <xf numFmtId="3" fontId="83" fillId="0" borderId="30" xfId="61213" applyNumberFormat="1" applyFont="1" applyFill="1" applyBorder="1" applyAlignment="1">
      <alignment horizontal="center" vertical="center" wrapText="1"/>
    </xf>
    <xf numFmtId="3" fontId="83" fillId="0" borderId="28" xfId="61213" applyNumberFormat="1" applyFont="1" applyFill="1" applyBorder="1" applyAlignment="1">
      <alignment horizontal="center" vertical="center" wrapText="1"/>
    </xf>
    <xf numFmtId="3" fontId="129" fillId="0" borderId="29" xfId="61213" applyNumberFormat="1" applyFont="1" applyFill="1" applyBorder="1" applyAlignment="1">
      <alignment horizontal="right"/>
    </xf>
    <xf numFmtId="3" fontId="129" fillId="0" borderId="30" xfId="61213" applyNumberFormat="1" applyFont="1" applyFill="1" applyBorder="1" applyAlignment="1">
      <alignment horizontal="right"/>
    </xf>
    <xf numFmtId="3" fontId="83" fillId="0" borderId="1" xfId="61213" applyNumberFormat="1" applyFont="1" applyFill="1" applyBorder="1" applyAlignment="1">
      <alignment horizontal="center" vertical="center" wrapText="1"/>
    </xf>
    <xf numFmtId="3" fontId="129" fillId="0" borderId="1" xfId="61213" applyNumberFormat="1" applyFont="1" applyFill="1" applyBorder="1" applyAlignment="1">
      <alignment horizontal="right"/>
    </xf>
    <xf numFmtId="0" fontId="88" fillId="0" borderId="28" xfId="58595" applyFont="1" applyFill="1" applyBorder="1" applyAlignment="1">
      <alignment horizontal="center" vertical="center" wrapText="1"/>
    </xf>
    <xf numFmtId="0" fontId="88" fillId="0" borderId="29" xfId="58595" applyFont="1" applyFill="1" applyBorder="1" applyAlignment="1">
      <alignment horizontal="center" vertical="center" wrapText="1"/>
    </xf>
    <xf numFmtId="0" fontId="88" fillId="0" borderId="30" xfId="58595" applyFont="1" applyFill="1" applyBorder="1" applyAlignment="1">
      <alignment horizontal="center" vertical="center" wrapText="1"/>
    </xf>
    <xf numFmtId="0" fontId="131" fillId="0" borderId="0" xfId="58595" applyFont="1" applyFill="1" applyAlignment="1">
      <alignment horizontal="center"/>
    </xf>
    <xf numFmtId="0" fontId="71" fillId="0" borderId="1" xfId="58595" applyFill="1" applyBorder="1" applyAlignment="1">
      <alignment horizontal="center" vertical="center" wrapText="1"/>
    </xf>
    <xf numFmtId="0" fontId="71" fillId="0" borderId="39" xfId="58595" applyFill="1" applyBorder="1" applyAlignment="1">
      <alignment horizontal="center" vertical="center" wrapText="1"/>
    </xf>
    <xf numFmtId="0" fontId="71" fillId="0" borderId="2" xfId="58595" applyFill="1" applyBorder="1" applyAlignment="1">
      <alignment horizontal="center" vertical="center" wrapText="1"/>
    </xf>
    <xf numFmtId="0" fontId="71" fillId="0" borderId="3" xfId="58595" applyFill="1" applyBorder="1" applyAlignment="1">
      <alignment horizontal="center" vertical="center" wrapText="1"/>
    </xf>
    <xf numFmtId="0" fontId="83" fillId="0" borderId="28" xfId="58595" applyFont="1" applyFill="1" applyBorder="1" applyAlignment="1">
      <alignment horizontal="center" vertical="center" wrapText="1"/>
    </xf>
    <xf numFmtId="0" fontId="109" fillId="0" borderId="1" xfId="61215" applyFont="1" applyFill="1" applyBorder="1" applyAlignment="1">
      <alignment horizontal="center" vertical="center" wrapText="1"/>
    </xf>
    <xf numFmtId="0" fontId="85" fillId="0" borderId="28" xfId="61218" applyFont="1" applyFill="1" applyBorder="1" applyAlignment="1">
      <alignment horizontal="center" vertical="center"/>
    </xf>
    <xf numFmtId="0" fontId="85" fillId="0" borderId="29" xfId="61218" applyFont="1" applyFill="1" applyBorder="1" applyAlignment="1">
      <alignment horizontal="center" vertical="center"/>
    </xf>
    <xf numFmtId="0" fontId="85" fillId="0" borderId="30" xfId="61218" applyFont="1" applyFill="1" applyBorder="1" applyAlignment="1">
      <alignment horizontal="center" vertical="center"/>
    </xf>
    <xf numFmtId="0" fontId="92" fillId="76" borderId="0" xfId="58524" applyNumberFormat="1" applyFont="1" applyFill="1" applyBorder="1" applyAlignment="1">
      <alignment horizontal="center" vertical="center" wrapText="1"/>
    </xf>
    <xf numFmtId="0" fontId="133" fillId="0" borderId="0" xfId="61218" applyFont="1" applyAlignment="1">
      <alignment horizontal="center" vertical="center" wrapText="1"/>
    </xf>
    <xf numFmtId="0" fontId="25" fillId="76" borderId="1" xfId="58524" applyFont="1" applyFill="1" applyBorder="1" applyAlignment="1">
      <alignment horizontal="center" vertical="center" wrapText="1"/>
    </xf>
    <xf numFmtId="0" fontId="25" fillId="76" borderId="39" xfId="58524" applyFont="1" applyFill="1" applyBorder="1" applyAlignment="1">
      <alignment horizontal="center" vertical="center" wrapText="1"/>
    </xf>
    <xf numFmtId="0" fontId="25" fillId="76" borderId="2" xfId="58524" applyFont="1" applyFill="1" applyBorder="1" applyAlignment="1">
      <alignment horizontal="center" vertical="center" wrapText="1"/>
    </xf>
    <xf numFmtId="0" fontId="25" fillId="76" borderId="3" xfId="58524" applyFont="1" applyFill="1" applyBorder="1" applyAlignment="1">
      <alignment horizontal="center" vertical="center" wrapText="1"/>
    </xf>
    <xf numFmtId="0" fontId="25" fillId="74" borderId="1" xfId="58524" applyFont="1" applyFill="1" applyBorder="1" applyAlignment="1">
      <alignment horizontal="center" vertical="center" wrapText="1"/>
    </xf>
    <xf numFmtId="1" fontId="85" fillId="76" borderId="1" xfId="58524" applyNumberFormat="1" applyFont="1" applyFill="1" applyBorder="1" applyAlignment="1">
      <alignment horizontal="center" vertical="center" wrapText="1"/>
    </xf>
    <xf numFmtId="3" fontId="25" fillId="74" borderId="1" xfId="58524" applyNumberFormat="1" applyFont="1" applyFill="1" applyBorder="1" applyAlignment="1">
      <alignment horizontal="center" vertical="center" wrapText="1"/>
    </xf>
    <xf numFmtId="4" fontId="85" fillId="0" borderId="28" xfId="61218" applyNumberFormat="1" applyFont="1" applyFill="1" applyBorder="1" applyAlignment="1">
      <alignment horizontal="center" vertical="center" wrapText="1"/>
    </xf>
    <xf numFmtId="4" fontId="85" fillId="0" borderId="29" xfId="61218" applyNumberFormat="1" applyFont="1" applyFill="1" applyBorder="1" applyAlignment="1">
      <alignment horizontal="center" vertical="center" wrapText="1"/>
    </xf>
    <xf numFmtId="4" fontId="85" fillId="0" borderId="30" xfId="61218" applyNumberFormat="1" applyFont="1" applyFill="1" applyBorder="1" applyAlignment="1">
      <alignment horizontal="center" vertical="center" wrapText="1"/>
    </xf>
  </cellXfs>
  <cellStyles count="61228">
    <cellStyle name="20% - Accent1" xfId="19"/>
    <cellStyle name="20% - Accent1 2" xfId="20"/>
    <cellStyle name="20% - Accent1_объемы 2018г111" xfId="60886"/>
    <cellStyle name="20% - Accent2" xfId="21"/>
    <cellStyle name="20% - Accent2 2" xfId="22"/>
    <cellStyle name="20% - Accent2_объемы 2018г111" xfId="60887"/>
    <cellStyle name="20% - Accent3" xfId="23"/>
    <cellStyle name="20% - Accent3 2" xfId="24"/>
    <cellStyle name="20% - Accent3_объемы 2018г111" xfId="60888"/>
    <cellStyle name="20% - Accent4" xfId="25"/>
    <cellStyle name="20% - Accent4 2" xfId="26"/>
    <cellStyle name="20% - Accent4_объемы 2018г111" xfId="60889"/>
    <cellStyle name="20% - Accent5" xfId="27"/>
    <cellStyle name="20% - Accent5 2" xfId="28"/>
    <cellStyle name="20% - Accent5_объемы 2018г111" xfId="60890"/>
    <cellStyle name="20% - Accent6" xfId="29"/>
    <cellStyle name="20% - Accent6 2" xfId="30"/>
    <cellStyle name="20% - Accent6_объемы 2018г111" xfId="60891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2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3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4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5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6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7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8"/>
    <cellStyle name="40% - Accent2" xfId="26221"/>
    <cellStyle name="40% - Accent2 2" xfId="26222"/>
    <cellStyle name="40% - Accent2_объемы 2018г111" xfId="60899"/>
    <cellStyle name="40% - Accent3" xfId="26223"/>
    <cellStyle name="40% - Accent3 2" xfId="26224"/>
    <cellStyle name="40% - Accent3_объемы 2018г111" xfId="60900"/>
    <cellStyle name="40% - Accent4" xfId="26225"/>
    <cellStyle name="40% - Accent4 2" xfId="26226"/>
    <cellStyle name="40% - Accent4_объемы 2018г111" xfId="60901"/>
    <cellStyle name="40% - Accent5" xfId="26227"/>
    <cellStyle name="40% - Accent5 2" xfId="26228"/>
    <cellStyle name="40% - Accent5_объемы 2018г111" xfId="60902"/>
    <cellStyle name="40% - Accent6" xfId="26229"/>
    <cellStyle name="40% - Accent6 2" xfId="26230"/>
    <cellStyle name="40% - Accent6_объемы 2018г111" xfId="60903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4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5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6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7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8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9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10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_Book1" xfId="53439"/>
    <cellStyle name="Note" xfId="53440"/>
    <cellStyle name="Note 2" xfId="53441"/>
    <cellStyle name="Output" xfId="53442"/>
    <cellStyle name="Output 2" xfId="53443"/>
    <cellStyle name="Result" xfId="53444"/>
    <cellStyle name="Result2" xfId="53445"/>
    <cellStyle name="Title" xfId="53446"/>
    <cellStyle name="Title 2" xfId="53447"/>
    <cellStyle name="Total" xfId="53448"/>
    <cellStyle name="Total 2" xfId="53449"/>
    <cellStyle name="Warning Text" xfId="53450"/>
    <cellStyle name="Warning Text 2" xfId="53451"/>
    <cellStyle name="Акцент1 10" xfId="53452"/>
    <cellStyle name="Акцент1 100" xfId="53453"/>
    <cellStyle name="Акцент1 101" xfId="53454"/>
    <cellStyle name="Акцент1 102" xfId="53455"/>
    <cellStyle name="Акцент1 103" xfId="53456"/>
    <cellStyle name="Акцент1 104" xfId="53457"/>
    <cellStyle name="Акцент1 105" xfId="53458"/>
    <cellStyle name="Акцент1 106" xfId="53459"/>
    <cellStyle name="Акцент1 107" xfId="53460"/>
    <cellStyle name="Акцент1 108" xfId="53461"/>
    <cellStyle name="Акцент1 109" xfId="53462"/>
    <cellStyle name="Акцент1 11" xfId="53463"/>
    <cellStyle name="Акцент1 110" xfId="53464"/>
    <cellStyle name="Акцент1 111" xfId="53465"/>
    <cellStyle name="Акцент1 112" xfId="53466"/>
    <cellStyle name="Акцент1 113" xfId="53467"/>
    <cellStyle name="Акцент1 114" xfId="53468"/>
    <cellStyle name="Акцент1 115" xfId="53469"/>
    <cellStyle name="Акцент1 116" xfId="53470"/>
    <cellStyle name="Акцент1 117" xfId="53471"/>
    <cellStyle name="Акцент1 118" xfId="53472"/>
    <cellStyle name="Акцент1 119" xfId="53473"/>
    <cellStyle name="Акцент1 12" xfId="53474"/>
    <cellStyle name="Акцент1 120" xfId="53475"/>
    <cellStyle name="Акцент1 121" xfId="53476"/>
    <cellStyle name="Акцент1 122" xfId="53477"/>
    <cellStyle name="Акцент1 123" xfId="53478"/>
    <cellStyle name="Акцент1 124" xfId="53479"/>
    <cellStyle name="Акцент1 125" xfId="53480"/>
    <cellStyle name="Акцент1 126" xfId="53481"/>
    <cellStyle name="Акцент1 127" xfId="53482"/>
    <cellStyle name="Акцент1 128" xfId="53483"/>
    <cellStyle name="Акцент1 129" xfId="53484"/>
    <cellStyle name="Акцент1 13" xfId="53485"/>
    <cellStyle name="Акцент1 130" xfId="53486"/>
    <cellStyle name="Акцент1 131" xfId="53487"/>
    <cellStyle name="Акцент1 132" xfId="53488"/>
    <cellStyle name="Акцент1 133" xfId="53489"/>
    <cellStyle name="Акцент1 134" xfId="53490"/>
    <cellStyle name="Акцент1 135" xfId="53491"/>
    <cellStyle name="Акцент1 136" xfId="53492"/>
    <cellStyle name="Акцент1 137" xfId="53493"/>
    <cellStyle name="Акцент1 138" xfId="53494"/>
    <cellStyle name="Акцент1 139" xfId="53495"/>
    <cellStyle name="Акцент1 14" xfId="53496"/>
    <cellStyle name="Акцент1 140" xfId="53497"/>
    <cellStyle name="Акцент1 141" xfId="53498"/>
    <cellStyle name="Акцент1 142" xfId="53499"/>
    <cellStyle name="Акцент1 143" xfId="53500"/>
    <cellStyle name="Акцент1 144" xfId="53501"/>
    <cellStyle name="Акцент1 145" xfId="53502"/>
    <cellStyle name="Акцент1 146" xfId="53503"/>
    <cellStyle name="Акцент1 147" xfId="53504"/>
    <cellStyle name="Акцент1 148" xfId="53505"/>
    <cellStyle name="Акцент1 149" xfId="53506"/>
    <cellStyle name="Акцент1 15" xfId="53507"/>
    <cellStyle name="Акцент1 150" xfId="53508"/>
    <cellStyle name="Акцент1 151" xfId="53509"/>
    <cellStyle name="Акцент1 16" xfId="53510"/>
    <cellStyle name="Акцент1 17" xfId="53511"/>
    <cellStyle name="Акцент1 18" xfId="53512"/>
    <cellStyle name="Акцент1 19" xfId="53513"/>
    <cellStyle name="Акцент1 2" xfId="53514"/>
    <cellStyle name="Акцент1 2 10" xfId="53515"/>
    <cellStyle name="Акцент1 2 11" xfId="53516"/>
    <cellStyle name="Акцент1 2 12" xfId="53517"/>
    <cellStyle name="Акцент1 2 13" xfId="53518"/>
    <cellStyle name="Акцент1 2 2" xfId="53519"/>
    <cellStyle name="Акцент1 2 3" xfId="53520"/>
    <cellStyle name="Акцент1 2 4" xfId="53521"/>
    <cellStyle name="Акцент1 2 5" xfId="53522"/>
    <cellStyle name="Акцент1 2 6" xfId="53523"/>
    <cellStyle name="Акцент1 2 7" xfId="53524"/>
    <cellStyle name="Акцент1 2 8" xfId="53525"/>
    <cellStyle name="Акцент1 2 9" xfId="53526"/>
    <cellStyle name="Акцент1 20" xfId="53527"/>
    <cellStyle name="Акцент1 21" xfId="53528"/>
    <cellStyle name="Акцент1 22" xfId="53529"/>
    <cellStyle name="Акцент1 23" xfId="53530"/>
    <cellStyle name="Акцент1 24" xfId="53531"/>
    <cellStyle name="Акцент1 25" xfId="53532"/>
    <cellStyle name="Акцент1 26" xfId="53533"/>
    <cellStyle name="Акцент1 27" xfId="53534"/>
    <cellStyle name="Акцент1 28" xfId="53535"/>
    <cellStyle name="Акцент1 29" xfId="53536"/>
    <cellStyle name="Акцент1 3" xfId="53537"/>
    <cellStyle name="Акцент1 30" xfId="53538"/>
    <cellStyle name="Акцент1 31" xfId="53539"/>
    <cellStyle name="Акцент1 32" xfId="53540"/>
    <cellStyle name="Акцент1 33" xfId="53541"/>
    <cellStyle name="Акцент1 34" xfId="53542"/>
    <cellStyle name="Акцент1 35" xfId="53543"/>
    <cellStyle name="Акцент1 36" xfId="53544"/>
    <cellStyle name="Акцент1 37" xfId="53545"/>
    <cellStyle name="Акцент1 38" xfId="53546"/>
    <cellStyle name="Акцент1 39" xfId="53547"/>
    <cellStyle name="Акцент1 4" xfId="53548"/>
    <cellStyle name="Акцент1 40" xfId="53549"/>
    <cellStyle name="Акцент1 41" xfId="53550"/>
    <cellStyle name="Акцент1 42" xfId="53551"/>
    <cellStyle name="Акцент1 43" xfId="53552"/>
    <cellStyle name="Акцент1 44" xfId="53553"/>
    <cellStyle name="Акцент1 45" xfId="53554"/>
    <cellStyle name="Акцент1 46" xfId="53555"/>
    <cellStyle name="Акцент1 47" xfId="53556"/>
    <cellStyle name="Акцент1 48" xfId="53557"/>
    <cellStyle name="Акцент1 49" xfId="53558"/>
    <cellStyle name="Акцент1 5" xfId="53559"/>
    <cellStyle name="Акцент1 50" xfId="53560"/>
    <cellStyle name="Акцент1 51" xfId="53561"/>
    <cellStyle name="Акцент1 52" xfId="53562"/>
    <cellStyle name="Акцент1 53" xfId="53563"/>
    <cellStyle name="Акцент1 54" xfId="53564"/>
    <cellStyle name="Акцент1 55" xfId="53565"/>
    <cellStyle name="Акцент1 56" xfId="53566"/>
    <cellStyle name="Акцент1 57" xfId="53567"/>
    <cellStyle name="Акцент1 58" xfId="53568"/>
    <cellStyle name="Акцент1 59" xfId="53569"/>
    <cellStyle name="Акцент1 6" xfId="53570"/>
    <cellStyle name="Акцент1 60" xfId="53571"/>
    <cellStyle name="Акцент1 61" xfId="53572"/>
    <cellStyle name="Акцент1 62" xfId="53573"/>
    <cellStyle name="Акцент1 63" xfId="53574"/>
    <cellStyle name="Акцент1 64" xfId="53575"/>
    <cellStyle name="Акцент1 65" xfId="53576"/>
    <cellStyle name="Акцент1 66" xfId="53577"/>
    <cellStyle name="Акцент1 67" xfId="53578"/>
    <cellStyle name="Акцент1 68" xfId="53579"/>
    <cellStyle name="Акцент1 69" xfId="53580"/>
    <cellStyle name="Акцент1 7" xfId="53581"/>
    <cellStyle name="Акцент1 70" xfId="53582"/>
    <cellStyle name="Акцент1 71" xfId="53583"/>
    <cellStyle name="Акцент1 72" xfId="53584"/>
    <cellStyle name="Акцент1 73" xfId="53585"/>
    <cellStyle name="Акцент1 74" xfId="53586"/>
    <cellStyle name="Акцент1 75" xfId="53587"/>
    <cellStyle name="Акцент1 76" xfId="53588"/>
    <cellStyle name="Акцент1 77" xfId="53589"/>
    <cellStyle name="Акцент1 78" xfId="53590"/>
    <cellStyle name="Акцент1 79" xfId="53591"/>
    <cellStyle name="Акцент1 8" xfId="53592"/>
    <cellStyle name="Акцент1 80" xfId="53593"/>
    <cellStyle name="Акцент1 81" xfId="53594"/>
    <cellStyle name="Акцент1 82" xfId="53595"/>
    <cellStyle name="Акцент1 83" xfId="53596"/>
    <cellStyle name="Акцент1 84" xfId="53597"/>
    <cellStyle name="Акцент1 85" xfId="53598"/>
    <cellStyle name="Акцент1 86" xfId="53599"/>
    <cellStyle name="Акцент1 87" xfId="53600"/>
    <cellStyle name="Акцент1 88" xfId="53601"/>
    <cellStyle name="Акцент1 89" xfId="53602"/>
    <cellStyle name="Акцент1 9" xfId="53603"/>
    <cellStyle name="Акцент1 90" xfId="53604"/>
    <cellStyle name="Акцент1 91" xfId="53605"/>
    <cellStyle name="Акцент1 92" xfId="53606"/>
    <cellStyle name="Акцент1 93" xfId="53607"/>
    <cellStyle name="Акцент1 94" xfId="53608"/>
    <cellStyle name="Акцент1 95" xfId="53609"/>
    <cellStyle name="Акцент1 96" xfId="53610"/>
    <cellStyle name="Акцент1 97" xfId="53611"/>
    <cellStyle name="Акцент1 98" xfId="53612"/>
    <cellStyle name="Акцент1 99" xfId="53613"/>
    <cellStyle name="Акцент2 10" xfId="53614"/>
    <cellStyle name="Акцент2 100" xfId="53615"/>
    <cellStyle name="Акцент2 101" xfId="53616"/>
    <cellStyle name="Акцент2 102" xfId="53617"/>
    <cellStyle name="Акцент2 103" xfId="53618"/>
    <cellStyle name="Акцент2 104" xfId="53619"/>
    <cellStyle name="Акцент2 105" xfId="53620"/>
    <cellStyle name="Акцент2 106" xfId="53621"/>
    <cellStyle name="Акцент2 107" xfId="53622"/>
    <cellStyle name="Акцент2 108" xfId="53623"/>
    <cellStyle name="Акцент2 109" xfId="53624"/>
    <cellStyle name="Акцент2 11" xfId="53625"/>
    <cellStyle name="Акцент2 110" xfId="53626"/>
    <cellStyle name="Акцент2 111" xfId="53627"/>
    <cellStyle name="Акцент2 112" xfId="53628"/>
    <cellStyle name="Акцент2 113" xfId="53629"/>
    <cellStyle name="Акцент2 114" xfId="53630"/>
    <cellStyle name="Акцент2 115" xfId="53631"/>
    <cellStyle name="Акцент2 116" xfId="53632"/>
    <cellStyle name="Акцент2 117" xfId="53633"/>
    <cellStyle name="Акцент2 118" xfId="53634"/>
    <cellStyle name="Акцент2 119" xfId="53635"/>
    <cellStyle name="Акцент2 12" xfId="53636"/>
    <cellStyle name="Акцент2 120" xfId="53637"/>
    <cellStyle name="Акцент2 121" xfId="53638"/>
    <cellStyle name="Акцент2 122" xfId="53639"/>
    <cellStyle name="Акцент2 123" xfId="53640"/>
    <cellStyle name="Акцент2 124" xfId="53641"/>
    <cellStyle name="Акцент2 125" xfId="53642"/>
    <cellStyle name="Акцент2 126" xfId="53643"/>
    <cellStyle name="Акцент2 127" xfId="53644"/>
    <cellStyle name="Акцент2 128" xfId="53645"/>
    <cellStyle name="Акцент2 129" xfId="53646"/>
    <cellStyle name="Акцент2 13" xfId="53647"/>
    <cellStyle name="Акцент2 130" xfId="53648"/>
    <cellStyle name="Акцент2 131" xfId="53649"/>
    <cellStyle name="Акцент2 132" xfId="53650"/>
    <cellStyle name="Акцент2 133" xfId="53651"/>
    <cellStyle name="Акцент2 134" xfId="53652"/>
    <cellStyle name="Акцент2 135" xfId="53653"/>
    <cellStyle name="Акцент2 136" xfId="53654"/>
    <cellStyle name="Акцент2 137" xfId="53655"/>
    <cellStyle name="Акцент2 138" xfId="53656"/>
    <cellStyle name="Акцент2 139" xfId="53657"/>
    <cellStyle name="Акцент2 14" xfId="53658"/>
    <cellStyle name="Акцент2 140" xfId="53659"/>
    <cellStyle name="Акцент2 141" xfId="53660"/>
    <cellStyle name="Акцент2 142" xfId="53661"/>
    <cellStyle name="Акцент2 143" xfId="53662"/>
    <cellStyle name="Акцент2 144" xfId="53663"/>
    <cellStyle name="Акцент2 145" xfId="53664"/>
    <cellStyle name="Акцент2 146" xfId="53665"/>
    <cellStyle name="Акцент2 147" xfId="53666"/>
    <cellStyle name="Акцент2 148" xfId="53667"/>
    <cellStyle name="Акцент2 149" xfId="53668"/>
    <cellStyle name="Акцент2 15" xfId="53669"/>
    <cellStyle name="Акцент2 150" xfId="53670"/>
    <cellStyle name="Акцент2 151" xfId="53671"/>
    <cellStyle name="Акцент2 16" xfId="53672"/>
    <cellStyle name="Акцент2 17" xfId="53673"/>
    <cellStyle name="Акцент2 18" xfId="53674"/>
    <cellStyle name="Акцент2 19" xfId="53675"/>
    <cellStyle name="Акцент2 2" xfId="53676"/>
    <cellStyle name="Акцент2 2 10" xfId="53677"/>
    <cellStyle name="Акцент2 2 11" xfId="53678"/>
    <cellStyle name="Акцент2 2 12" xfId="53679"/>
    <cellStyle name="Акцент2 2 13" xfId="53680"/>
    <cellStyle name="Акцент2 2 2" xfId="53681"/>
    <cellStyle name="Акцент2 2 3" xfId="53682"/>
    <cellStyle name="Акцент2 2 4" xfId="53683"/>
    <cellStyle name="Акцент2 2 5" xfId="53684"/>
    <cellStyle name="Акцент2 2 6" xfId="53685"/>
    <cellStyle name="Акцент2 2 7" xfId="53686"/>
    <cellStyle name="Акцент2 2 8" xfId="53687"/>
    <cellStyle name="Акцент2 2 9" xfId="53688"/>
    <cellStyle name="Акцент2 20" xfId="53689"/>
    <cellStyle name="Акцент2 21" xfId="53690"/>
    <cellStyle name="Акцент2 22" xfId="53691"/>
    <cellStyle name="Акцент2 23" xfId="53692"/>
    <cellStyle name="Акцент2 24" xfId="53693"/>
    <cellStyle name="Акцент2 25" xfId="53694"/>
    <cellStyle name="Акцент2 26" xfId="53695"/>
    <cellStyle name="Акцент2 27" xfId="53696"/>
    <cellStyle name="Акцент2 28" xfId="53697"/>
    <cellStyle name="Акцент2 29" xfId="53698"/>
    <cellStyle name="Акцент2 3" xfId="53699"/>
    <cellStyle name="Акцент2 30" xfId="53700"/>
    <cellStyle name="Акцент2 31" xfId="53701"/>
    <cellStyle name="Акцент2 32" xfId="53702"/>
    <cellStyle name="Акцент2 33" xfId="53703"/>
    <cellStyle name="Акцент2 34" xfId="53704"/>
    <cellStyle name="Акцент2 35" xfId="53705"/>
    <cellStyle name="Акцент2 36" xfId="53706"/>
    <cellStyle name="Акцент2 37" xfId="53707"/>
    <cellStyle name="Акцент2 38" xfId="53708"/>
    <cellStyle name="Акцент2 39" xfId="53709"/>
    <cellStyle name="Акцент2 4" xfId="53710"/>
    <cellStyle name="Акцент2 40" xfId="53711"/>
    <cellStyle name="Акцент2 41" xfId="53712"/>
    <cellStyle name="Акцент2 42" xfId="53713"/>
    <cellStyle name="Акцент2 43" xfId="53714"/>
    <cellStyle name="Акцент2 44" xfId="53715"/>
    <cellStyle name="Акцент2 45" xfId="53716"/>
    <cellStyle name="Акцент2 46" xfId="53717"/>
    <cellStyle name="Акцент2 47" xfId="53718"/>
    <cellStyle name="Акцент2 48" xfId="53719"/>
    <cellStyle name="Акцент2 49" xfId="53720"/>
    <cellStyle name="Акцент2 5" xfId="53721"/>
    <cellStyle name="Акцент2 50" xfId="53722"/>
    <cellStyle name="Акцент2 51" xfId="53723"/>
    <cellStyle name="Акцент2 52" xfId="53724"/>
    <cellStyle name="Акцент2 53" xfId="53725"/>
    <cellStyle name="Акцент2 54" xfId="53726"/>
    <cellStyle name="Акцент2 55" xfId="53727"/>
    <cellStyle name="Акцент2 56" xfId="53728"/>
    <cellStyle name="Акцент2 57" xfId="53729"/>
    <cellStyle name="Акцент2 58" xfId="53730"/>
    <cellStyle name="Акцент2 59" xfId="53731"/>
    <cellStyle name="Акцент2 6" xfId="53732"/>
    <cellStyle name="Акцент2 60" xfId="53733"/>
    <cellStyle name="Акцент2 61" xfId="53734"/>
    <cellStyle name="Акцент2 62" xfId="53735"/>
    <cellStyle name="Акцент2 63" xfId="53736"/>
    <cellStyle name="Акцент2 64" xfId="53737"/>
    <cellStyle name="Акцент2 65" xfId="53738"/>
    <cellStyle name="Акцент2 66" xfId="53739"/>
    <cellStyle name="Акцент2 67" xfId="53740"/>
    <cellStyle name="Акцент2 68" xfId="53741"/>
    <cellStyle name="Акцент2 69" xfId="53742"/>
    <cellStyle name="Акцент2 7" xfId="53743"/>
    <cellStyle name="Акцент2 70" xfId="53744"/>
    <cellStyle name="Акцент2 71" xfId="53745"/>
    <cellStyle name="Акцент2 72" xfId="53746"/>
    <cellStyle name="Акцент2 73" xfId="53747"/>
    <cellStyle name="Акцент2 74" xfId="53748"/>
    <cellStyle name="Акцент2 75" xfId="53749"/>
    <cellStyle name="Акцент2 76" xfId="53750"/>
    <cellStyle name="Акцент2 77" xfId="53751"/>
    <cellStyle name="Акцент2 78" xfId="53752"/>
    <cellStyle name="Акцент2 79" xfId="53753"/>
    <cellStyle name="Акцент2 8" xfId="53754"/>
    <cellStyle name="Акцент2 80" xfId="53755"/>
    <cellStyle name="Акцент2 81" xfId="53756"/>
    <cellStyle name="Акцент2 82" xfId="53757"/>
    <cellStyle name="Акцент2 83" xfId="53758"/>
    <cellStyle name="Акцент2 84" xfId="53759"/>
    <cellStyle name="Акцент2 85" xfId="53760"/>
    <cellStyle name="Акцент2 86" xfId="53761"/>
    <cellStyle name="Акцент2 87" xfId="53762"/>
    <cellStyle name="Акцент2 88" xfId="53763"/>
    <cellStyle name="Акцент2 89" xfId="53764"/>
    <cellStyle name="Акцент2 9" xfId="53765"/>
    <cellStyle name="Акцент2 90" xfId="53766"/>
    <cellStyle name="Акцент2 91" xfId="53767"/>
    <cellStyle name="Акцент2 92" xfId="53768"/>
    <cellStyle name="Акцент2 93" xfId="53769"/>
    <cellStyle name="Акцент2 94" xfId="53770"/>
    <cellStyle name="Акцент2 95" xfId="53771"/>
    <cellStyle name="Акцент2 96" xfId="53772"/>
    <cellStyle name="Акцент2 97" xfId="53773"/>
    <cellStyle name="Акцент2 98" xfId="53774"/>
    <cellStyle name="Акцент2 99" xfId="53775"/>
    <cellStyle name="Акцент3 10" xfId="53776"/>
    <cellStyle name="Акцент3 100" xfId="53777"/>
    <cellStyle name="Акцент3 101" xfId="53778"/>
    <cellStyle name="Акцент3 102" xfId="53779"/>
    <cellStyle name="Акцент3 103" xfId="53780"/>
    <cellStyle name="Акцент3 104" xfId="53781"/>
    <cellStyle name="Акцент3 105" xfId="53782"/>
    <cellStyle name="Акцент3 106" xfId="53783"/>
    <cellStyle name="Акцент3 107" xfId="53784"/>
    <cellStyle name="Акцент3 108" xfId="53785"/>
    <cellStyle name="Акцент3 109" xfId="53786"/>
    <cellStyle name="Акцент3 11" xfId="53787"/>
    <cellStyle name="Акцент3 110" xfId="53788"/>
    <cellStyle name="Акцент3 111" xfId="53789"/>
    <cellStyle name="Акцент3 112" xfId="53790"/>
    <cellStyle name="Акцент3 113" xfId="53791"/>
    <cellStyle name="Акцент3 114" xfId="53792"/>
    <cellStyle name="Акцент3 115" xfId="53793"/>
    <cellStyle name="Акцент3 116" xfId="53794"/>
    <cellStyle name="Акцент3 117" xfId="53795"/>
    <cellStyle name="Акцент3 118" xfId="53796"/>
    <cellStyle name="Акцент3 119" xfId="53797"/>
    <cellStyle name="Акцент3 12" xfId="53798"/>
    <cellStyle name="Акцент3 120" xfId="53799"/>
    <cellStyle name="Акцент3 121" xfId="53800"/>
    <cellStyle name="Акцент3 122" xfId="53801"/>
    <cellStyle name="Акцент3 123" xfId="53802"/>
    <cellStyle name="Акцент3 124" xfId="53803"/>
    <cellStyle name="Акцент3 125" xfId="53804"/>
    <cellStyle name="Акцент3 126" xfId="53805"/>
    <cellStyle name="Акцент3 127" xfId="53806"/>
    <cellStyle name="Акцент3 128" xfId="53807"/>
    <cellStyle name="Акцент3 129" xfId="53808"/>
    <cellStyle name="Акцент3 13" xfId="53809"/>
    <cellStyle name="Акцент3 130" xfId="53810"/>
    <cellStyle name="Акцент3 131" xfId="53811"/>
    <cellStyle name="Акцент3 132" xfId="53812"/>
    <cellStyle name="Акцент3 133" xfId="53813"/>
    <cellStyle name="Акцент3 134" xfId="53814"/>
    <cellStyle name="Акцент3 135" xfId="53815"/>
    <cellStyle name="Акцент3 136" xfId="53816"/>
    <cellStyle name="Акцент3 137" xfId="53817"/>
    <cellStyle name="Акцент3 138" xfId="53818"/>
    <cellStyle name="Акцент3 139" xfId="53819"/>
    <cellStyle name="Акцент3 14" xfId="53820"/>
    <cellStyle name="Акцент3 140" xfId="53821"/>
    <cellStyle name="Акцент3 141" xfId="53822"/>
    <cellStyle name="Акцент3 142" xfId="53823"/>
    <cellStyle name="Акцент3 143" xfId="53824"/>
    <cellStyle name="Акцент3 144" xfId="53825"/>
    <cellStyle name="Акцент3 145" xfId="53826"/>
    <cellStyle name="Акцент3 146" xfId="53827"/>
    <cellStyle name="Акцент3 147" xfId="53828"/>
    <cellStyle name="Акцент3 148" xfId="53829"/>
    <cellStyle name="Акцент3 149" xfId="53830"/>
    <cellStyle name="Акцент3 15" xfId="53831"/>
    <cellStyle name="Акцент3 150" xfId="53832"/>
    <cellStyle name="Акцент3 151" xfId="53833"/>
    <cellStyle name="Акцент3 16" xfId="53834"/>
    <cellStyle name="Акцент3 17" xfId="53835"/>
    <cellStyle name="Акцент3 18" xfId="53836"/>
    <cellStyle name="Акцент3 19" xfId="53837"/>
    <cellStyle name="Акцент3 2" xfId="53838"/>
    <cellStyle name="Акцент3 2 10" xfId="53839"/>
    <cellStyle name="Акцент3 2 11" xfId="53840"/>
    <cellStyle name="Акцент3 2 12" xfId="53841"/>
    <cellStyle name="Акцент3 2 13" xfId="53842"/>
    <cellStyle name="Акцент3 2 2" xfId="53843"/>
    <cellStyle name="Акцент3 2 3" xfId="53844"/>
    <cellStyle name="Акцент3 2 4" xfId="53845"/>
    <cellStyle name="Акцент3 2 5" xfId="53846"/>
    <cellStyle name="Акцент3 2 6" xfId="53847"/>
    <cellStyle name="Акцент3 2 7" xfId="53848"/>
    <cellStyle name="Акцент3 2 8" xfId="53849"/>
    <cellStyle name="Акцент3 2 9" xfId="53850"/>
    <cellStyle name="Акцент3 20" xfId="53851"/>
    <cellStyle name="Акцент3 21" xfId="53852"/>
    <cellStyle name="Акцент3 22" xfId="53853"/>
    <cellStyle name="Акцент3 23" xfId="53854"/>
    <cellStyle name="Акцент3 24" xfId="53855"/>
    <cellStyle name="Акцент3 25" xfId="53856"/>
    <cellStyle name="Акцент3 26" xfId="53857"/>
    <cellStyle name="Акцент3 27" xfId="53858"/>
    <cellStyle name="Акцент3 28" xfId="53859"/>
    <cellStyle name="Акцент3 29" xfId="53860"/>
    <cellStyle name="Акцент3 3" xfId="53861"/>
    <cellStyle name="Акцент3 30" xfId="53862"/>
    <cellStyle name="Акцент3 31" xfId="53863"/>
    <cellStyle name="Акцент3 32" xfId="53864"/>
    <cellStyle name="Акцент3 33" xfId="53865"/>
    <cellStyle name="Акцент3 34" xfId="53866"/>
    <cellStyle name="Акцент3 35" xfId="53867"/>
    <cellStyle name="Акцент3 36" xfId="53868"/>
    <cellStyle name="Акцент3 37" xfId="53869"/>
    <cellStyle name="Акцент3 38" xfId="53870"/>
    <cellStyle name="Акцент3 39" xfId="53871"/>
    <cellStyle name="Акцент3 4" xfId="53872"/>
    <cellStyle name="Акцент3 40" xfId="53873"/>
    <cellStyle name="Акцент3 41" xfId="53874"/>
    <cellStyle name="Акцент3 42" xfId="53875"/>
    <cellStyle name="Акцент3 43" xfId="53876"/>
    <cellStyle name="Акцент3 44" xfId="53877"/>
    <cellStyle name="Акцент3 45" xfId="53878"/>
    <cellStyle name="Акцент3 46" xfId="53879"/>
    <cellStyle name="Акцент3 47" xfId="53880"/>
    <cellStyle name="Акцент3 48" xfId="53881"/>
    <cellStyle name="Акцент3 49" xfId="53882"/>
    <cellStyle name="Акцент3 5" xfId="53883"/>
    <cellStyle name="Акцент3 50" xfId="53884"/>
    <cellStyle name="Акцент3 51" xfId="53885"/>
    <cellStyle name="Акцент3 52" xfId="53886"/>
    <cellStyle name="Акцент3 53" xfId="53887"/>
    <cellStyle name="Акцент3 54" xfId="53888"/>
    <cellStyle name="Акцент3 55" xfId="53889"/>
    <cellStyle name="Акцент3 56" xfId="53890"/>
    <cellStyle name="Акцент3 57" xfId="53891"/>
    <cellStyle name="Акцент3 58" xfId="53892"/>
    <cellStyle name="Акцент3 59" xfId="53893"/>
    <cellStyle name="Акцент3 6" xfId="53894"/>
    <cellStyle name="Акцент3 60" xfId="53895"/>
    <cellStyle name="Акцент3 61" xfId="53896"/>
    <cellStyle name="Акцент3 62" xfId="53897"/>
    <cellStyle name="Акцент3 63" xfId="53898"/>
    <cellStyle name="Акцент3 64" xfId="53899"/>
    <cellStyle name="Акцент3 65" xfId="53900"/>
    <cellStyle name="Акцент3 66" xfId="53901"/>
    <cellStyle name="Акцент3 67" xfId="53902"/>
    <cellStyle name="Акцент3 68" xfId="53903"/>
    <cellStyle name="Акцент3 69" xfId="53904"/>
    <cellStyle name="Акцент3 7" xfId="53905"/>
    <cellStyle name="Акцент3 70" xfId="53906"/>
    <cellStyle name="Акцент3 71" xfId="53907"/>
    <cellStyle name="Акцент3 72" xfId="53908"/>
    <cellStyle name="Акцент3 73" xfId="53909"/>
    <cellStyle name="Акцент3 74" xfId="53910"/>
    <cellStyle name="Акцент3 75" xfId="53911"/>
    <cellStyle name="Акцент3 76" xfId="53912"/>
    <cellStyle name="Акцент3 77" xfId="53913"/>
    <cellStyle name="Акцент3 78" xfId="53914"/>
    <cellStyle name="Акцент3 79" xfId="53915"/>
    <cellStyle name="Акцент3 8" xfId="53916"/>
    <cellStyle name="Акцент3 80" xfId="53917"/>
    <cellStyle name="Акцент3 81" xfId="53918"/>
    <cellStyle name="Акцент3 82" xfId="53919"/>
    <cellStyle name="Акцент3 83" xfId="53920"/>
    <cellStyle name="Акцент3 84" xfId="53921"/>
    <cellStyle name="Акцент3 85" xfId="53922"/>
    <cellStyle name="Акцент3 86" xfId="53923"/>
    <cellStyle name="Акцент3 87" xfId="53924"/>
    <cellStyle name="Акцент3 88" xfId="53925"/>
    <cellStyle name="Акцент3 89" xfId="53926"/>
    <cellStyle name="Акцент3 9" xfId="53927"/>
    <cellStyle name="Акцент3 90" xfId="53928"/>
    <cellStyle name="Акцент3 91" xfId="53929"/>
    <cellStyle name="Акцент3 92" xfId="53930"/>
    <cellStyle name="Акцент3 93" xfId="53931"/>
    <cellStyle name="Акцент3 94" xfId="53932"/>
    <cellStyle name="Акцент3 95" xfId="53933"/>
    <cellStyle name="Акцент3 96" xfId="53934"/>
    <cellStyle name="Акцент3 97" xfId="53935"/>
    <cellStyle name="Акцент3 98" xfId="53936"/>
    <cellStyle name="Акцент3 99" xfId="53937"/>
    <cellStyle name="Акцент4 10" xfId="53938"/>
    <cellStyle name="Акцент4 100" xfId="53939"/>
    <cellStyle name="Акцент4 101" xfId="53940"/>
    <cellStyle name="Акцент4 102" xfId="53941"/>
    <cellStyle name="Акцент4 103" xfId="53942"/>
    <cellStyle name="Акцент4 104" xfId="53943"/>
    <cellStyle name="Акцент4 105" xfId="53944"/>
    <cellStyle name="Акцент4 106" xfId="53945"/>
    <cellStyle name="Акцент4 107" xfId="53946"/>
    <cellStyle name="Акцент4 108" xfId="53947"/>
    <cellStyle name="Акцент4 109" xfId="53948"/>
    <cellStyle name="Акцент4 11" xfId="53949"/>
    <cellStyle name="Акцент4 110" xfId="53950"/>
    <cellStyle name="Акцент4 111" xfId="53951"/>
    <cellStyle name="Акцент4 112" xfId="53952"/>
    <cellStyle name="Акцент4 113" xfId="53953"/>
    <cellStyle name="Акцент4 114" xfId="53954"/>
    <cellStyle name="Акцент4 115" xfId="53955"/>
    <cellStyle name="Акцент4 116" xfId="53956"/>
    <cellStyle name="Акцент4 117" xfId="53957"/>
    <cellStyle name="Акцент4 118" xfId="53958"/>
    <cellStyle name="Акцент4 119" xfId="53959"/>
    <cellStyle name="Акцент4 12" xfId="53960"/>
    <cellStyle name="Акцент4 120" xfId="53961"/>
    <cellStyle name="Акцент4 121" xfId="53962"/>
    <cellStyle name="Акцент4 122" xfId="53963"/>
    <cellStyle name="Акцент4 123" xfId="53964"/>
    <cellStyle name="Акцент4 124" xfId="53965"/>
    <cellStyle name="Акцент4 125" xfId="53966"/>
    <cellStyle name="Акцент4 126" xfId="53967"/>
    <cellStyle name="Акцент4 127" xfId="53968"/>
    <cellStyle name="Акцент4 128" xfId="53969"/>
    <cellStyle name="Акцент4 129" xfId="53970"/>
    <cellStyle name="Акцент4 13" xfId="53971"/>
    <cellStyle name="Акцент4 130" xfId="53972"/>
    <cellStyle name="Акцент4 131" xfId="53973"/>
    <cellStyle name="Акцент4 132" xfId="53974"/>
    <cellStyle name="Акцент4 133" xfId="53975"/>
    <cellStyle name="Акцент4 134" xfId="53976"/>
    <cellStyle name="Акцент4 135" xfId="53977"/>
    <cellStyle name="Акцент4 136" xfId="53978"/>
    <cellStyle name="Акцент4 137" xfId="53979"/>
    <cellStyle name="Акцент4 138" xfId="53980"/>
    <cellStyle name="Акцент4 139" xfId="53981"/>
    <cellStyle name="Акцент4 14" xfId="53982"/>
    <cellStyle name="Акцент4 140" xfId="53983"/>
    <cellStyle name="Акцент4 141" xfId="53984"/>
    <cellStyle name="Акцент4 142" xfId="53985"/>
    <cellStyle name="Акцент4 143" xfId="53986"/>
    <cellStyle name="Акцент4 144" xfId="53987"/>
    <cellStyle name="Акцент4 145" xfId="53988"/>
    <cellStyle name="Акцент4 146" xfId="53989"/>
    <cellStyle name="Акцент4 147" xfId="53990"/>
    <cellStyle name="Акцент4 148" xfId="53991"/>
    <cellStyle name="Акцент4 149" xfId="53992"/>
    <cellStyle name="Акцент4 15" xfId="53993"/>
    <cellStyle name="Акцент4 150" xfId="53994"/>
    <cellStyle name="Акцент4 151" xfId="53995"/>
    <cellStyle name="Акцент4 16" xfId="53996"/>
    <cellStyle name="Акцент4 17" xfId="53997"/>
    <cellStyle name="Акцент4 18" xfId="53998"/>
    <cellStyle name="Акцент4 19" xfId="53999"/>
    <cellStyle name="Акцент4 2" xfId="54000"/>
    <cellStyle name="Акцент4 2 10" xfId="54001"/>
    <cellStyle name="Акцент4 2 11" xfId="54002"/>
    <cellStyle name="Акцент4 2 12" xfId="54003"/>
    <cellStyle name="Акцент4 2 13" xfId="54004"/>
    <cellStyle name="Акцент4 2 2" xfId="54005"/>
    <cellStyle name="Акцент4 2 3" xfId="54006"/>
    <cellStyle name="Акцент4 2 4" xfId="54007"/>
    <cellStyle name="Акцент4 2 5" xfId="54008"/>
    <cellStyle name="Акцент4 2 6" xfId="54009"/>
    <cellStyle name="Акцент4 2 7" xfId="54010"/>
    <cellStyle name="Акцент4 2 8" xfId="54011"/>
    <cellStyle name="Акцент4 2 9" xfId="54012"/>
    <cellStyle name="Акцент4 20" xfId="54013"/>
    <cellStyle name="Акцент4 21" xfId="54014"/>
    <cellStyle name="Акцент4 22" xfId="54015"/>
    <cellStyle name="Акцент4 23" xfId="54016"/>
    <cellStyle name="Акцент4 24" xfId="54017"/>
    <cellStyle name="Акцент4 25" xfId="54018"/>
    <cellStyle name="Акцент4 26" xfId="54019"/>
    <cellStyle name="Акцент4 27" xfId="54020"/>
    <cellStyle name="Акцент4 28" xfId="54021"/>
    <cellStyle name="Акцент4 29" xfId="54022"/>
    <cellStyle name="Акцент4 3" xfId="54023"/>
    <cellStyle name="Акцент4 30" xfId="54024"/>
    <cellStyle name="Акцент4 31" xfId="54025"/>
    <cellStyle name="Акцент4 32" xfId="54026"/>
    <cellStyle name="Акцент4 33" xfId="54027"/>
    <cellStyle name="Акцент4 34" xfId="54028"/>
    <cellStyle name="Акцент4 35" xfId="54029"/>
    <cellStyle name="Акцент4 36" xfId="54030"/>
    <cellStyle name="Акцент4 37" xfId="54031"/>
    <cellStyle name="Акцент4 38" xfId="54032"/>
    <cellStyle name="Акцент4 39" xfId="54033"/>
    <cellStyle name="Акцент4 4" xfId="54034"/>
    <cellStyle name="Акцент4 40" xfId="54035"/>
    <cellStyle name="Акцент4 41" xfId="54036"/>
    <cellStyle name="Акцент4 42" xfId="54037"/>
    <cellStyle name="Акцент4 43" xfId="54038"/>
    <cellStyle name="Акцент4 44" xfId="54039"/>
    <cellStyle name="Акцент4 45" xfId="54040"/>
    <cellStyle name="Акцент4 46" xfId="54041"/>
    <cellStyle name="Акцент4 47" xfId="54042"/>
    <cellStyle name="Акцент4 48" xfId="54043"/>
    <cellStyle name="Акцент4 49" xfId="54044"/>
    <cellStyle name="Акцент4 5" xfId="54045"/>
    <cellStyle name="Акцент4 50" xfId="54046"/>
    <cellStyle name="Акцент4 51" xfId="54047"/>
    <cellStyle name="Акцент4 52" xfId="54048"/>
    <cellStyle name="Акцент4 53" xfId="54049"/>
    <cellStyle name="Акцент4 54" xfId="54050"/>
    <cellStyle name="Акцент4 55" xfId="54051"/>
    <cellStyle name="Акцент4 56" xfId="54052"/>
    <cellStyle name="Акцент4 57" xfId="54053"/>
    <cellStyle name="Акцент4 58" xfId="54054"/>
    <cellStyle name="Акцент4 59" xfId="54055"/>
    <cellStyle name="Акцент4 6" xfId="54056"/>
    <cellStyle name="Акцент4 60" xfId="54057"/>
    <cellStyle name="Акцент4 61" xfId="54058"/>
    <cellStyle name="Акцент4 62" xfId="54059"/>
    <cellStyle name="Акцент4 63" xfId="54060"/>
    <cellStyle name="Акцент4 64" xfId="54061"/>
    <cellStyle name="Акцент4 65" xfId="54062"/>
    <cellStyle name="Акцент4 66" xfId="54063"/>
    <cellStyle name="Акцент4 67" xfId="54064"/>
    <cellStyle name="Акцент4 68" xfId="54065"/>
    <cellStyle name="Акцент4 69" xfId="54066"/>
    <cellStyle name="Акцент4 7" xfId="54067"/>
    <cellStyle name="Акцент4 70" xfId="54068"/>
    <cellStyle name="Акцент4 71" xfId="54069"/>
    <cellStyle name="Акцент4 72" xfId="54070"/>
    <cellStyle name="Акцент4 73" xfId="54071"/>
    <cellStyle name="Акцент4 74" xfId="54072"/>
    <cellStyle name="Акцент4 75" xfId="54073"/>
    <cellStyle name="Акцент4 76" xfId="54074"/>
    <cellStyle name="Акцент4 77" xfId="54075"/>
    <cellStyle name="Акцент4 78" xfId="54076"/>
    <cellStyle name="Акцент4 79" xfId="54077"/>
    <cellStyle name="Акцент4 8" xfId="54078"/>
    <cellStyle name="Акцент4 80" xfId="54079"/>
    <cellStyle name="Акцент4 81" xfId="54080"/>
    <cellStyle name="Акцент4 82" xfId="54081"/>
    <cellStyle name="Акцент4 83" xfId="54082"/>
    <cellStyle name="Акцент4 84" xfId="54083"/>
    <cellStyle name="Акцент4 85" xfId="54084"/>
    <cellStyle name="Акцент4 86" xfId="54085"/>
    <cellStyle name="Акцент4 87" xfId="54086"/>
    <cellStyle name="Акцент4 88" xfId="54087"/>
    <cellStyle name="Акцент4 89" xfId="54088"/>
    <cellStyle name="Акцент4 9" xfId="54089"/>
    <cellStyle name="Акцент4 90" xfId="54090"/>
    <cellStyle name="Акцент4 91" xfId="54091"/>
    <cellStyle name="Акцент4 92" xfId="54092"/>
    <cellStyle name="Акцент4 93" xfId="54093"/>
    <cellStyle name="Акцент4 94" xfId="54094"/>
    <cellStyle name="Акцент4 95" xfId="54095"/>
    <cellStyle name="Акцент4 96" xfId="54096"/>
    <cellStyle name="Акцент4 97" xfId="54097"/>
    <cellStyle name="Акцент4 98" xfId="54098"/>
    <cellStyle name="Акцент4 99" xfId="54099"/>
    <cellStyle name="Акцент5 10" xfId="54100"/>
    <cellStyle name="Акцент5 100" xfId="54101"/>
    <cellStyle name="Акцент5 101" xfId="54102"/>
    <cellStyle name="Акцент5 102" xfId="54103"/>
    <cellStyle name="Акцент5 103" xfId="54104"/>
    <cellStyle name="Акцент5 104" xfId="54105"/>
    <cellStyle name="Акцент5 105" xfId="54106"/>
    <cellStyle name="Акцент5 106" xfId="54107"/>
    <cellStyle name="Акцент5 107" xfId="54108"/>
    <cellStyle name="Акцент5 108" xfId="54109"/>
    <cellStyle name="Акцент5 109" xfId="54110"/>
    <cellStyle name="Акцент5 11" xfId="54111"/>
    <cellStyle name="Акцент5 110" xfId="54112"/>
    <cellStyle name="Акцент5 111" xfId="54113"/>
    <cellStyle name="Акцент5 112" xfId="54114"/>
    <cellStyle name="Акцент5 113" xfId="54115"/>
    <cellStyle name="Акцент5 114" xfId="54116"/>
    <cellStyle name="Акцент5 115" xfId="54117"/>
    <cellStyle name="Акцент5 116" xfId="54118"/>
    <cellStyle name="Акцент5 117" xfId="54119"/>
    <cellStyle name="Акцент5 118" xfId="54120"/>
    <cellStyle name="Акцент5 119" xfId="54121"/>
    <cellStyle name="Акцент5 12" xfId="54122"/>
    <cellStyle name="Акцент5 120" xfId="54123"/>
    <cellStyle name="Акцент5 121" xfId="54124"/>
    <cellStyle name="Акцент5 122" xfId="54125"/>
    <cellStyle name="Акцент5 123" xfId="54126"/>
    <cellStyle name="Акцент5 124" xfId="54127"/>
    <cellStyle name="Акцент5 125" xfId="54128"/>
    <cellStyle name="Акцент5 126" xfId="54129"/>
    <cellStyle name="Акцент5 127" xfId="54130"/>
    <cellStyle name="Акцент5 128" xfId="54131"/>
    <cellStyle name="Акцент5 129" xfId="54132"/>
    <cellStyle name="Акцент5 13" xfId="54133"/>
    <cellStyle name="Акцент5 130" xfId="54134"/>
    <cellStyle name="Акцент5 131" xfId="54135"/>
    <cellStyle name="Акцент5 132" xfId="54136"/>
    <cellStyle name="Акцент5 133" xfId="54137"/>
    <cellStyle name="Акцент5 134" xfId="54138"/>
    <cellStyle name="Акцент5 135" xfId="54139"/>
    <cellStyle name="Акцент5 136" xfId="54140"/>
    <cellStyle name="Акцент5 137" xfId="54141"/>
    <cellStyle name="Акцент5 138" xfId="54142"/>
    <cellStyle name="Акцент5 139" xfId="54143"/>
    <cellStyle name="Акцент5 14" xfId="54144"/>
    <cellStyle name="Акцент5 140" xfId="54145"/>
    <cellStyle name="Акцент5 141" xfId="54146"/>
    <cellStyle name="Акцент5 142" xfId="54147"/>
    <cellStyle name="Акцент5 143" xfId="54148"/>
    <cellStyle name="Акцент5 144" xfId="54149"/>
    <cellStyle name="Акцент5 145" xfId="54150"/>
    <cellStyle name="Акцент5 146" xfId="54151"/>
    <cellStyle name="Акцент5 147" xfId="54152"/>
    <cellStyle name="Акцент5 148" xfId="54153"/>
    <cellStyle name="Акцент5 149" xfId="54154"/>
    <cellStyle name="Акцент5 15" xfId="54155"/>
    <cellStyle name="Акцент5 150" xfId="54156"/>
    <cellStyle name="Акцент5 151" xfId="54157"/>
    <cellStyle name="Акцент5 16" xfId="54158"/>
    <cellStyle name="Акцент5 17" xfId="54159"/>
    <cellStyle name="Акцент5 18" xfId="54160"/>
    <cellStyle name="Акцент5 19" xfId="54161"/>
    <cellStyle name="Акцент5 2" xfId="54162"/>
    <cellStyle name="Акцент5 2 10" xfId="54163"/>
    <cellStyle name="Акцент5 2 11" xfId="54164"/>
    <cellStyle name="Акцент5 2 12" xfId="54165"/>
    <cellStyle name="Акцент5 2 13" xfId="54166"/>
    <cellStyle name="Акцент5 2 2" xfId="54167"/>
    <cellStyle name="Акцент5 2 3" xfId="54168"/>
    <cellStyle name="Акцент5 2 4" xfId="54169"/>
    <cellStyle name="Акцент5 2 5" xfId="54170"/>
    <cellStyle name="Акцент5 2 6" xfId="54171"/>
    <cellStyle name="Акцент5 2 7" xfId="54172"/>
    <cellStyle name="Акцент5 2 8" xfId="54173"/>
    <cellStyle name="Акцент5 2 9" xfId="54174"/>
    <cellStyle name="Акцент5 20" xfId="54175"/>
    <cellStyle name="Акцент5 21" xfId="54176"/>
    <cellStyle name="Акцент5 22" xfId="54177"/>
    <cellStyle name="Акцент5 23" xfId="54178"/>
    <cellStyle name="Акцент5 24" xfId="54179"/>
    <cellStyle name="Акцент5 25" xfId="54180"/>
    <cellStyle name="Акцент5 26" xfId="54181"/>
    <cellStyle name="Акцент5 27" xfId="54182"/>
    <cellStyle name="Акцент5 28" xfId="54183"/>
    <cellStyle name="Акцент5 29" xfId="54184"/>
    <cellStyle name="Акцент5 3" xfId="54185"/>
    <cellStyle name="Акцент5 30" xfId="54186"/>
    <cellStyle name="Акцент5 31" xfId="54187"/>
    <cellStyle name="Акцент5 32" xfId="54188"/>
    <cellStyle name="Акцент5 33" xfId="54189"/>
    <cellStyle name="Акцент5 34" xfId="54190"/>
    <cellStyle name="Акцент5 35" xfId="54191"/>
    <cellStyle name="Акцент5 36" xfId="54192"/>
    <cellStyle name="Акцент5 37" xfId="54193"/>
    <cellStyle name="Акцент5 38" xfId="54194"/>
    <cellStyle name="Акцент5 39" xfId="54195"/>
    <cellStyle name="Акцент5 4" xfId="54196"/>
    <cellStyle name="Акцент5 40" xfId="54197"/>
    <cellStyle name="Акцент5 41" xfId="54198"/>
    <cellStyle name="Акцент5 42" xfId="54199"/>
    <cellStyle name="Акцент5 43" xfId="54200"/>
    <cellStyle name="Акцент5 44" xfId="54201"/>
    <cellStyle name="Акцент5 45" xfId="54202"/>
    <cellStyle name="Акцент5 46" xfId="54203"/>
    <cellStyle name="Акцент5 47" xfId="54204"/>
    <cellStyle name="Акцент5 48" xfId="54205"/>
    <cellStyle name="Акцент5 49" xfId="54206"/>
    <cellStyle name="Акцент5 5" xfId="54207"/>
    <cellStyle name="Акцент5 50" xfId="54208"/>
    <cellStyle name="Акцент5 51" xfId="54209"/>
    <cellStyle name="Акцент5 52" xfId="54210"/>
    <cellStyle name="Акцент5 53" xfId="54211"/>
    <cellStyle name="Акцент5 54" xfId="54212"/>
    <cellStyle name="Акцент5 55" xfId="54213"/>
    <cellStyle name="Акцент5 56" xfId="54214"/>
    <cellStyle name="Акцент5 57" xfId="54215"/>
    <cellStyle name="Акцент5 58" xfId="54216"/>
    <cellStyle name="Акцент5 59" xfId="54217"/>
    <cellStyle name="Акцент5 6" xfId="54218"/>
    <cellStyle name="Акцент5 60" xfId="54219"/>
    <cellStyle name="Акцент5 61" xfId="54220"/>
    <cellStyle name="Акцент5 62" xfId="54221"/>
    <cellStyle name="Акцент5 63" xfId="54222"/>
    <cellStyle name="Акцент5 64" xfId="54223"/>
    <cellStyle name="Акцент5 65" xfId="54224"/>
    <cellStyle name="Акцент5 66" xfId="54225"/>
    <cellStyle name="Акцент5 67" xfId="54226"/>
    <cellStyle name="Акцент5 68" xfId="54227"/>
    <cellStyle name="Акцент5 69" xfId="54228"/>
    <cellStyle name="Акцент5 7" xfId="54229"/>
    <cellStyle name="Акцент5 70" xfId="54230"/>
    <cellStyle name="Акцент5 71" xfId="54231"/>
    <cellStyle name="Акцент5 72" xfId="54232"/>
    <cellStyle name="Акцент5 73" xfId="54233"/>
    <cellStyle name="Акцент5 74" xfId="54234"/>
    <cellStyle name="Акцент5 75" xfId="54235"/>
    <cellStyle name="Акцент5 76" xfId="54236"/>
    <cellStyle name="Акцент5 77" xfId="54237"/>
    <cellStyle name="Акцент5 78" xfId="54238"/>
    <cellStyle name="Акцент5 79" xfId="54239"/>
    <cellStyle name="Акцент5 8" xfId="54240"/>
    <cellStyle name="Акцент5 80" xfId="54241"/>
    <cellStyle name="Акцент5 81" xfId="54242"/>
    <cellStyle name="Акцент5 82" xfId="54243"/>
    <cellStyle name="Акцент5 83" xfId="54244"/>
    <cellStyle name="Акцент5 84" xfId="54245"/>
    <cellStyle name="Акцент5 85" xfId="54246"/>
    <cellStyle name="Акцент5 86" xfId="54247"/>
    <cellStyle name="Акцент5 87" xfId="54248"/>
    <cellStyle name="Акцент5 88" xfId="54249"/>
    <cellStyle name="Акцент5 89" xfId="54250"/>
    <cellStyle name="Акцент5 9" xfId="54251"/>
    <cellStyle name="Акцент5 90" xfId="54252"/>
    <cellStyle name="Акцент5 91" xfId="54253"/>
    <cellStyle name="Акцент5 92" xfId="54254"/>
    <cellStyle name="Акцент5 93" xfId="54255"/>
    <cellStyle name="Акцент5 94" xfId="54256"/>
    <cellStyle name="Акцент5 95" xfId="54257"/>
    <cellStyle name="Акцент5 96" xfId="54258"/>
    <cellStyle name="Акцент5 97" xfId="54259"/>
    <cellStyle name="Акцент5 98" xfId="54260"/>
    <cellStyle name="Акцент5 99" xfId="54261"/>
    <cellStyle name="Акцент6 10" xfId="54262"/>
    <cellStyle name="Акцент6 100" xfId="54263"/>
    <cellStyle name="Акцент6 101" xfId="54264"/>
    <cellStyle name="Акцент6 102" xfId="54265"/>
    <cellStyle name="Акцент6 103" xfId="54266"/>
    <cellStyle name="Акцент6 104" xfId="54267"/>
    <cellStyle name="Акцент6 105" xfId="54268"/>
    <cellStyle name="Акцент6 106" xfId="54269"/>
    <cellStyle name="Акцент6 107" xfId="54270"/>
    <cellStyle name="Акцент6 108" xfId="54271"/>
    <cellStyle name="Акцент6 109" xfId="54272"/>
    <cellStyle name="Акцент6 11" xfId="54273"/>
    <cellStyle name="Акцент6 110" xfId="54274"/>
    <cellStyle name="Акцент6 111" xfId="54275"/>
    <cellStyle name="Акцент6 112" xfId="54276"/>
    <cellStyle name="Акцент6 113" xfId="54277"/>
    <cellStyle name="Акцент6 114" xfId="54278"/>
    <cellStyle name="Акцент6 115" xfId="54279"/>
    <cellStyle name="Акцент6 116" xfId="54280"/>
    <cellStyle name="Акцент6 117" xfId="54281"/>
    <cellStyle name="Акцент6 118" xfId="54282"/>
    <cellStyle name="Акцент6 119" xfId="54283"/>
    <cellStyle name="Акцент6 12" xfId="54284"/>
    <cellStyle name="Акцент6 120" xfId="54285"/>
    <cellStyle name="Акцент6 121" xfId="54286"/>
    <cellStyle name="Акцент6 122" xfId="54287"/>
    <cellStyle name="Акцент6 123" xfId="54288"/>
    <cellStyle name="Акцент6 124" xfId="54289"/>
    <cellStyle name="Акцент6 125" xfId="54290"/>
    <cellStyle name="Акцент6 126" xfId="54291"/>
    <cellStyle name="Акцент6 127" xfId="54292"/>
    <cellStyle name="Акцент6 128" xfId="54293"/>
    <cellStyle name="Акцент6 129" xfId="54294"/>
    <cellStyle name="Акцент6 13" xfId="54295"/>
    <cellStyle name="Акцент6 130" xfId="54296"/>
    <cellStyle name="Акцент6 131" xfId="54297"/>
    <cellStyle name="Акцент6 132" xfId="54298"/>
    <cellStyle name="Акцент6 133" xfId="54299"/>
    <cellStyle name="Акцент6 134" xfId="54300"/>
    <cellStyle name="Акцент6 135" xfId="54301"/>
    <cellStyle name="Акцент6 136" xfId="54302"/>
    <cellStyle name="Акцент6 137" xfId="54303"/>
    <cellStyle name="Акцент6 138" xfId="54304"/>
    <cellStyle name="Акцент6 139" xfId="54305"/>
    <cellStyle name="Акцент6 14" xfId="54306"/>
    <cellStyle name="Акцент6 140" xfId="54307"/>
    <cellStyle name="Акцент6 141" xfId="54308"/>
    <cellStyle name="Акцент6 142" xfId="54309"/>
    <cellStyle name="Акцент6 143" xfId="54310"/>
    <cellStyle name="Акцент6 144" xfId="54311"/>
    <cellStyle name="Акцент6 145" xfId="54312"/>
    <cellStyle name="Акцент6 146" xfId="54313"/>
    <cellStyle name="Акцент6 147" xfId="54314"/>
    <cellStyle name="Акцент6 148" xfId="54315"/>
    <cellStyle name="Акцент6 149" xfId="54316"/>
    <cellStyle name="Акцент6 15" xfId="54317"/>
    <cellStyle name="Акцент6 150" xfId="54318"/>
    <cellStyle name="Акцент6 151" xfId="54319"/>
    <cellStyle name="Акцент6 16" xfId="54320"/>
    <cellStyle name="Акцент6 17" xfId="54321"/>
    <cellStyle name="Акцент6 18" xfId="54322"/>
    <cellStyle name="Акцент6 19" xfId="54323"/>
    <cellStyle name="Акцент6 2" xfId="54324"/>
    <cellStyle name="Акцент6 2 10" xfId="54325"/>
    <cellStyle name="Акцент6 2 11" xfId="54326"/>
    <cellStyle name="Акцент6 2 12" xfId="54327"/>
    <cellStyle name="Акцент6 2 13" xfId="54328"/>
    <cellStyle name="Акцент6 2 2" xfId="54329"/>
    <cellStyle name="Акцент6 2 3" xfId="54330"/>
    <cellStyle name="Акцент6 2 4" xfId="54331"/>
    <cellStyle name="Акцент6 2 5" xfId="54332"/>
    <cellStyle name="Акцент6 2 6" xfId="54333"/>
    <cellStyle name="Акцент6 2 7" xfId="54334"/>
    <cellStyle name="Акцент6 2 8" xfId="54335"/>
    <cellStyle name="Акцент6 2 9" xfId="54336"/>
    <cellStyle name="Акцент6 20" xfId="54337"/>
    <cellStyle name="Акцент6 21" xfId="54338"/>
    <cellStyle name="Акцент6 22" xfId="54339"/>
    <cellStyle name="Акцент6 23" xfId="54340"/>
    <cellStyle name="Акцент6 24" xfId="54341"/>
    <cellStyle name="Акцент6 25" xfId="54342"/>
    <cellStyle name="Акцент6 26" xfId="54343"/>
    <cellStyle name="Акцент6 27" xfId="54344"/>
    <cellStyle name="Акцент6 28" xfId="54345"/>
    <cellStyle name="Акцент6 29" xfId="54346"/>
    <cellStyle name="Акцент6 3" xfId="54347"/>
    <cellStyle name="Акцент6 30" xfId="54348"/>
    <cellStyle name="Акцент6 31" xfId="54349"/>
    <cellStyle name="Акцент6 32" xfId="54350"/>
    <cellStyle name="Акцент6 33" xfId="54351"/>
    <cellStyle name="Акцент6 34" xfId="54352"/>
    <cellStyle name="Акцент6 35" xfId="54353"/>
    <cellStyle name="Акцент6 36" xfId="54354"/>
    <cellStyle name="Акцент6 37" xfId="54355"/>
    <cellStyle name="Акцент6 38" xfId="54356"/>
    <cellStyle name="Акцент6 39" xfId="54357"/>
    <cellStyle name="Акцент6 4" xfId="54358"/>
    <cellStyle name="Акцент6 40" xfId="54359"/>
    <cellStyle name="Акцент6 41" xfId="54360"/>
    <cellStyle name="Акцент6 42" xfId="54361"/>
    <cellStyle name="Акцент6 43" xfId="54362"/>
    <cellStyle name="Акцент6 44" xfId="54363"/>
    <cellStyle name="Акцент6 45" xfId="54364"/>
    <cellStyle name="Акцент6 46" xfId="54365"/>
    <cellStyle name="Акцент6 47" xfId="54366"/>
    <cellStyle name="Акцент6 48" xfId="54367"/>
    <cellStyle name="Акцент6 49" xfId="54368"/>
    <cellStyle name="Акцент6 5" xfId="54369"/>
    <cellStyle name="Акцент6 50" xfId="54370"/>
    <cellStyle name="Акцент6 51" xfId="54371"/>
    <cellStyle name="Акцент6 52" xfId="54372"/>
    <cellStyle name="Акцент6 53" xfId="54373"/>
    <cellStyle name="Акцент6 54" xfId="54374"/>
    <cellStyle name="Акцент6 55" xfId="54375"/>
    <cellStyle name="Акцент6 56" xfId="54376"/>
    <cellStyle name="Акцент6 57" xfId="54377"/>
    <cellStyle name="Акцент6 58" xfId="54378"/>
    <cellStyle name="Акцент6 59" xfId="54379"/>
    <cellStyle name="Акцент6 6" xfId="54380"/>
    <cellStyle name="Акцент6 60" xfId="54381"/>
    <cellStyle name="Акцент6 61" xfId="54382"/>
    <cellStyle name="Акцент6 62" xfId="54383"/>
    <cellStyle name="Акцент6 63" xfId="54384"/>
    <cellStyle name="Акцент6 64" xfId="54385"/>
    <cellStyle name="Акцент6 65" xfId="54386"/>
    <cellStyle name="Акцент6 66" xfId="54387"/>
    <cellStyle name="Акцент6 67" xfId="54388"/>
    <cellStyle name="Акцент6 68" xfId="54389"/>
    <cellStyle name="Акцент6 69" xfId="54390"/>
    <cellStyle name="Акцент6 7" xfId="54391"/>
    <cellStyle name="Акцент6 70" xfId="54392"/>
    <cellStyle name="Акцент6 71" xfId="54393"/>
    <cellStyle name="Акцент6 72" xfId="54394"/>
    <cellStyle name="Акцент6 73" xfId="54395"/>
    <cellStyle name="Акцент6 74" xfId="54396"/>
    <cellStyle name="Акцент6 75" xfId="54397"/>
    <cellStyle name="Акцент6 76" xfId="54398"/>
    <cellStyle name="Акцент6 77" xfId="54399"/>
    <cellStyle name="Акцент6 78" xfId="54400"/>
    <cellStyle name="Акцент6 79" xfId="54401"/>
    <cellStyle name="Акцент6 8" xfId="54402"/>
    <cellStyle name="Акцент6 80" xfId="54403"/>
    <cellStyle name="Акцент6 81" xfId="54404"/>
    <cellStyle name="Акцент6 82" xfId="54405"/>
    <cellStyle name="Акцент6 83" xfId="54406"/>
    <cellStyle name="Акцент6 84" xfId="54407"/>
    <cellStyle name="Акцент6 85" xfId="54408"/>
    <cellStyle name="Акцент6 86" xfId="54409"/>
    <cellStyle name="Акцент6 87" xfId="54410"/>
    <cellStyle name="Акцент6 88" xfId="54411"/>
    <cellStyle name="Акцент6 89" xfId="54412"/>
    <cellStyle name="Акцент6 9" xfId="54413"/>
    <cellStyle name="Акцент6 90" xfId="54414"/>
    <cellStyle name="Акцент6 91" xfId="54415"/>
    <cellStyle name="Акцент6 92" xfId="54416"/>
    <cellStyle name="Акцент6 93" xfId="54417"/>
    <cellStyle name="Акцент6 94" xfId="54418"/>
    <cellStyle name="Акцент6 95" xfId="54419"/>
    <cellStyle name="Акцент6 96" xfId="54420"/>
    <cellStyle name="Акцент6 97" xfId="54421"/>
    <cellStyle name="Акцент6 98" xfId="54422"/>
    <cellStyle name="Акцент6 99" xfId="54423"/>
    <cellStyle name="Ввод  10" xfId="54424"/>
    <cellStyle name="Ввод  100" xfId="54425"/>
    <cellStyle name="Ввод  101" xfId="54426"/>
    <cellStyle name="Ввод  102" xfId="54427"/>
    <cellStyle name="Ввод  103" xfId="54428"/>
    <cellStyle name="Ввод  104" xfId="54429"/>
    <cellStyle name="Ввод  105" xfId="54430"/>
    <cellStyle name="Ввод  106" xfId="54431"/>
    <cellStyle name="Ввод  107" xfId="54432"/>
    <cellStyle name="Ввод  108" xfId="54433"/>
    <cellStyle name="Ввод  109" xfId="54434"/>
    <cellStyle name="Ввод  11" xfId="54435"/>
    <cellStyle name="Ввод  110" xfId="54436"/>
    <cellStyle name="Ввод  111" xfId="54437"/>
    <cellStyle name="Ввод  112" xfId="54438"/>
    <cellStyle name="Ввод  113" xfId="54439"/>
    <cellStyle name="Ввод  114" xfId="54440"/>
    <cellStyle name="Ввод  115" xfId="54441"/>
    <cellStyle name="Ввод  116" xfId="54442"/>
    <cellStyle name="Ввод  117" xfId="54443"/>
    <cellStyle name="Ввод  118" xfId="54444"/>
    <cellStyle name="Ввод  119" xfId="54445"/>
    <cellStyle name="Ввод  12" xfId="54446"/>
    <cellStyle name="Ввод  120" xfId="54447"/>
    <cellStyle name="Ввод  121" xfId="54448"/>
    <cellStyle name="Ввод  122" xfId="54449"/>
    <cellStyle name="Ввод  123" xfId="54450"/>
    <cellStyle name="Ввод  124" xfId="54451"/>
    <cellStyle name="Ввод  125" xfId="54452"/>
    <cellStyle name="Ввод  126" xfId="54453"/>
    <cellStyle name="Ввод  127" xfId="54454"/>
    <cellStyle name="Ввод  128" xfId="54455"/>
    <cellStyle name="Ввод  129" xfId="54456"/>
    <cellStyle name="Ввод  13" xfId="54457"/>
    <cellStyle name="Ввод  130" xfId="54458"/>
    <cellStyle name="Ввод  131" xfId="54459"/>
    <cellStyle name="Ввод  132" xfId="54460"/>
    <cellStyle name="Ввод  133" xfId="54461"/>
    <cellStyle name="Ввод  134" xfId="54462"/>
    <cellStyle name="Ввод  135" xfId="54463"/>
    <cellStyle name="Ввод  136" xfId="54464"/>
    <cellStyle name="Ввод  137" xfId="54465"/>
    <cellStyle name="Ввод  138" xfId="54466"/>
    <cellStyle name="Ввод  139" xfId="54467"/>
    <cellStyle name="Ввод  14" xfId="54468"/>
    <cellStyle name="Ввод  140" xfId="54469"/>
    <cellStyle name="Ввод  141" xfId="54470"/>
    <cellStyle name="Ввод  141 2" xfId="54471"/>
    <cellStyle name="Ввод  141 3" xfId="54472"/>
    <cellStyle name="Ввод  142" xfId="54473"/>
    <cellStyle name="Ввод  142 2" xfId="54474"/>
    <cellStyle name="Ввод  142 3" xfId="54475"/>
    <cellStyle name="Ввод  143" xfId="54476"/>
    <cellStyle name="Ввод  143 2" xfId="54477"/>
    <cellStyle name="Ввод  143 3" xfId="54478"/>
    <cellStyle name="Ввод  144" xfId="54479"/>
    <cellStyle name="Ввод  144 2" xfId="54480"/>
    <cellStyle name="Ввод  144 3" xfId="54481"/>
    <cellStyle name="Ввод  145" xfId="54482"/>
    <cellStyle name="Ввод  145 2" xfId="54483"/>
    <cellStyle name="Ввод  145 3" xfId="54484"/>
    <cellStyle name="Ввод  146" xfId="54485"/>
    <cellStyle name="Ввод  146 2" xfId="54486"/>
    <cellStyle name="Ввод  146 3" xfId="54487"/>
    <cellStyle name="Ввод  147" xfId="54488"/>
    <cellStyle name="Ввод  147 2" xfId="54489"/>
    <cellStyle name="Ввод  147 3" xfId="54490"/>
    <cellStyle name="Ввод  148" xfId="54491"/>
    <cellStyle name="Ввод  148 2" xfId="54492"/>
    <cellStyle name="Ввод  148 3" xfId="54493"/>
    <cellStyle name="Ввод  149" xfId="54494"/>
    <cellStyle name="Ввод  149 2" xfId="54495"/>
    <cellStyle name="Ввод  149 3" xfId="54496"/>
    <cellStyle name="Ввод  15" xfId="54497"/>
    <cellStyle name="Ввод  150" xfId="54498"/>
    <cellStyle name="Ввод  150 2" xfId="54499"/>
    <cellStyle name="Ввод  150 3" xfId="54500"/>
    <cellStyle name="Ввод  151" xfId="54501"/>
    <cellStyle name="Ввод  151 2" xfId="54502"/>
    <cellStyle name="Ввод  151 3" xfId="54503"/>
    <cellStyle name="Ввод  16" xfId="54504"/>
    <cellStyle name="Ввод  17" xfId="54505"/>
    <cellStyle name="Ввод  18" xfId="54506"/>
    <cellStyle name="Ввод  19" xfId="54507"/>
    <cellStyle name="Ввод  2" xfId="54508"/>
    <cellStyle name="Ввод  2 10" xfId="54509"/>
    <cellStyle name="Ввод  2 11" xfId="54510"/>
    <cellStyle name="Ввод  2 12" xfId="54511"/>
    <cellStyle name="Ввод  2 13" xfId="54512"/>
    <cellStyle name="Ввод  2 14" xfId="54513"/>
    <cellStyle name="Ввод  2 15" xfId="54514"/>
    <cellStyle name="Ввод  2 2" xfId="54515"/>
    <cellStyle name="Ввод  2 3" xfId="54516"/>
    <cellStyle name="Ввод  2 4" xfId="54517"/>
    <cellStyle name="Ввод  2 5" xfId="54518"/>
    <cellStyle name="Ввод  2 6" xfId="54519"/>
    <cellStyle name="Ввод  2 7" xfId="54520"/>
    <cellStyle name="Ввод  2 8" xfId="54521"/>
    <cellStyle name="Ввод  2 9" xfId="54522"/>
    <cellStyle name="Ввод  20" xfId="54523"/>
    <cellStyle name="Ввод  21" xfId="54524"/>
    <cellStyle name="Ввод  22" xfId="54525"/>
    <cellStyle name="Ввод  23" xfId="54526"/>
    <cellStyle name="Ввод  24" xfId="54527"/>
    <cellStyle name="Ввод  25" xfId="54528"/>
    <cellStyle name="Ввод  26" xfId="54529"/>
    <cellStyle name="Ввод  27" xfId="54530"/>
    <cellStyle name="Ввод  28" xfId="54531"/>
    <cellStyle name="Ввод  29" xfId="54532"/>
    <cellStyle name="Ввод  3" xfId="54533"/>
    <cellStyle name="Ввод  30" xfId="54534"/>
    <cellStyle name="Ввод  31" xfId="54535"/>
    <cellStyle name="Ввод  32" xfId="54536"/>
    <cellStyle name="Ввод  33" xfId="54537"/>
    <cellStyle name="Ввод  34" xfId="54538"/>
    <cellStyle name="Ввод  35" xfId="54539"/>
    <cellStyle name="Ввод  36" xfId="54540"/>
    <cellStyle name="Ввод  37" xfId="54541"/>
    <cellStyle name="Ввод  38" xfId="54542"/>
    <cellStyle name="Ввод  39" xfId="54543"/>
    <cellStyle name="Ввод  4" xfId="54544"/>
    <cellStyle name="Ввод  40" xfId="54545"/>
    <cellStyle name="Ввод  41" xfId="54546"/>
    <cellStyle name="Ввод  42" xfId="54547"/>
    <cellStyle name="Ввод  43" xfId="54548"/>
    <cellStyle name="Ввод  44" xfId="54549"/>
    <cellStyle name="Ввод  45" xfId="54550"/>
    <cellStyle name="Ввод  46" xfId="54551"/>
    <cellStyle name="Ввод  47" xfId="54552"/>
    <cellStyle name="Ввод  48" xfId="54553"/>
    <cellStyle name="Ввод  49" xfId="54554"/>
    <cellStyle name="Ввод  5" xfId="54555"/>
    <cellStyle name="Ввод  50" xfId="54556"/>
    <cellStyle name="Ввод  51" xfId="54557"/>
    <cellStyle name="Ввод  52" xfId="54558"/>
    <cellStyle name="Ввод  53" xfId="54559"/>
    <cellStyle name="Ввод  54" xfId="54560"/>
    <cellStyle name="Ввод  55" xfId="54561"/>
    <cellStyle name="Ввод  56" xfId="54562"/>
    <cellStyle name="Ввод  57" xfId="54563"/>
    <cellStyle name="Ввод  58" xfId="54564"/>
    <cellStyle name="Ввод  59" xfId="54565"/>
    <cellStyle name="Ввод  6" xfId="54566"/>
    <cellStyle name="Ввод  60" xfId="54567"/>
    <cellStyle name="Ввод  61" xfId="54568"/>
    <cellStyle name="Ввод  62" xfId="54569"/>
    <cellStyle name="Ввод  63" xfId="54570"/>
    <cellStyle name="Ввод  64" xfId="54571"/>
    <cellStyle name="Ввод  65" xfId="54572"/>
    <cellStyle name="Ввод  66" xfId="54573"/>
    <cellStyle name="Ввод  67" xfId="54574"/>
    <cellStyle name="Ввод  68" xfId="54575"/>
    <cellStyle name="Ввод  69" xfId="54576"/>
    <cellStyle name="Ввод  7" xfId="54577"/>
    <cellStyle name="Ввод  70" xfId="54578"/>
    <cellStyle name="Ввод  71" xfId="54579"/>
    <cellStyle name="Ввод  72" xfId="54580"/>
    <cellStyle name="Ввод  73" xfId="54581"/>
    <cellStyle name="Ввод  74" xfId="54582"/>
    <cellStyle name="Ввод  75" xfId="54583"/>
    <cellStyle name="Ввод  76" xfId="54584"/>
    <cellStyle name="Ввод  77" xfId="54585"/>
    <cellStyle name="Ввод  78" xfId="54586"/>
    <cellStyle name="Ввод  79" xfId="54587"/>
    <cellStyle name="Ввод  8" xfId="54588"/>
    <cellStyle name="Ввод  80" xfId="54589"/>
    <cellStyle name="Ввод  81" xfId="54590"/>
    <cellStyle name="Ввод  82" xfId="54591"/>
    <cellStyle name="Ввод  83" xfId="54592"/>
    <cellStyle name="Ввод  84" xfId="54593"/>
    <cellStyle name="Ввод  85" xfId="54594"/>
    <cellStyle name="Ввод  86" xfId="54595"/>
    <cellStyle name="Ввод  87" xfId="54596"/>
    <cellStyle name="Ввод  88" xfId="54597"/>
    <cellStyle name="Ввод  89" xfId="54598"/>
    <cellStyle name="Ввод  9" xfId="54599"/>
    <cellStyle name="Ввод  90" xfId="54600"/>
    <cellStyle name="Ввод  91" xfId="54601"/>
    <cellStyle name="Ввод  92" xfId="54602"/>
    <cellStyle name="Ввод  93" xfId="54603"/>
    <cellStyle name="Ввод  94" xfId="54604"/>
    <cellStyle name="Ввод  95" xfId="54605"/>
    <cellStyle name="Ввод  96" xfId="54606"/>
    <cellStyle name="Ввод  97" xfId="54607"/>
    <cellStyle name="Ввод  98" xfId="54608"/>
    <cellStyle name="Ввод  99" xfId="54609"/>
    <cellStyle name="Вывод 10" xfId="54610"/>
    <cellStyle name="Вывод 100" xfId="54611"/>
    <cellStyle name="Вывод 101" xfId="54612"/>
    <cellStyle name="Вывод 102" xfId="54613"/>
    <cellStyle name="Вывод 103" xfId="54614"/>
    <cellStyle name="Вывод 104" xfId="54615"/>
    <cellStyle name="Вывод 105" xfId="54616"/>
    <cellStyle name="Вывод 106" xfId="54617"/>
    <cellStyle name="Вывод 107" xfId="54618"/>
    <cellStyle name="Вывод 108" xfId="54619"/>
    <cellStyle name="Вывод 109" xfId="54620"/>
    <cellStyle name="Вывод 11" xfId="54621"/>
    <cellStyle name="Вывод 110" xfId="54622"/>
    <cellStyle name="Вывод 111" xfId="54623"/>
    <cellStyle name="Вывод 112" xfId="54624"/>
    <cellStyle name="Вывод 113" xfId="54625"/>
    <cellStyle name="Вывод 114" xfId="54626"/>
    <cellStyle name="Вывод 115" xfId="54627"/>
    <cellStyle name="Вывод 116" xfId="54628"/>
    <cellStyle name="Вывод 117" xfId="54629"/>
    <cellStyle name="Вывод 118" xfId="54630"/>
    <cellStyle name="Вывод 119" xfId="54631"/>
    <cellStyle name="Вывод 12" xfId="54632"/>
    <cellStyle name="Вывод 120" xfId="54633"/>
    <cellStyle name="Вывод 121" xfId="54634"/>
    <cellStyle name="Вывод 122" xfId="54635"/>
    <cellStyle name="Вывод 123" xfId="54636"/>
    <cellStyle name="Вывод 124" xfId="54637"/>
    <cellStyle name="Вывод 125" xfId="54638"/>
    <cellStyle name="Вывод 126" xfId="54639"/>
    <cellStyle name="Вывод 127" xfId="54640"/>
    <cellStyle name="Вывод 128" xfId="54641"/>
    <cellStyle name="Вывод 129" xfId="54642"/>
    <cellStyle name="Вывод 13" xfId="54643"/>
    <cellStyle name="Вывод 130" xfId="54644"/>
    <cellStyle name="Вывод 131" xfId="54645"/>
    <cellStyle name="Вывод 132" xfId="54646"/>
    <cellStyle name="Вывод 133" xfId="54647"/>
    <cellStyle name="Вывод 134" xfId="54648"/>
    <cellStyle name="Вывод 135" xfId="54649"/>
    <cellStyle name="Вывод 136" xfId="54650"/>
    <cellStyle name="Вывод 137" xfId="54651"/>
    <cellStyle name="Вывод 138" xfId="54652"/>
    <cellStyle name="Вывод 139" xfId="54653"/>
    <cellStyle name="Вывод 14" xfId="54654"/>
    <cellStyle name="Вывод 140" xfId="54655"/>
    <cellStyle name="Вывод 141" xfId="54656"/>
    <cellStyle name="Вывод 141 2" xfId="54657"/>
    <cellStyle name="Вывод 141 3" xfId="54658"/>
    <cellStyle name="Вывод 142" xfId="54659"/>
    <cellStyle name="Вывод 142 2" xfId="54660"/>
    <cellStyle name="Вывод 142 3" xfId="54661"/>
    <cellStyle name="Вывод 143" xfId="54662"/>
    <cellStyle name="Вывод 143 2" xfId="54663"/>
    <cellStyle name="Вывод 143 3" xfId="54664"/>
    <cellStyle name="Вывод 144" xfId="54665"/>
    <cellStyle name="Вывод 144 2" xfId="54666"/>
    <cellStyle name="Вывод 144 3" xfId="54667"/>
    <cellStyle name="Вывод 145" xfId="54668"/>
    <cellStyle name="Вывод 145 2" xfId="54669"/>
    <cellStyle name="Вывод 145 3" xfId="54670"/>
    <cellStyle name="Вывод 146" xfId="54671"/>
    <cellStyle name="Вывод 146 2" xfId="54672"/>
    <cellStyle name="Вывод 146 3" xfId="54673"/>
    <cellStyle name="Вывод 147" xfId="54674"/>
    <cellStyle name="Вывод 147 2" xfId="54675"/>
    <cellStyle name="Вывод 147 3" xfId="54676"/>
    <cellStyle name="Вывод 148" xfId="54677"/>
    <cellStyle name="Вывод 148 2" xfId="54678"/>
    <cellStyle name="Вывод 148 3" xfId="54679"/>
    <cellStyle name="Вывод 149" xfId="54680"/>
    <cellStyle name="Вывод 149 2" xfId="54681"/>
    <cellStyle name="Вывод 149 3" xfId="54682"/>
    <cellStyle name="Вывод 15" xfId="54683"/>
    <cellStyle name="Вывод 150" xfId="54684"/>
    <cellStyle name="Вывод 150 2" xfId="54685"/>
    <cellStyle name="Вывод 150 3" xfId="54686"/>
    <cellStyle name="Вывод 151" xfId="54687"/>
    <cellStyle name="Вывод 151 2" xfId="54688"/>
    <cellStyle name="Вывод 151 3" xfId="54689"/>
    <cellStyle name="Вывод 16" xfId="54690"/>
    <cellStyle name="Вывод 17" xfId="54691"/>
    <cellStyle name="Вывод 18" xfId="54692"/>
    <cellStyle name="Вывод 19" xfId="54693"/>
    <cellStyle name="Вывод 2" xfId="54694"/>
    <cellStyle name="Вывод 2 10" xfId="54695"/>
    <cellStyle name="Вывод 2 11" xfId="54696"/>
    <cellStyle name="Вывод 2 12" xfId="54697"/>
    <cellStyle name="Вывод 2 13" xfId="54698"/>
    <cellStyle name="Вывод 2 14" xfId="54699"/>
    <cellStyle name="Вывод 2 15" xfId="54700"/>
    <cellStyle name="Вывод 2 2" xfId="54701"/>
    <cellStyle name="Вывод 2 3" xfId="54702"/>
    <cellStyle name="Вывод 2 4" xfId="54703"/>
    <cellStyle name="Вывод 2 5" xfId="54704"/>
    <cellStyle name="Вывод 2 6" xfId="54705"/>
    <cellStyle name="Вывод 2 7" xfId="54706"/>
    <cellStyle name="Вывод 2 8" xfId="54707"/>
    <cellStyle name="Вывод 2 9" xfId="54708"/>
    <cellStyle name="Вывод 20" xfId="54709"/>
    <cellStyle name="Вывод 21" xfId="54710"/>
    <cellStyle name="Вывод 22" xfId="54711"/>
    <cellStyle name="Вывод 23" xfId="54712"/>
    <cellStyle name="Вывод 24" xfId="54713"/>
    <cellStyle name="Вывод 25" xfId="54714"/>
    <cellStyle name="Вывод 26" xfId="54715"/>
    <cellStyle name="Вывод 27" xfId="54716"/>
    <cellStyle name="Вывод 28" xfId="54717"/>
    <cellStyle name="Вывод 29" xfId="54718"/>
    <cellStyle name="Вывод 3" xfId="54719"/>
    <cellStyle name="Вывод 30" xfId="54720"/>
    <cellStyle name="Вывод 31" xfId="54721"/>
    <cellStyle name="Вывод 32" xfId="54722"/>
    <cellStyle name="Вывод 33" xfId="54723"/>
    <cellStyle name="Вывод 34" xfId="54724"/>
    <cellStyle name="Вывод 35" xfId="54725"/>
    <cellStyle name="Вывод 36" xfId="54726"/>
    <cellStyle name="Вывод 37" xfId="54727"/>
    <cellStyle name="Вывод 38" xfId="54728"/>
    <cellStyle name="Вывод 39" xfId="54729"/>
    <cellStyle name="Вывод 4" xfId="54730"/>
    <cellStyle name="Вывод 40" xfId="54731"/>
    <cellStyle name="Вывод 41" xfId="54732"/>
    <cellStyle name="Вывод 42" xfId="54733"/>
    <cellStyle name="Вывод 43" xfId="54734"/>
    <cellStyle name="Вывод 44" xfId="54735"/>
    <cellStyle name="Вывод 45" xfId="54736"/>
    <cellStyle name="Вывод 46" xfId="54737"/>
    <cellStyle name="Вывод 47" xfId="54738"/>
    <cellStyle name="Вывод 48" xfId="54739"/>
    <cellStyle name="Вывод 49" xfId="54740"/>
    <cellStyle name="Вывод 5" xfId="54741"/>
    <cellStyle name="Вывод 50" xfId="54742"/>
    <cellStyle name="Вывод 51" xfId="54743"/>
    <cellStyle name="Вывод 52" xfId="54744"/>
    <cellStyle name="Вывод 53" xfId="54745"/>
    <cellStyle name="Вывод 54" xfId="54746"/>
    <cellStyle name="Вывод 55" xfId="54747"/>
    <cellStyle name="Вывод 56" xfId="54748"/>
    <cellStyle name="Вывод 57" xfId="54749"/>
    <cellStyle name="Вывод 58" xfId="54750"/>
    <cellStyle name="Вывод 59" xfId="54751"/>
    <cellStyle name="Вывод 6" xfId="54752"/>
    <cellStyle name="Вывод 60" xfId="54753"/>
    <cellStyle name="Вывод 61" xfId="54754"/>
    <cellStyle name="Вывод 62" xfId="54755"/>
    <cellStyle name="Вывод 63" xfId="54756"/>
    <cellStyle name="Вывод 64" xfId="54757"/>
    <cellStyle name="Вывод 65" xfId="54758"/>
    <cellStyle name="Вывод 66" xfId="54759"/>
    <cellStyle name="Вывод 67" xfId="54760"/>
    <cellStyle name="Вывод 68" xfId="54761"/>
    <cellStyle name="Вывод 69" xfId="54762"/>
    <cellStyle name="Вывод 7" xfId="54763"/>
    <cellStyle name="Вывод 70" xfId="54764"/>
    <cellStyle name="Вывод 71" xfId="54765"/>
    <cellStyle name="Вывод 72" xfId="54766"/>
    <cellStyle name="Вывод 73" xfId="54767"/>
    <cellStyle name="Вывод 74" xfId="54768"/>
    <cellStyle name="Вывод 75" xfId="54769"/>
    <cellStyle name="Вывод 76" xfId="54770"/>
    <cellStyle name="Вывод 77" xfId="54771"/>
    <cellStyle name="Вывод 78" xfId="54772"/>
    <cellStyle name="Вывод 79" xfId="54773"/>
    <cellStyle name="Вывод 8" xfId="54774"/>
    <cellStyle name="Вывод 80" xfId="54775"/>
    <cellStyle name="Вывод 81" xfId="54776"/>
    <cellStyle name="Вывод 82" xfId="54777"/>
    <cellStyle name="Вывод 83" xfId="54778"/>
    <cellStyle name="Вывод 84" xfId="54779"/>
    <cellStyle name="Вывод 85" xfId="54780"/>
    <cellStyle name="Вывод 86" xfId="54781"/>
    <cellStyle name="Вывод 87" xfId="54782"/>
    <cellStyle name="Вывод 88" xfId="54783"/>
    <cellStyle name="Вывод 89" xfId="54784"/>
    <cellStyle name="Вывод 9" xfId="54785"/>
    <cellStyle name="Вывод 90" xfId="54786"/>
    <cellStyle name="Вывод 91" xfId="54787"/>
    <cellStyle name="Вывод 92" xfId="54788"/>
    <cellStyle name="Вывод 93" xfId="54789"/>
    <cellStyle name="Вывод 94" xfId="54790"/>
    <cellStyle name="Вывод 95" xfId="54791"/>
    <cellStyle name="Вывод 96" xfId="54792"/>
    <cellStyle name="Вывод 97" xfId="54793"/>
    <cellStyle name="Вывод 98" xfId="54794"/>
    <cellStyle name="Вывод 99" xfId="54795"/>
    <cellStyle name="Вычисление 10" xfId="54796"/>
    <cellStyle name="Вычисление 100" xfId="54797"/>
    <cellStyle name="Вычисление 101" xfId="54798"/>
    <cellStyle name="Вычисление 102" xfId="54799"/>
    <cellStyle name="Вычисление 103" xfId="54800"/>
    <cellStyle name="Вычисление 104" xfId="54801"/>
    <cellStyle name="Вычисление 105" xfId="54802"/>
    <cellStyle name="Вычисление 106" xfId="54803"/>
    <cellStyle name="Вычисление 107" xfId="54804"/>
    <cellStyle name="Вычисление 108" xfId="54805"/>
    <cellStyle name="Вычисление 109" xfId="54806"/>
    <cellStyle name="Вычисление 11" xfId="54807"/>
    <cellStyle name="Вычисление 110" xfId="54808"/>
    <cellStyle name="Вычисление 111" xfId="54809"/>
    <cellStyle name="Вычисление 112" xfId="54810"/>
    <cellStyle name="Вычисление 113" xfId="54811"/>
    <cellStyle name="Вычисление 114" xfId="54812"/>
    <cellStyle name="Вычисление 115" xfId="54813"/>
    <cellStyle name="Вычисление 116" xfId="54814"/>
    <cellStyle name="Вычисление 117" xfId="54815"/>
    <cellStyle name="Вычисление 118" xfId="54816"/>
    <cellStyle name="Вычисление 119" xfId="54817"/>
    <cellStyle name="Вычисление 12" xfId="54818"/>
    <cellStyle name="Вычисление 120" xfId="54819"/>
    <cellStyle name="Вычисление 121" xfId="54820"/>
    <cellStyle name="Вычисление 122" xfId="54821"/>
    <cellStyle name="Вычисление 123" xfId="54822"/>
    <cellStyle name="Вычисление 124" xfId="54823"/>
    <cellStyle name="Вычисление 125" xfId="54824"/>
    <cellStyle name="Вычисление 126" xfId="54825"/>
    <cellStyle name="Вычисление 127" xfId="54826"/>
    <cellStyle name="Вычисление 128" xfId="54827"/>
    <cellStyle name="Вычисление 129" xfId="54828"/>
    <cellStyle name="Вычисление 13" xfId="54829"/>
    <cellStyle name="Вычисление 130" xfId="54830"/>
    <cellStyle name="Вычисление 131" xfId="54831"/>
    <cellStyle name="Вычисление 132" xfId="54832"/>
    <cellStyle name="Вычисление 133" xfId="54833"/>
    <cellStyle name="Вычисление 134" xfId="54834"/>
    <cellStyle name="Вычисление 135" xfId="54835"/>
    <cellStyle name="Вычисление 136" xfId="54836"/>
    <cellStyle name="Вычисление 137" xfId="54837"/>
    <cellStyle name="Вычисление 138" xfId="54838"/>
    <cellStyle name="Вычисление 139" xfId="54839"/>
    <cellStyle name="Вычисление 14" xfId="54840"/>
    <cellStyle name="Вычисление 140" xfId="54841"/>
    <cellStyle name="Вычисление 141" xfId="54842"/>
    <cellStyle name="Вычисление 141 2" xfId="54843"/>
    <cellStyle name="Вычисление 141 3" xfId="54844"/>
    <cellStyle name="Вычисление 142" xfId="54845"/>
    <cellStyle name="Вычисление 142 2" xfId="54846"/>
    <cellStyle name="Вычисление 142 3" xfId="54847"/>
    <cellStyle name="Вычисление 143" xfId="54848"/>
    <cellStyle name="Вычисление 143 2" xfId="54849"/>
    <cellStyle name="Вычисление 143 3" xfId="54850"/>
    <cellStyle name="Вычисление 144" xfId="54851"/>
    <cellStyle name="Вычисление 144 2" xfId="54852"/>
    <cellStyle name="Вычисление 144 3" xfId="54853"/>
    <cellStyle name="Вычисление 145" xfId="54854"/>
    <cellStyle name="Вычисление 145 2" xfId="54855"/>
    <cellStyle name="Вычисление 145 3" xfId="54856"/>
    <cellStyle name="Вычисление 146" xfId="54857"/>
    <cellStyle name="Вычисление 146 2" xfId="54858"/>
    <cellStyle name="Вычисление 146 3" xfId="54859"/>
    <cellStyle name="Вычисление 147" xfId="54860"/>
    <cellStyle name="Вычисление 147 2" xfId="54861"/>
    <cellStyle name="Вычисление 147 3" xfId="54862"/>
    <cellStyle name="Вычисление 148" xfId="54863"/>
    <cellStyle name="Вычисление 148 2" xfId="54864"/>
    <cellStyle name="Вычисление 148 3" xfId="54865"/>
    <cellStyle name="Вычисление 149" xfId="54866"/>
    <cellStyle name="Вычисление 149 2" xfId="54867"/>
    <cellStyle name="Вычисление 149 3" xfId="54868"/>
    <cellStyle name="Вычисление 15" xfId="54869"/>
    <cellStyle name="Вычисление 150" xfId="54870"/>
    <cellStyle name="Вычисление 150 2" xfId="54871"/>
    <cellStyle name="Вычисление 150 3" xfId="54872"/>
    <cellStyle name="Вычисление 151" xfId="54873"/>
    <cellStyle name="Вычисление 151 2" xfId="54874"/>
    <cellStyle name="Вычисление 151 3" xfId="54875"/>
    <cellStyle name="Вычисление 16" xfId="54876"/>
    <cellStyle name="Вычисление 17" xfId="54877"/>
    <cellStyle name="Вычисление 18" xfId="54878"/>
    <cellStyle name="Вычисление 19" xfId="54879"/>
    <cellStyle name="Вычисление 2" xfId="54880"/>
    <cellStyle name="Вычисление 2 10" xfId="54881"/>
    <cellStyle name="Вычисление 2 11" xfId="54882"/>
    <cellStyle name="Вычисление 2 12" xfId="54883"/>
    <cellStyle name="Вычисление 2 13" xfId="54884"/>
    <cellStyle name="Вычисление 2 14" xfId="54885"/>
    <cellStyle name="Вычисление 2 15" xfId="54886"/>
    <cellStyle name="Вычисление 2 2" xfId="54887"/>
    <cellStyle name="Вычисление 2 3" xfId="54888"/>
    <cellStyle name="Вычисление 2 4" xfId="54889"/>
    <cellStyle name="Вычисление 2 5" xfId="54890"/>
    <cellStyle name="Вычисление 2 6" xfId="54891"/>
    <cellStyle name="Вычисление 2 7" xfId="54892"/>
    <cellStyle name="Вычисление 2 8" xfId="54893"/>
    <cellStyle name="Вычисление 2 9" xfId="54894"/>
    <cellStyle name="Вычисление 20" xfId="54895"/>
    <cellStyle name="Вычисление 21" xfId="54896"/>
    <cellStyle name="Вычисление 22" xfId="54897"/>
    <cellStyle name="Вычисление 23" xfId="54898"/>
    <cellStyle name="Вычисление 24" xfId="54899"/>
    <cellStyle name="Вычисление 25" xfId="54900"/>
    <cellStyle name="Вычисление 26" xfId="54901"/>
    <cellStyle name="Вычисление 27" xfId="54902"/>
    <cellStyle name="Вычисление 28" xfId="54903"/>
    <cellStyle name="Вычисление 29" xfId="54904"/>
    <cellStyle name="Вычисление 3" xfId="54905"/>
    <cellStyle name="Вычисление 30" xfId="54906"/>
    <cellStyle name="Вычисление 31" xfId="54907"/>
    <cellStyle name="Вычисление 32" xfId="54908"/>
    <cellStyle name="Вычисление 33" xfId="54909"/>
    <cellStyle name="Вычисление 34" xfId="54910"/>
    <cellStyle name="Вычисление 35" xfId="54911"/>
    <cellStyle name="Вычисление 36" xfId="54912"/>
    <cellStyle name="Вычисление 37" xfId="54913"/>
    <cellStyle name="Вычисление 38" xfId="54914"/>
    <cellStyle name="Вычисление 39" xfId="54915"/>
    <cellStyle name="Вычисление 4" xfId="54916"/>
    <cellStyle name="Вычисление 40" xfId="54917"/>
    <cellStyle name="Вычисление 41" xfId="54918"/>
    <cellStyle name="Вычисление 42" xfId="54919"/>
    <cellStyle name="Вычисление 43" xfId="54920"/>
    <cellStyle name="Вычисление 44" xfId="54921"/>
    <cellStyle name="Вычисление 45" xfId="54922"/>
    <cellStyle name="Вычисление 46" xfId="54923"/>
    <cellStyle name="Вычисление 47" xfId="54924"/>
    <cellStyle name="Вычисление 48" xfId="54925"/>
    <cellStyle name="Вычисление 49" xfId="54926"/>
    <cellStyle name="Вычисление 5" xfId="54927"/>
    <cellStyle name="Вычисление 50" xfId="54928"/>
    <cellStyle name="Вычисление 51" xfId="54929"/>
    <cellStyle name="Вычисление 52" xfId="54930"/>
    <cellStyle name="Вычисление 53" xfId="54931"/>
    <cellStyle name="Вычисление 54" xfId="54932"/>
    <cellStyle name="Вычисление 55" xfId="54933"/>
    <cellStyle name="Вычисление 56" xfId="54934"/>
    <cellStyle name="Вычисление 57" xfId="54935"/>
    <cellStyle name="Вычисление 58" xfId="54936"/>
    <cellStyle name="Вычисление 59" xfId="54937"/>
    <cellStyle name="Вычисление 6" xfId="54938"/>
    <cellStyle name="Вычисление 60" xfId="54939"/>
    <cellStyle name="Вычисление 61" xfId="54940"/>
    <cellStyle name="Вычисление 62" xfId="54941"/>
    <cellStyle name="Вычисление 63" xfId="54942"/>
    <cellStyle name="Вычисление 64" xfId="54943"/>
    <cellStyle name="Вычисление 65" xfId="54944"/>
    <cellStyle name="Вычисление 66" xfId="54945"/>
    <cellStyle name="Вычисление 67" xfId="54946"/>
    <cellStyle name="Вычисление 68" xfId="54947"/>
    <cellStyle name="Вычисление 69" xfId="54948"/>
    <cellStyle name="Вычисление 7" xfId="54949"/>
    <cellStyle name="Вычисление 70" xfId="54950"/>
    <cellStyle name="Вычисление 71" xfId="54951"/>
    <cellStyle name="Вычисление 72" xfId="54952"/>
    <cellStyle name="Вычисление 73" xfId="54953"/>
    <cellStyle name="Вычисление 74" xfId="54954"/>
    <cellStyle name="Вычисление 75" xfId="54955"/>
    <cellStyle name="Вычисление 76" xfId="54956"/>
    <cellStyle name="Вычисление 77" xfId="54957"/>
    <cellStyle name="Вычисление 78" xfId="54958"/>
    <cellStyle name="Вычисление 79" xfId="54959"/>
    <cellStyle name="Вычисление 8" xfId="54960"/>
    <cellStyle name="Вычисление 80" xfId="54961"/>
    <cellStyle name="Вычисление 81" xfId="54962"/>
    <cellStyle name="Вычисление 82" xfId="54963"/>
    <cellStyle name="Вычисление 83" xfId="54964"/>
    <cellStyle name="Вычисление 84" xfId="54965"/>
    <cellStyle name="Вычисление 85" xfId="54966"/>
    <cellStyle name="Вычисление 86" xfId="54967"/>
    <cellStyle name="Вычисление 87" xfId="54968"/>
    <cellStyle name="Вычисление 88" xfId="54969"/>
    <cellStyle name="Вычисление 89" xfId="54970"/>
    <cellStyle name="Вычисление 9" xfId="54971"/>
    <cellStyle name="Вычисление 90" xfId="54972"/>
    <cellStyle name="Вычисление 91" xfId="54973"/>
    <cellStyle name="Вычисление 92" xfId="54974"/>
    <cellStyle name="Вычисление 93" xfId="54975"/>
    <cellStyle name="Вычисление 94" xfId="54976"/>
    <cellStyle name="Вычисление 95" xfId="54977"/>
    <cellStyle name="Вычисление 96" xfId="54978"/>
    <cellStyle name="Вычисление 97" xfId="54979"/>
    <cellStyle name="Вычисление 98" xfId="54980"/>
    <cellStyle name="Вычисление 99" xfId="54981"/>
    <cellStyle name="Гиперссылка 2 10" xfId="54982"/>
    <cellStyle name="Гиперссылка 2 100" xfId="54983"/>
    <cellStyle name="Гиперссылка 2 101" xfId="54984"/>
    <cellStyle name="Гиперссылка 2 102" xfId="54985"/>
    <cellStyle name="Гиперссылка 2 103" xfId="54986"/>
    <cellStyle name="Гиперссылка 2 104" xfId="54987"/>
    <cellStyle name="Гиперссылка 2 105" xfId="54988"/>
    <cellStyle name="Гиперссылка 2 106" xfId="54989"/>
    <cellStyle name="Гиперссылка 2 107" xfId="54990"/>
    <cellStyle name="Гиперссылка 2 108" xfId="54991"/>
    <cellStyle name="Гиперссылка 2 109" xfId="54992"/>
    <cellStyle name="Гиперссылка 2 11" xfId="54993"/>
    <cellStyle name="Гиперссылка 2 110" xfId="54994"/>
    <cellStyle name="Гиперссылка 2 111" xfId="54995"/>
    <cellStyle name="Гиперссылка 2 112" xfId="54996"/>
    <cellStyle name="Гиперссылка 2 113" xfId="54997"/>
    <cellStyle name="Гиперссылка 2 114" xfId="54998"/>
    <cellStyle name="Гиперссылка 2 115" xfId="54999"/>
    <cellStyle name="Гиперссылка 2 116" xfId="55000"/>
    <cellStyle name="Гиперссылка 2 117" xfId="55001"/>
    <cellStyle name="Гиперссылка 2 118" xfId="55002"/>
    <cellStyle name="Гиперссылка 2 119" xfId="55003"/>
    <cellStyle name="Гиперссылка 2 12" xfId="55004"/>
    <cellStyle name="Гиперссылка 2 120" xfId="55005"/>
    <cellStyle name="Гиперссылка 2 121" xfId="55006"/>
    <cellStyle name="Гиперссылка 2 122" xfId="55007"/>
    <cellStyle name="Гиперссылка 2 123" xfId="55008"/>
    <cellStyle name="Гиперссылка 2 124" xfId="55009"/>
    <cellStyle name="Гиперссылка 2 125" xfId="55010"/>
    <cellStyle name="Гиперссылка 2 126" xfId="55011"/>
    <cellStyle name="Гиперссылка 2 127" xfId="55012"/>
    <cellStyle name="Гиперссылка 2 128" xfId="55013"/>
    <cellStyle name="Гиперссылка 2 129" xfId="55014"/>
    <cellStyle name="Гиперссылка 2 13" xfId="55015"/>
    <cellStyle name="Гиперссылка 2 130" xfId="55016"/>
    <cellStyle name="Гиперссылка 2 131" xfId="55017"/>
    <cellStyle name="Гиперссылка 2 132" xfId="55018"/>
    <cellStyle name="Гиперссылка 2 133" xfId="55019"/>
    <cellStyle name="Гиперссылка 2 134" xfId="55020"/>
    <cellStyle name="Гиперссылка 2 135" xfId="55021"/>
    <cellStyle name="Гиперссылка 2 14" xfId="55022"/>
    <cellStyle name="Гиперссылка 2 15" xfId="55023"/>
    <cellStyle name="Гиперссылка 2 16" xfId="55024"/>
    <cellStyle name="Гиперссылка 2 17" xfId="55025"/>
    <cellStyle name="Гиперссылка 2 18" xfId="55026"/>
    <cellStyle name="Гиперссылка 2 19" xfId="55027"/>
    <cellStyle name="Гиперссылка 2 2" xfId="55028"/>
    <cellStyle name="Гиперссылка 2 20" xfId="55029"/>
    <cellStyle name="Гиперссылка 2 21" xfId="55030"/>
    <cellStyle name="Гиперссылка 2 22" xfId="55031"/>
    <cellStyle name="Гиперссылка 2 23" xfId="55032"/>
    <cellStyle name="Гиперссылка 2 24" xfId="55033"/>
    <cellStyle name="Гиперссылка 2 25" xfId="55034"/>
    <cellStyle name="Гиперссылка 2 26" xfId="55035"/>
    <cellStyle name="Гиперссылка 2 27" xfId="55036"/>
    <cellStyle name="Гиперссылка 2 28" xfId="55037"/>
    <cellStyle name="Гиперссылка 2 29" xfId="55038"/>
    <cellStyle name="Гиперссылка 2 3" xfId="55039"/>
    <cellStyle name="Гиперссылка 2 30" xfId="55040"/>
    <cellStyle name="Гиперссылка 2 31" xfId="55041"/>
    <cellStyle name="Гиперссылка 2 32" xfId="55042"/>
    <cellStyle name="Гиперссылка 2 33" xfId="55043"/>
    <cellStyle name="Гиперссылка 2 34" xfId="55044"/>
    <cellStyle name="Гиперссылка 2 35" xfId="55045"/>
    <cellStyle name="Гиперссылка 2 36" xfId="55046"/>
    <cellStyle name="Гиперссылка 2 37" xfId="55047"/>
    <cellStyle name="Гиперссылка 2 38" xfId="55048"/>
    <cellStyle name="Гиперссылка 2 39" xfId="55049"/>
    <cellStyle name="Гиперссылка 2 4" xfId="55050"/>
    <cellStyle name="Гиперссылка 2 40" xfId="55051"/>
    <cellStyle name="Гиперссылка 2 41" xfId="55052"/>
    <cellStyle name="Гиперссылка 2 42" xfId="55053"/>
    <cellStyle name="Гиперссылка 2 43" xfId="55054"/>
    <cellStyle name="Гиперссылка 2 44" xfId="55055"/>
    <cellStyle name="Гиперссылка 2 45" xfId="55056"/>
    <cellStyle name="Гиперссылка 2 46" xfId="55057"/>
    <cellStyle name="Гиперссылка 2 47" xfId="55058"/>
    <cellStyle name="Гиперссылка 2 48" xfId="55059"/>
    <cellStyle name="Гиперссылка 2 49" xfId="55060"/>
    <cellStyle name="Гиперссылка 2 5" xfId="55061"/>
    <cellStyle name="Гиперссылка 2 50" xfId="55062"/>
    <cellStyle name="Гиперссылка 2 51" xfId="55063"/>
    <cellStyle name="Гиперссылка 2 52" xfId="55064"/>
    <cellStyle name="Гиперссылка 2 53" xfId="55065"/>
    <cellStyle name="Гиперссылка 2 54" xfId="55066"/>
    <cellStyle name="Гиперссылка 2 55" xfId="55067"/>
    <cellStyle name="Гиперссылка 2 56" xfId="55068"/>
    <cellStyle name="Гиперссылка 2 57" xfId="55069"/>
    <cellStyle name="Гиперссылка 2 58" xfId="55070"/>
    <cellStyle name="Гиперссылка 2 59" xfId="55071"/>
    <cellStyle name="Гиперссылка 2 6" xfId="55072"/>
    <cellStyle name="Гиперссылка 2 60" xfId="55073"/>
    <cellStyle name="Гиперссылка 2 61" xfId="55074"/>
    <cellStyle name="Гиперссылка 2 62" xfId="55075"/>
    <cellStyle name="Гиперссылка 2 63" xfId="55076"/>
    <cellStyle name="Гиперссылка 2 64" xfId="55077"/>
    <cellStyle name="Гиперссылка 2 65" xfId="55078"/>
    <cellStyle name="Гиперссылка 2 66" xfId="55079"/>
    <cellStyle name="Гиперссылка 2 67" xfId="55080"/>
    <cellStyle name="Гиперссылка 2 68" xfId="55081"/>
    <cellStyle name="Гиперссылка 2 69" xfId="55082"/>
    <cellStyle name="Гиперссылка 2 7" xfId="55083"/>
    <cellStyle name="Гиперссылка 2 70" xfId="55084"/>
    <cellStyle name="Гиперссылка 2 71" xfId="55085"/>
    <cellStyle name="Гиперссылка 2 72" xfId="55086"/>
    <cellStyle name="Гиперссылка 2 73" xfId="55087"/>
    <cellStyle name="Гиперссылка 2 74" xfId="55088"/>
    <cellStyle name="Гиперссылка 2 75" xfId="55089"/>
    <cellStyle name="Гиперссылка 2 76" xfId="55090"/>
    <cellStyle name="Гиперссылка 2 77" xfId="55091"/>
    <cellStyle name="Гиперссылка 2 78" xfId="55092"/>
    <cellStyle name="Гиперссылка 2 79" xfId="55093"/>
    <cellStyle name="Гиперссылка 2 8" xfId="55094"/>
    <cellStyle name="Гиперссылка 2 80" xfId="55095"/>
    <cellStyle name="Гиперссылка 2 81" xfId="55096"/>
    <cellStyle name="Гиперссылка 2 82" xfId="55097"/>
    <cellStyle name="Гиперссылка 2 83" xfId="55098"/>
    <cellStyle name="Гиперссылка 2 84" xfId="55099"/>
    <cellStyle name="Гиперссылка 2 85" xfId="55100"/>
    <cellStyle name="Гиперссылка 2 86" xfId="55101"/>
    <cellStyle name="Гиперссылка 2 87" xfId="55102"/>
    <cellStyle name="Гиперссылка 2 88" xfId="55103"/>
    <cellStyle name="Гиперссылка 2 89" xfId="55104"/>
    <cellStyle name="Гиперссылка 2 9" xfId="55105"/>
    <cellStyle name="Гиперссылка 2 90" xfId="55106"/>
    <cellStyle name="Гиперссылка 2 91" xfId="55107"/>
    <cellStyle name="Гиперссылка 2 92" xfId="55108"/>
    <cellStyle name="Гиперссылка 2 93" xfId="55109"/>
    <cellStyle name="Гиперссылка 2 94" xfId="55110"/>
    <cellStyle name="Гиперссылка 2 95" xfId="55111"/>
    <cellStyle name="Гиперссылка 2 96" xfId="55112"/>
    <cellStyle name="Гиперссылка 2 97" xfId="55113"/>
    <cellStyle name="Гиперссылка 2 98" xfId="55114"/>
    <cellStyle name="Гиперссылка 2 99" xfId="55115"/>
    <cellStyle name="Гиперссылка 33" xfId="55116"/>
    <cellStyle name="Заголовок 1 10" xfId="55117"/>
    <cellStyle name="Заголовок 1 100" xfId="55118"/>
    <cellStyle name="Заголовок 1 101" xfId="55119"/>
    <cellStyle name="Заголовок 1 102" xfId="55120"/>
    <cellStyle name="Заголовок 1 103" xfId="55121"/>
    <cellStyle name="Заголовок 1 104" xfId="55122"/>
    <cellStyle name="Заголовок 1 105" xfId="55123"/>
    <cellStyle name="Заголовок 1 106" xfId="55124"/>
    <cellStyle name="Заголовок 1 107" xfId="55125"/>
    <cellStyle name="Заголовок 1 108" xfId="55126"/>
    <cellStyle name="Заголовок 1 109" xfId="55127"/>
    <cellStyle name="Заголовок 1 11" xfId="55128"/>
    <cellStyle name="Заголовок 1 110" xfId="55129"/>
    <cellStyle name="Заголовок 1 111" xfId="55130"/>
    <cellStyle name="Заголовок 1 112" xfId="55131"/>
    <cellStyle name="Заголовок 1 113" xfId="55132"/>
    <cellStyle name="Заголовок 1 114" xfId="55133"/>
    <cellStyle name="Заголовок 1 115" xfId="55134"/>
    <cellStyle name="Заголовок 1 116" xfId="55135"/>
    <cellStyle name="Заголовок 1 117" xfId="55136"/>
    <cellStyle name="Заголовок 1 118" xfId="55137"/>
    <cellStyle name="Заголовок 1 119" xfId="55138"/>
    <cellStyle name="Заголовок 1 12" xfId="55139"/>
    <cellStyle name="Заголовок 1 120" xfId="55140"/>
    <cellStyle name="Заголовок 1 121" xfId="55141"/>
    <cellStyle name="Заголовок 1 122" xfId="55142"/>
    <cellStyle name="Заголовок 1 123" xfId="55143"/>
    <cellStyle name="Заголовок 1 124" xfId="55144"/>
    <cellStyle name="Заголовок 1 125" xfId="55145"/>
    <cellStyle name="Заголовок 1 126" xfId="55146"/>
    <cellStyle name="Заголовок 1 127" xfId="55147"/>
    <cellStyle name="Заголовок 1 128" xfId="55148"/>
    <cellStyle name="Заголовок 1 129" xfId="55149"/>
    <cellStyle name="Заголовок 1 13" xfId="55150"/>
    <cellStyle name="Заголовок 1 130" xfId="55151"/>
    <cellStyle name="Заголовок 1 131" xfId="55152"/>
    <cellStyle name="Заголовок 1 132" xfId="55153"/>
    <cellStyle name="Заголовок 1 133" xfId="55154"/>
    <cellStyle name="Заголовок 1 134" xfId="55155"/>
    <cellStyle name="Заголовок 1 135" xfId="55156"/>
    <cellStyle name="Заголовок 1 136" xfId="55157"/>
    <cellStyle name="Заголовок 1 137" xfId="55158"/>
    <cellStyle name="Заголовок 1 138" xfId="55159"/>
    <cellStyle name="Заголовок 1 139" xfId="55160"/>
    <cellStyle name="Заголовок 1 14" xfId="55161"/>
    <cellStyle name="Заголовок 1 140" xfId="55162"/>
    <cellStyle name="Заголовок 1 141" xfId="55163"/>
    <cellStyle name="Заголовок 1 142" xfId="55164"/>
    <cellStyle name="Заголовок 1 143" xfId="55165"/>
    <cellStyle name="Заголовок 1 144" xfId="55166"/>
    <cellStyle name="Заголовок 1 145" xfId="55167"/>
    <cellStyle name="Заголовок 1 146" xfId="55168"/>
    <cellStyle name="Заголовок 1 147" xfId="55169"/>
    <cellStyle name="Заголовок 1 148" xfId="55170"/>
    <cellStyle name="Заголовок 1 149" xfId="55171"/>
    <cellStyle name="Заголовок 1 15" xfId="55172"/>
    <cellStyle name="Заголовок 1 150" xfId="55173"/>
    <cellStyle name="Заголовок 1 151" xfId="55174"/>
    <cellStyle name="Заголовок 1 16" xfId="55175"/>
    <cellStyle name="Заголовок 1 17" xfId="55176"/>
    <cellStyle name="Заголовок 1 18" xfId="55177"/>
    <cellStyle name="Заголовок 1 19" xfId="55178"/>
    <cellStyle name="Заголовок 1 2" xfId="55179"/>
    <cellStyle name="Заголовок 1 2 10" xfId="55180"/>
    <cellStyle name="Заголовок 1 2 11" xfId="55181"/>
    <cellStyle name="Заголовок 1 2 12" xfId="55182"/>
    <cellStyle name="Заголовок 1 2 13" xfId="55183"/>
    <cellStyle name="Заголовок 1 2 2" xfId="55184"/>
    <cellStyle name="Заголовок 1 2 3" xfId="55185"/>
    <cellStyle name="Заголовок 1 2 4" xfId="55186"/>
    <cellStyle name="Заголовок 1 2 5" xfId="55187"/>
    <cellStyle name="Заголовок 1 2 6" xfId="55188"/>
    <cellStyle name="Заголовок 1 2 7" xfId="55189"/>
    <cellStyle name="Заголовок 1 2 8" xfId="55190"/>
    <cellStyle name="Заголовок 1 2 9" xfId="55191"/>
    <cellStyle name="Заголовок 1 20" xfId="55192"/>
    <cellStyle name="Заголовок 1 21" xfId="55193"/>
    <cellStyle name="Заголовок 1 22" xfId="55194"/>
    <cellStyle name="Заголовок 1 23" xfId="55195"/>
    <cellStyle name="Заголовок 1 24" xfId="55196"/>
    <cellStyle name="Заголовок 1 25" xfId="55197"/>
    <cellStyle name="Заголовок 1 26" xfId="55198"/>
    <cellStyle name="Заголовок 1 27" xfId="55199"/>
    <cellStyle name="Заголовок 1 28" xfId="55200"/>
    <cellStyle name="Заголовок 1 29" xfId="55201"/>
    <cellStyle name="Заголовок 1 3" xfId="55202"/>
    <cellStyle name="Заголовок 1 30" xfId="55203"/>
    <cellStyle name="Заголовок 1 31" xfId="55204"/>
    <cellStyle name="Заголовок 1 32" xfId="55205"/>
    <cellStyle name="Заголовок 1 33" xfId="55206"/>
    <cellStyle name="Заголовок 1 34" xfId="55207"/>
    <cellStyle name="Заголовок 1 35" xfId="55208"/>
    <cellStyle name="Заголовок 1 36" xfId="55209"/>
    <cellStyle name="Заголовок 1 37" xfId="55210"/>
    <cellStyle name="Заголовок 1 38" xfId="55211"/>
    <cellStyle name="Заголовок 1 39" xfId="55212"/>
    <cellStyle name="Заголовок 1 4" xfId="55213"/>
    <cellStyle name="Заголовок 1 40" xfId="55214"/>
    <cellStyle name="Заголовок 1 41" xfId="55215"/>
    <cellStyle name="Заголовок 1 42" xfId="55216"/>
    <cellStyle name="Заголовок 1 43" xfId="55217"/>
    <cellStyle name="Заголовок 1 44" xfId="55218"/>
    <cellStyle name="Заголовок 1 45" xfId="55219"/>
    <cellStyle name="Заголовок 1 46" xfId="55220"/>
    <cellStyle name="Заголовок 1 47" xfId="55221"/>
    <cellStyle name="Заголовок 1 48" xfId="55222"/>
    <cellStyle name="Заголовок 1 49" xfId="55223"/>
    <cellStyle name="Заголовок 1 5" xfId="55224"/>
    <cellStyle name="Заголовок 1 50" xfId="55225"/>
    <cellStyle name="Заголовок 1 51" xfId="55226"/>
    <cellStyle name="Заголовок 1 52" xfId="55227"/>
    <cellStyle name="Заголовок 1 53" xfId="55228"/>
    <cellStyle name="Заголовок 1 54" xfId="55229"/>
    <cellStyle name="Заголовок 1 55" xfId="55230"/>
    <cellStyle name="Заголовок 1 56" xfId="55231"/>
    <cellStyle name="Заголовок 1 57" xfId="55232"/>
    <cellStyle name="Заголовок 1 58" xfId="55233"/>
    <cellStyle name="Заголовок 1 59" xfId="55234"/>
    <cellStyle name="Заголовок 1 6" xfId="55235"/>
    <cellStyle name="Заголовок 1 60" xfId="55236"/>
    <cellStyle name="Заголовок 1 61" xfId="55237"/>
    <cellStyle name="Заголовок 1 62" xfId="55238"/>
    <cellStyle name="Заголовок 1 63" xfId="55239"/>
    <cellStyle name="Заголовок 1 64" xfId="55240"/>
    <cellStyle name="Заголовок 1 65" xfId="55241"/>
    <cellStyle name="Заголовок 1 66" xfId="55242"/>
    <cellStyle name="Заголовок 1 67" xfId="55243"/>
    <cellStyle name="Заголовок 1 68" xfId="55244"/>
    <cellStyle name="Заголовок 1 69" xfId="55245"/>
    <cellStyle name="Заголовок 1 7" xfId="55246"/>
    <cellStyle name="Заголовок 1 70" xfId="55247"/>
    <cellStyle name="Заголовок 1 71" xfId="55248"/>
    <cellStyle name="Заголовок 1 72" xfId="55249"/>
    <cellStyle name="Заголовок 1 73" xfId="55250"/>
    <cellStyle name="Заголовок 1 74" xfId="55251"/>
    <cellStyle name="Заголовок 1 75" xfId="55252"/>
    <cellStyle name="Заголовок 1 76" xfId="55253"/>
    <cellStyle name="Заголовок 1 77" xfId="55254"/>
    <cellStyle name="Заголовок 1 78" xfId="55255"/>
    <cellStyle name="Заголовок 1 79" xfId="55256"/>
    <cellStyle name="Заголовок 1 8" xfId="55257"/>
    <cellStyle name="Заголовок 1 80" xfId="55258"/>
    <cellStyle name="Заголовок 1 81" xfId="55259"/>
    <cellStyle name="Заголовок 1 82" xfId="55260"/>
    <cellStyle name="Заголовок 1 83" xfId="55261"/>
    <cellStyle name="Заголовок 1 84" xfId="55262"/>
    <cellStyle name="Заголовок 1 85" xfId="55263"/>
    <cellStyle name="Заголовок 1 86" xfId="55264"/>
    <cellStyle name="Заголовок 1 87" xfId="55265"/>
    <cellStyle name="Заголовок 1 88" xfId="55266"/>
    <cellStyle name="Заголовок 1 89" xfId="55267"/>
    <cellStyle name="Заголовок 1 9" xfId="55268"/>
    <cellStyle name="Заголовок 1 90" xfId="55269"/>
    <cellStyle name="Заголовок 1 91" xfId="55270"/>
    <cellStyle name="Заголовок 1 92" xfId="55271"/>
    <cellStyle name="Заголовок 1 93" xfId="55272"/>
    <cellStyle name="Заголовок 1 94" xfId="55273"/>
    <cellStyle name="Заголовок 1 95" xfId="55274"/>
    <cellStyle name="Заголовок 1 96" xfId="55275"/>
    <cellStyle name="Заголовок 1 97" xfId="55276"/>
    <cellStyle name="Заголовок 1 98" xfId="55277"/>
    <cellStyle name="Заголовок 1 99" xfId="55278"/>
    <cellStyle name="Заголовок 2 10" xfId="55279"/>
    <cellStyle name="Заголовок 2 100" xfId="55280"/>
    <cellStyle name="Заголовок 2 101" xfId="55281"/>
    <cellStyle name="Заголовок 2 102" xfId="55282"/>
    <cellStyle name="Заголовок 2 103" xfId="55283"/>
    <cellStyle name="Заголовок 2 104" xfId="55284"/>
    <cellStyle name="Заголовок 2 105" xfId="55285"/>
    <cellStyle name="Заголовок 2 106" xfId="55286"/>
    <cellStyle name="Заголовок 2 107" xfId="55287"/>
    <cellStyle name="Заголовок 2 108" xfId="55288"/>
    <cellStyle name="Заголовок 2 109" xfId="55289"/>
    <cellStyle name="Заголовок 2 11" xfId="55290"/>
    <cellStyle name="Заголовок 2 110" xfId="55291"/>
    <cellStyle name="Заголовок 2 111" xfId="55292"/>
    <cellStyle name="Заголовок 2 112" xfId="55293"/>
    <cellStyle name="Заголовок 2 113" xfId="55294"/>
    <cellStyle name="Заголовок 2 114" xfId="55295"/>
    <cellStyle name="Заголовок 2 115" xfId="55296"/>
    <cellStyle name="Заголовок 2 116" xfId="55297"/>
    <cellStyle name="Заголовок 2 117" xfId="55298"/>
    <cellStyle name="Заголовок 2 118" xfId="55299"/>
    <cellStyle name="Заголовок 2 119" xfId="55300"/>
    <cellStyle name="Заголовок 2 12" xfId="55301"/>
    <cellStyle name="Заголовок 2 120" xfId="55302"/>
    <cellStyle name="Заголовок 2 121" xfId="55303"/>
    <cellStyle name="Заголовок 2 122" xfId="55304"/>
    <cellStyle name="Заголовок 2 123" xfId="55305"/>
    <cellStyle name="Заголовок 2 124" xfId="55306"/>
    <cellStyle name="Заголовок 2 125" xfId="55307"/>
    <cellStyle name="Заголовок 2 126" xfId="55308"/>
    <cellStyle name="Заголовок 2 127" xfId="55309"/>
    <cellStyle name="Заголовок 2 128" xfId="55310"/>
    <cellStyle name="Заголовок 2 129" xfId="55311"/>
    <cellStyle name="Заголовок 2 13" xfId="55312"/>
    <cellStyle name="Заголовок 2 130" xfId="55313"/>
    <cellStyle name="Заголовок 2 131" xfId="55314"/>
    <cellStyle name="Заголовок 2 132" xfId="55315"/>
    <cellStyle name="Заголовок 2 133" xfId="55316"/>
    <cellStyle name="Заголовок 2 134" xfId="55317"/>
    <cellStyle name="Заголовок 2 135" xfId="55318"/>
    <cellStyle name="Заголовок 2 136" xfId="55319"/>
    <cellStyle name="Заголовок 2 137" xfId="55320"/>
    <cellStyle name="Заголовок 2 138" xfId="55321"/>
    <cellStyle name="Заголовок 2 139" xfId="55322"/>
    <cellStyle name="Заголовок 2 14" xfId="55323"/>
    <cellStyle name="Заголовок 2 140" xfId="55324"/>
    <cellStyle name="Заголовок 2 141" xfId="55325"/>
    <cellStyle name="Заголовок 2 142" xfId="55326"/>
    <cellStyle name="Заголовок 2 143" xfId="55327"/>
    <cellStyle name="Заголовок 2 144" xfId="55328"/>
    <cellStyle name="Заголовок 2 145" xfId="55329"/>
    <cellStyle name="Заголовок 2 146" xfId="55330"/>
    <cellStyle name="Заголовок 2 147" xfId="55331"/>
    <cellStyle name="Заголовок 2 148" xfId="55332"/>
    <cellStyle name="Заголовок 2 149" xfId="55333"/>
    <cellStyle name="Заголовок 2 15" xfId="55334"/>
    <cellStyle name="Заголовок 2 150" xfId="55335"/>
    <cellStyle name="Заголовок 2 151" xfId="55336"/>
    <cellStyle name="Заголовок 2 16" xfId="55337"/>
    <cellStyle name="Заголовок 2 17" xfId="55338"/>
    <cellStyle name="Заголовок 2 18" xfId="55339"/>
    <cellStyle name="Заголовок 2 19" xfId="55340"/>
    <cellStyle name="Заголовок 2 2" xfId="55341"/>
    <cellStyle name="Заголовок 2 2 10" xfId="55342"/>
    <cellStyle name="Заголовок 2 2 11" xfId="55343"/>
    <cellStyle name="Заголовок 2 2 12" xfId="55344"/>
    <cellStyle name="Заголовок 2 2 13" xfId="55345"/>
    <cellStyle name="Заголовок 2 2 2" xfId="55346"/>
    <cellStyle name="Заголовок 2 2 3" xfId="55347"/>
    <cellStyle name="Заголовок 2 2 4" xfId="55348"/>
    <cellStyle name="Заголовок 2 2 5" xfId="55349"/>
    <cellStyle name="Заголовок 2 2 6" xfId="55350"/>
    <cellStyle name="Заголовок 2 2 7" xfId="55351"/>
    <cellStyle name="Заголовок 2 2 8" xfId="55352"/>
    <cellStyle name="Заголовок 2 2 9" xfId="55353"/>
    <cellStyle name="Заголовок 2 20" xfId="55354"/>
    <cellStyle name="Заголовок 2 21" xfId="55355"/>
    <cellStyle name="Заголовок 2 22" xfId="55356"/>
    <cellStyle name="Заголовок 2 23" xfId="55357"/>
    <cellStyle name="Заголовок 2 24" xfId="55358"/>
    <cellStyle name="Заголовок 2 25" xfId="55359"/>
    <cellStyle name="Заголовок 2 26" xfId="55360"/>
    <cellStyle name="Заголовок 2 27" xfId="55361"/>
    <cellStyle name="Заголовок 2 28" xfId="55362"/>
    <cellStyle name="Заголовок 2 29" xfId="55363"/>
    <cellStyle name="Заголовок 2 3" xfId="55364"/>
    <cellStyle name="Заголовок 2 30" xfId="55365"/>
    <cellStyle name="Заголовок 2 31" xfId="55366"/>
    <cellStyle name="Заголовок 2 32" xfId="55367"/>
    <cellStyle name="Заголовок 2 33" xfId="55368"/>
    <cellStyle name="Заголовок 2 34" xfId="55369"/>
    <cellStyle name="Заголовок 2 35" xfId="55370"/>
    <cellStyle name="Заголовок 2 36" xfId="55371"/>
    <cellStyle name="Заголовок 2 37" xfId="55372"/>
    <cellStyle name="Заголовок 2 38" xfId="55373"/>
    <cellStyle name="Заголовок 2 39" xfId="55374"/>
    <cellStyle name="Заголовок 2 4" xfId="55375"/>
    <cellStyle name="Заголовок 2 40" xfId="55376"/>
    <cellStyle name="Заголовок 2 41" xfId="55377"/>
    <cellStyle name="Заголовок 2 42" xfId="55378"/>
    <cellStyle name="Заголовок 2 43" xfId="55379"/>
    <cellStyle name="Заголовок 2 44" xfId="55380"/>
    <cellStyle name="Заголовок 2 45" xfId="55381"/>
    <cellStyle name="Заголовок 2 46" xfId="55382"/>
    <cellStyle name="Заголовок 2 47" xfId="55383"/>
    <cellStyle name="Заголовок 2 48" xfId="55384"/>
    <cellStyle name="Заголовок 2 49" xfId="55385"/>
    <cellStyle name="Заголовок 2 5" xfId="55386"/>
    <cellStyle name="Заголовок 2 50" xfId="55387"/>
    <cellStyle name="Заголовок 2 51" xfId="55388"/>
    <cellStyle name="Заголовок 2 52" xfId="55389"/>
    <cellStyle name="Заголовок 2 53" xfId="55390"/>
    <cellStyle name="Заголовок 2 54" xfId="55391"/>
    <cellStyle name="Заголовок 2 55" xfId="55392"/>
    <cellStyle name="Заголовок 2 56" xfId="55393"/>
    <cellStyle name="Заголовок 2 57" xfId="55394"/>
    <cellStyle name="Заголовок 2 58" xfId="55395"/>
    <cellStyle name="Заголовок 2 59" xfId="55396"/>
    <cellStyle name="Заголовок 2 6" xfId="55397"/>
    <cellStyle name="Заголовок 2 60" xfId="55398"/>
    <cellStyle name="Заголовок 2 61" xfId="55399"/>
    <cellStyle name="Заголовок 2 62" xfId="55400"/>
    <cellStyle name="Заголовок 2 63" xfId="55401"/>
    <cellStyle name="Заголовок 2 64" xfId="55402"/>
    <cellStyle name="Заголовок 2 65" xfId="55403"/>
    <cellStyle name="Заголовок 2 66" xfId="55404"/>
    <cellStyle name="Заголовок 2 67" xfId="55405"/>
    <cellStyle name="Заголовок 2 68" xfId="55406"/>
    <cellStyle name="Заголовок 2 69" xfId="55407"/>
    <cellStyle name="Заголовок 2 7" xfId="55408"/>
    <cellStyle name="Заголовок 2 70" xfId="55409"/>
    <cellStyle name="Заголовок 2 71" xfId="55410"/>
    <cellStyle name="Заголовок 2 72" xfId="55411"/>
    <cellStyle name="Заголовок 2 73" xfId="55412"/>
    <cellStyle name="Заголовок 2 74" xfId="55413"/>
    <cellStyle name="Заголовок 2 75" xfId="55414"/>
    <cellStyle name="Заголовок 2 76" xfId="55415"/>
    <cellStyle name="Заголовок 2 77" xfId="55416"/>
    <cellStyle name="Заголовок 2 78" xfId="55417"/>
    <cellStyle name="Заголовок 2 79" xfId="55418"/>
    <cellStyle name="Заголовок 2 8" xfId="55419"/>
    <cellStyle name="Заголовок 2 80" xfId="55420"/>
    <cellStyle name="Заголовок 2 81" xfId="55421"/>
    <cellStyle name="Заголовок 2 82" xfId="55422"/>
    <cellStyle name="Заголовок 2 83" xfId="55423"/>
    <cellStyle name="Заголовок 2 84" xfId="55424"/>
    <cellStyle name="Заголовок 2 85" xfId="55425"/>
    <cellStyle name="Заголовок 2 86" xfId="55426"/>
    <cellStyle name="Заголовок 2 87" xfId="55427"/>
    <cellStyle name="Заголовок 2 88" xfId="55428"/>
    <cellStyle name="Заголовок 2 89" xfId="55429"/>
    <cellStyle name="Заголовок 2 9" xfId="55430"/>
    <cellStyle name="Заголовок 2 90" xfId="55431"/>
    <cellStyle name="Заголовок 2 91" xfId="55432"/>
    <cellStyle name="Заголовок 2 92" xfId="55433"/>
    <cellStyle name="Заголовок 2 93" xfId="55434"/>
    <cellStyle name="Заголовок 2 94" xfId="55435"/>
    <cellStyle name="Заголовок 2 95" xfId="55436"/>
    <cellStyle name="Заголовок 2 96" xfId="55437"/>
    <cellStyle name="Заголовок 2 97" xfId="55438"/>
    <cellStyle name="Заголовок 2 98" xfId="55439"/>
    <cellStyle name="Заголовок 2 99" xfId="55440"/>
    <cellStyle name="Заголовок 3 10" xfId="55441"/>
    <cellStyle name="Заголовок 3 100" xfId="55442"/>
    <cellStyle name="Заголовок 3 101" xfId="55443"/>
    <cellStyle name="Заголовок 3 102" xfId="55444"/>
    <cellStyle name="Заголовок 3 103" xfId="55445"/>
    <cellStyle name="Заголовок 3 104" xfId="55446"/>
    <cellStyle name="Заголовок 3 105" xfId="55447"/>
    <cellStyle name="Заголовок 3 106" xfId="55448"/>
    <cellStyle name="Заголовок 3 107" xfId="55449"/>
    <cellStyle name="Заголовок 3 108" xfId="55450"/>
    <cellStyle name="Заголовок 3 109" xfId="55451"/>
    <cellStyle name="Заголовок 3 11" xfId="55452"/>
    <cellStyle name="Заголовок 3 110" xfId="55453"/>
    <cellStyle name="Заголовок 3 111" xfId="55454"/>
    <cellStyle name="Заголовок 3 112" xfId="55455"/>
    <cellStyle name="Заголовок 3 113" xfId="55456"/>
    <cellStyle name="Заголовок 3 114" xfId="55457"/>
    <cellStyle name="Заголовок 3 115" xfId="55458"/>
    <cellStyle name="Заголовок 3 116" xfId="55459"/>
    <cellStyle name="Заголовок 3 117" xfId="55460"/>
    <cellStyle name="Заголовок 3 118" xfId="55461"/>
    <cellStyle name="Заголовок 3 119" xfId="55462"/>
    <cellStyle name="Заголовок 3 12" xfId="55463"/>
    <cellStyle name="Заголовок 3 120" xfId="55464"/>
    <cellStyle name="Заголовок 3 121" xfId="55465"/>
    <cellStyle name="Заголовок 3 122" xfId="55466"/>
    <cellStyle name="Заголовок 3 123" xfId="55467"/>
    <cellStyle name="Заголовок 3 124" xfId="55468"/>
    <cellStyle name="Заголовок 3 125" xfId="55469"/>
    <cellStyle name="Заголовок 3 126" xfId="55470"/>
    <cellStyle name="Заголовок 3 127" xfId="55471"/>
    <cellStyle name="Заголовок 3 128" xfId="55472"/>
    <cellStyle name="Заголовок 3 129" xfId="55473"/>
    <cellStyle name="Заголовок 3 13" xfId="55474"/>
    <cellStyle name="Заголовок 3 130" xfId="55475"/>
    <cellStyle name="Заголовок 3 131" xfId="55476"/>
    <cellStyle name="Заголовок 3 132" xfId="55477"/>
    <cellStyle name="Заголовок 3 133" xfId="55478"/>
    <cellStyle name="Заголовок 3 134" xfId="55479"/>
    <cellStyle name="Заголовок 3 135" xfId="55480"/>
    <cellStyle name="Заголовок 3 136" xfId="55481"/>
    <cellStyle name="Заголовок 3 137" xfId="55482"/>
    <cellStyle name="Заголовок 3 138" xfId="55483"/>
    <cellStyle name="Заголовок 3 139" xfId="55484"/>
    <cellStyle name="Заголовок 3 14" xfId="55485"/>
    <cellStyle name="Заголовок 3 140" xfId="55486"/>
    <cellStyle name="Заголовок 3 141" xfId="55487"/>
    <cellStyle name="Заголовок 3 142" xfId="55488"/>
    <cellStyle name="Заголовок 3 143" xfId="55489"/>
    <cellStyle name="Заголовок 3 144" xfId="55490"/>
    <cellStyle name="Заголовок 3 145" xfId="55491"/>
    <cellStyle name="Заголовок 3 146" xfId="55492"/>
    <cellStyle name="Заголовок 3 147" xfId="55493"/>
    <cellStyle name="Заголовок 3 148" xfId="55494"/>
    <cellStyle name="Заголовок 3 149" xfId="55495"/>
    <cellStyle name="Заголовок 3 15" xfId="55496"/>
    <cellStyle name="Заголовок 3 150" xfId="55497"/>
    <cellStyle name="Заголовок 3 151" xfId="55498"/>
    <cellStyle name="Заголовок 3 152" xfId="55499"/>
    <cellStyle name="Заголовок 3 153" xfId="55500"/>
    <cellStyle name="Заголовок 3 16" xfId="55501"/>
    <cellStyle name="Заголовок 3 17" xfId="55502"/>
    <cellStyle name="Заголовок 3 18" xfId="55503"/>
    <cellStyle name="Заголовок 3 19" xfId="55504"/>
    <cellStyle name="Заголовок 3 2" xfId="55505"/>
    <cellStyle name="Заголовок 3 2 2" xfId="55506"/>
    <cellStyle name="Заголовок 3 2 2 10" xfId="55507"/>
    <cellStyle name="Заголовок 3 2 2 11" xfId="55508"/>
    <cellStyle name="Заголовок 3 2 2 12" xfId="55509"/>
    <cellStyle name="Заголовок 3 2 2 13" xfId="55510"/>
    <cellStyle name="Заголовок 3 2 2 2" xfId="55511"/>
    <cellStyle name="Заголовок 3 2 2 3" xfId="55512"/>
    <cellStyle name="Заголовок 3 2 2 4" xfId="55513"/>
    <cellStyle name="Заголовок 3 2 2 5" xfId="55514"/>
    <cellStyle name="Заголовок 3 2 2 6" xfId="55515"/>
    <cellStyle name="Заголовок 3 2 2 7" xfId="55516"/>
    <cellStyle name="Заголовок 3 2 2 8" xfId="55517"/>
    <cellStyle name="Заголовок 3 2 2 9" xfId="55518"/>
    <cellStyle name="Заголовок 3 2 3" xfId="55519"/>
    <cellStyle name="Заголовок 3 20" xfId="55520"/>
    <cellStyle name="Заголовок 3 21" xfId="55521"/>
    <cellStyle name="Заголовок 3 22" xfId="55522"/>
    <cellStyle name="Заголовок 3 23" xfId="55523"/>
    <cellStyle name="Заголовок 3 24" xfId="55524"/>
    <cellStyle name="Заголовок 3 25" xfId="55525"/>
    <cellStyle name="Заголовок 3 26" xfId="55526"/>
    <cellStyle name="Заголовок 3 27" xfId="55527"/>
    <cellStyle name="Заголовок 3 28" xfId="55528"/>
    <cellStyle name="Заголовок 3 29" xfId="55529"/>
    <cellStyle name="Заголовок 3 3" xfId="55530"/>
    <cellStyle name="Заголовок 3 30" xfId="55531"/>
    <cellStyle name="Заголовок 3 31" xfId="55532"/>
    <cellStyle name="Заголовок 3 32" xfId="55533"/>
    <cellStyle name="Заголовок 3 33" xfId="55534"/>
    <cellStyle name="Заголовок 3 34" xfId="55535"/>
    <cellStyle name="Заголовок 3 35" xfId="55536"/>
    <cellStyle name="Заголовок 3 36" xfId="55537"/>
    <cellStyle name="Заголовок 3 37" xfId="55538"/>
    <cellStyle name="Заголовок 3 38" xfId="55539"/>
    <cellStyle name="Заголовок 3 39" xfId="55540"/>
    <cellStyle name="Заголовок 3 4" xfId="55541"/>
    <cellStyle name="Заголовок 3 40" xfId="55542"/>
    <cellStyle name="Заголовок 3 41" xfId="55543"/>
    <cellStyle name="Заголовок 3 42" xfId="55544"/>
    <cellStyle name="Заголовок 3 43" xfId="55545"/>
    <cellStyle name="Заголовок 3 44" xfId="55546"/>
    <cellStyle name="Заголовок 3 45" xfId="55547"/>
    <cellStyle name="Заголовок 3 46" xfId="55548"/>
    <cellStyle name="Заголовок 3 47" xfId="55549"/>
    <cellStyle name="Заголовок 3 48" xfId="55550"/>
    <cellStyle name="Заголовок 3 49" xfId="55551"/>
    <cellStyle name="Заголовок 3 5" xfId="55552"/>
    <cellStyle name="Заголовок 3 50" xfId="55553"/>
    <cellStyle name="Заголовок 3 51" xfId="55554"/>
    <cellStyle name="Заголовок 3 52" xfId="55555"/>
    <cellStyle name="Заголовок 3 53" xfId="55556"/>
    <cellStyle name="Заголовок 3 54" xfId="55557"/>
    <cellStyle name="Заголовок 3 55" xfId="55558"/>
    <cellStyle name="Заголовок 3 56" xfId="55559"/>
    <cellStyle name="Заголовок 3 57" xfId="55560"/>
    <cellStyle name="Заголовок 3 58" xfId="55561"/>
    <cellStyle name="Заголовок 3 59" xfId="55562"/>
    <cellStyle name="Заголовок 3 6" xfId="55563"/>
    <cellStyle name="Заголовок 3 60" xfId="55564"/>
    <cellStyle name="Заголовок 3 61" xfId="55565"/>
    <cellStyle name="Заголовок 3 62" xfId="55566"/>
    <cellStyle name="Заголовок 3 63" xfId="55567"/>
    <cellStyle name="Заголовок 3 64" xfId="55568"/>
    <cellStyle name="Заголовок 3 65" xfId="55569"/>
    <cellStyle name="Заголовок 3 66" xfId="55570"/>
    <cellStyle name="Заголовок 3 67" xfId="55571"/>
    <cellStyle name="Заголовок 3 68" xfId="55572"/>
    <cellStyle name="Заголовок 3 69" xfId="55573"/>
    <cellStyle name="Заголовок 3 7" xfId="55574"/>
    <cellStyle name="Заголовок 3 70" xfId="55575"/>
    <cellStyle name="Заголовок 3 71" xfId="55576"/>
    <cellStyle name="Заголовок 3 72" xfId="55577"/>
    <cellStyle name="Заголовок 3 73" xfId="55578"/>
    <cellStyle name="Заголовок 3 74" xfId="55579"/>
    <cellStyle name="Заголовок 3 75" xfId="55580"/>
    <cellStyle name="Заголовок 3 76" xfId="55581"/>
    <cellStyle name="Заголовок 3 77" xfId="55582"/>
    <cellStyle name="Заголовок 3 78" xfId="55583"/>
    <cellStyle name="Заголовок 3 79" xfId="55584"/>
    <cellStyle name="Заголовок 3 8" xfId="55585"/>
    <cellStyle name="Заголовок 3 80" xfId="55586"/>
    <cellStyle name="Заголовок 3 81" xfId="55587"/>
    <cellStyle name="Заголовок 3 82" xfId="55588"/>
    <cellStyle name="Заголовок 3 83" xfId="55589"/>
    <cellStyle name="Заголовок 3 84" xfId="55590"/>
    <cellStyle name="Заголовок 3 85" xfId="55591"/>
    <cellStyle name="Заголовок 3 86" xfId="55592"/>
    <cellStyle name="Заголовок 3 87" xfId="55593"/>
    <cellStyle name="Заголовок 3 88" xfId="55594"/>
    <cellStyle name="Заголовок 3 89" xfId="55595"/>
    <cellStyle name="Заголовок 3 9" xfId="55596"/>
    <cellStyle name="Заголовок 3 90" xfId="55597"/>
    <cellStyle name="Заголовок 3 91" xfId="55598"/>
    <cellStyle name="Заголовок 3 92" xfId="55599"/>
    <cellStyle name="Заголовок 3 93" xfId="55600"/>
    <cellStyle name="Заголовок 3 94" xfId="55601"/>
    <cellStyle name="Заголовок 3 95" xfId="55602"/>
    <cellStyle name="Заголовок 3 96" xfId="55603"/>
    <cellStyle name="Заголовок 3 97" xfId="55604"/>
    <cellStyle name="Заголовок 3 98" xfId="55605"/>
    <cellStyle name="Заголовок 3 99" xfId="55606"/>
    <cellStyle name="Заголовок 4 10" xfId="55607"/>
    <cellStyle name="Заголовок 4 100" xfId="55608"/>
    <cellStyle name="Заголовок 4 101" xfId="55609"/>
    <cellStyle name="Заголовок 4 101 2" xfId="55610"/>
    <cellStyle name="Заголовок 4 101 3" xfId="55611"/>
    <cellStyle name="Заголовок 4 101 3 2" xfId="55612"/>
    <cellStyle name="Заголовок 4 101 3 2 2" xfId="55613"/>
    <cellStyle name="Заголовок 4 101 3 3" xfId="55614"/>
    <cellStyle name="Заголовок 4 101 4" xfId="55615"/>
    <cellStyle name="Заголовок 4 101 4 2" xfId="55616"/>
    <cellStyle name="Заголовок 4 101 5" xfId="55617"/>
    <cellStyle name="Заголовок 4 102" xfId="55618"/>
    <cellStyle name="Заголовок 4 102 2" xfId="55619"/>
    <cellStyle name="Заголовок 4 102 3" xfId="55620"/>
    <cellStyle name="Заголовок 4 102 3 2" xfId="55621"/>
    <cellStyle name="Заголовок 4 102 3 2 2" xfId="55622"/>
    <cellStyle name="Заголовок 4 102 3 3" xfId="55623"/>
    <cellStyle name="Заголовок 4 102 4" xfId="55624"/>
    <cellStyle name="Заголовок 4 102 4 2" xfId="55625"/>
    <cellStyle name="Заголовок 4 102 5" xfId="55626"/>
    <cellStyle name="Заголовок 4 103" xfId="55627"/>
    <cellStyle name="Заголовок 4 103 2" xfId="55628"/>
    <cellStyle name="Заголовок 4 103 3" xfId="55629"/>
    <cellStyle name="Заголовок 4 103 3 2" xfId="55630"/>
    <cellStyle name="Заголовок 4 103 3 2 2" xfId="55631"/>
    <cellStyle name="Заголовок 4 103 3 3" xfId="55632"/>
    <cellStyle name="Заголовок 4 103 4" xfId="55633"/>
    <cellStyle name="Заголовок 4 103 4 2" xfId="55634"/>
    <cellStyle name="Заголовок 4 103 5" xfId="55635"/>
    <cellStyle name="Заголовок 4 104" xfId="55636"/>
    <cellStyle name="Заголовок 4 104 2" xfId="55637"/>
    <cellStyle name="Заголовок 4 104 3" xfId="55638"/>
    <cellStyle name="Заголовок 4 104 3 2" xfId="55639"/>
    <cellStyle name="Заголовок 4 104 3 2 2" xfId="55640"/>
    <cellStyle name="Заголовок 4 104 3 3" xfId="55641"/>
    <cellStyle name="Заголовок 4 104 4" xfId="55642"/>
    <cellStyle name="Заголовок 4 104 4 2" xfId="55643"/>
    <cellStyle name="Заголовок 4 104 5" xfId="55644"/>
    <cellStyle name="Заголовок 4 105" xfId="55645"/>
    <cellStyle name="Заголовок 4 105 2" xfId="55646"/>
    <cellStyle name="Заголовок 4 105 3" xfId="55647"/>
    <cellStyle name="Заголовок 4 105 3 2" xfId="55648"/>
    <cellStyle name="Заголовок 4 105 3 2 2" xfId="55649"/>
    <cellStyle name="Заголовок 4 105 3 3" xfId="55650"/>
    <cellStyle name="Заголовок 4 105 4" xfId="55651"/>
    <cellStyle name="Заголовок 4 105 4 2" xfId="55652"/>
    <cellStyle name="Заголовок 4 105 5" xfId="55653"/>
    <cellStyle name="Заголовок 4 106" xfId="55654"/>
    <cellStyle name="Заголовок 4 106 2" xfId="55655"/>
    <cellStyle name="Заголовок 4 106 3" xfId="55656"/>
    <cellStyle name="Заголовок 4 106 3 2" xfId="55657"/>
    <cellStyle name="Заголовок 4 106 3 2 2" xfId="55658"/>
    <cellStyle name="Заголовок 4 106 3 3" xfId="55659"/>
    <cellStyle name="Заголовок 4 106 4" xfId="55660"/>
    <cellStyle name="Заголовок 4 106 4 2" xfId="55661"/>
    <cellStyle name="Заголовок 4 106 5" xfId="55662"/>
    <cellStyle name="Заголовок 4 107" xfId="55663"/>
    <cellStyle name="Заголовок 4 107 2" xfId="55664"/>
    <cellStyle name="Заголовок 4 107 3" xfId="55665"/>
    <cellStyle name="Заголовок 4 107 3 2" xfId="55666"/>
    <cellStyle name="Заголовок 4 107 3 2 2" xfId="55667"/>
    <cellStyle name="Заголовок 4 107 3 3" xfId="55668"/>
    <cellStyle name="Заголовок 4 107 4" xfId="55669"/>
    <cellStyle name="Заголовок 4 107 4 2" xfId="55670"/>
    <cellStyle name="Заголовок 4 107 5" xfId="55671"/>
    <cellStyle name="Заголовок 4 108" xfId="55672"/>
    <cellStyle name="Заголовок 4 108 2" xfId="55673"/>
    <cellStyle name="Заголовок 4 108 3" xfId="55674"/>
    <cellStyle name="Заголовок 4 108 3 2" xfId="55675"/>
    <cellStyle name="Заголовок 4 108 3 2 2" xfId="55676"/>
    <cellStyle name="Заголовок 4 108 3 3" xfId="55677"/>
    <cellStyle name="Заголовок 4 108 4" xfId="55678"/>
    <cellStyle name="Заголовок 4 108 4 2" xfId="55679"/>
    <cellStyle name="Заголовок 4 108 5" xfId="55680"/>
    <cellStyle name="Заголовок 4 109" xfId="55681"/>
    <cellStyle name="Заголовок 4 109 2" xfId="55682"/>
    <cellStyle name="Заголовок 4 109 3" xfId="55683"/>
    <cellStyle name="Заголовок 4 109 3 2" xfId="55684"/>
    <cellStyle name="Заголовок 4 109 3 2 2" xfId="55685"/>
    <cellStyle name="Заголовок 4 109 3 3" xfId="55686"/>
    <cellStyle name="Заголовок 4 109 4" xfId="55687"/>
    <cellStyle name="Заголовок 4 109 4 2" xfId="55688"/>
    <cellStyle name="Заголовок 4 109 5" xfId="55689"/>
    <cellStyle name="Заголовок 4 11" xfId="55690"/>
    <cellStyle name="Заголовок 4 11 2" xfId="55691"/>
    <cellStyle name="Заголовок 4 11 3" xfId="55692"/>
    <cellStyle name="Заголовок 4 11 3 2" xfId="55693"/>
    <cellStyle name="Заголовок 4 11 3 2 2" xfId="55694"/>
    <cellStyle name="Заголовок 4 11 3 3" xfId="55695"/>
    <cellStyle name="Заголовок 4 11 4" xfId="55696"/>
    <cellStyle name="Заголовок 4 11 4 2" xfId="55697"/>
    <cellStyle name="Заголовок 4 11 5" xfId="55698"/>
    <cellStyle name="Заголовок 4 110" xfId="55699"/>
    <cellStyle name="Заголовок 4 110 2" xfId="55700"/>
    <cellStyle name="Заголовок 4 110 3" xfId="55701"/>
    <cellStyle name="Заголовок 4 110 3 2" xfId="55702"/>
    <cellStyle name="Заголовок 4 110 3 2 2" xfId="55703"/>
    <cellStyle name="Заголовок 4 110 3 3" xfId="55704"/>
    <cellStyle name="Заголовок 4 110 4" xfId="55705"/>
    <cellStyle name="Заголовок 4 110 4 2" xfId="55706"/>
    <cellStyle name="Заголовок 4 110 5" xfId="55707"/>
    <cellStyle name="Заголовок 4 111" xfId="55708"/>
    <cellStyle name="Заголовок 4 111 2" xfId="55709"/>
    <cellStyle name="Заголовок 4 111 3" xfId="55710"/>
    <cellStyle name="Заголовок 4 111 3 2" xfId="55711"/>
    <cellStyle name="Заголовок 4 111 3 2 2" xfId="55712"/>
    <cellStyle name="Заголовок 4 111 3 3" xfId="55713"/>
    <cellStyle name="Заголовок 4 111 4" xfId="55714"/>
    <cellStyle name="Заголовок 4 111 4 2" xfId="55715"/>
    <cellStyle name="Заголовок 4 111 5" xfId="55716"/>
    <cellStyle name="Заголовок 4 112" xfId="55717"/>
    <cellStyle name="Заголовок 4 112 2" xfId="55718"/>
    <cellStyle name="Заголовок 4 112 3" xfId="55719"/>
    <cellStyle name="Заголовок 4 112 3 2" xfId="55720"/>
    <cellStyle name="Заголовок 4 112 3 2 2" xfId="55721"/>
    <cellStyle name="Заголовок 4 112 3 3" xfId="55722"/>
    <cellStyle name="Заголовок 4 112 4" xfId="55723"/>
    <cellStyle name="Заголовок 4 112 4 2" xfId="55724"/>
    <cellStyle name="Заголовок 4 112 5" xfId="55725"/>
    <cellStyle name="Заголовок 4 113" xfId="55726"/>
    <cellStyle name="Заголовок 4 113 2" xfId="55727"/>
    <cellStyle name="Заголовок 4 113 3" xfId="55728"/>
    <cellStyle name="Заголовок 4 113 3 2" xfId="55729"/>
    <cellStyle name="Заголовок 4 113 3 2 2" xfId="55730"/>
    <cellStyle name="Заголовок 4 113 3 3" xfId="55731"/>
    <cellStyle name="Заголовок 4 113 4" xfId="55732"/>
    <cellStyle name="Заголовок 4 113 4 2" xfId="55733"/>
    <cellStyle name="Заголовок 4 113 5" xfId="55734"/>
    <cellStyle name="Заголовок 4 114" xfId="55735"/>
    <cellStyle name="Заголовок 4 114 2" xfId="55736"/>
    <cellStyle name="Заголовок 4 114 3" xfId="55737"/>
    <cellStyle name="Заголовок 4 114 3 2" xfId="55738"/>
    <cellStyle name="Заголовок 4 114 3 2 2" xfId="55739"/>
    <cellStyle name="Заголовок 4 114 3 3" xfId="55740"/>
    <cellStyle name="Заголовок 4 114 4" xfId="55741"/>
    <cellStyle name="Заголовок 4 114 4 2" xfId="55742"/>
    <cellStyle name="Заголовок 4 114 5" xfId="55743"/>
    <cellStyle name="Заголовок 4 115" xfId="55744"/>
    <cellStyle name="Заголовок 4 115 2" xfId="55745"/>
    <cellStyle name="Заголовок 4 115 3" xfId="55746"/>
    <cellStyle name="Заголовок 4 115 3 2" xfId="55747"/>
    <cellStyle name="Заголовок 4 115 3 2 2" xfId="55748"/>
    <cellStyle name="Заголовок 4 115 3 3" xfId="55749"/>
    <cellStyle name="Заголовок 4 115 4" xfId="55750"/>
    <cellStyle name="Заголовок 4 115 4 2" xfId="55751"/>
    <cellStyle name="Заголовок 4 115 5" xfId="55752"/>
    <cellStyle name="Заголовок 4 116" xfId="55753"/>
    <cellStyle name="Заголовок 4 116 2" xfId="55754"/>
    <cellStyle name="Заголовок 4 116 3" xfId="55755"/>
    <cellStyle name="Заголовок 4 116 3 2" xfId="55756"/>
    <cellStyle name="Заголовок 4 116 3 2 2" xfId="55757"/>
    <cellStyle name="Заголовок 4 116 3 3" xfId="55758"/>
    <cellStyle name="Заголовок 4 116 4" xfId="55759"/>
    <cellStyle name="Заголовок 4 116 4 2" xfId="55760"/>
    <cellStyle name="Заголовок 4 116 5" xfId="55761"/>
    <cellStyle name="Заголовок 4 117" xfId="55762"/>
    <cellStyle name="Заголовок 4 117 2" xfId="55763"/>
    <cellStyle name="Заголовок 4 117 3" xfId="55764"/>
    <cellStyle name="Заголовок 4 117 3 2" xfId="55765"/>
    <cellStyle name="Заголовок 4 117 3 2 2" xfId="55766"/>
    <cellStyle name="Заголовок 4 117 3 3" xfId="55767"/>
    <cellStyle name="Заголовок 4 117 4" xfId="55768"/>
    <cellStyle name="Заголовок 4 117 4 2" xfId="55769"/>
    <cellStyle name="Заголовок 4 117 5" xfId="55770"/>
    <cellStyle name="Заголовок 4 118" xfId="55771"/>
    <cellStyle name="Заголовок 4 118 2" xfId="55772"/>
    <cellStyle name="Заголовок 4 118 3" xfId="55773"/>
    <cellStyle name="Заголовок 4 118 3 2" xfId="55774"/>
    <cellStyle name="Заголовок 4 118 3 2 2" xfId="55775"/>
    <cellStyle name="Заголовок 4 118 3 3" xfId="55776"/>
    <cellStyle name="Заголовок 4 118 4" xfId="55777"/>
    <cellStyle name="Заголовок 4 118 4 2" xfId="55778"/>
    <cellStyle name="Заголовок 4 118 5" xfId="55779"/>
    <cellStyle name="Заголовок 4 119" xfId="55780"/>
    <cellStyle name="Заголовок 4 119 2" xfId="55781"/>
    <cellStyle name="Заголовок 4 119 3" xfId="55782"/>
    <cellStyle name="Заголовок 4 119 3 2" xfId="55783"/>
    <cellStyle name="Заголовок 4 119 3 2 2" xfId="55784"/>
    <cellStyle name="Заголовок 4 119 3 3" xfId="55785"/>
    <cellStyle name="Заголовок 4 119 4" xfId="55786"/>
    <cellStyle name="Заголовок 4 119 4 2" xfId="55787"/>
    <cellStyle name="Заголовок 4 119 5" xfId="55788"/>
    <cellStyle name="Заголовок 4 12" xfId="55789"/>
    <cellStyle name="Заголовок 4 12 2" xfId="55790"/>
    <cellStyle name="Заголовок 4 12 3" xfId="55791"/>
    <cellStyle name="Заголовок 4 12 3 2" xfId="55792"/>
    <cellStyle name="Заголовок 4 12 3 2 2" xfId="55793"/>
    <cellStyle name="Заголовок 4 12 3 3" xfId="55794"/>
    <cellStyle name="Заголовок 4 12 4" xfId="55795"/>
    <cellStyle name="Заголовок 4 12 4 2" xfId="55796"/>
    <cellStyle name="Заголовок 4 12 5" xfId="55797"/>
    <cellStyle name="Заголовок 4 120" xfId="55798"/>
    <cellStyle name="Заголовок 4 120 2" xfId="55799"/>
    <cellStyle name="Заголовок 4 120 3" xfId="55800"/>
    <cellStyle name="Заголовок 4 120 3 2" xfId="55801"/>
    <cellStyle name="Заголовок 4 120 3 2 2" xfId="55802"/>
    <cellStyle name="Заголовок 4 120 3 3" xfId="55803"/>
    <cellStyle name="Заголовок 4 120 4" xfId="55804"/>
    <cellStyle name="Заголовок 4 120 4 2" xfId="55805"/>
    <cellStyle name="Заголовок 4 120 5" xfId="55806"/>
    <cellStyle name="Заголовок 4 121" xfId="55807"/>
    <cellStyle name="Заголовок 4 121 2" xfId="55808"/>
    <cellStyle name="Заголовок 4 121 3" xfId="55809"/>
    <cellStyle name="Заголовок 4 121 3 2" xfId="55810"/>
    <cellStyle name="Заголовок 4 121 3 2 2" xfId="55811"/>
    <cellStyle name="Заголовок 4 121 3 3" xfId="55812"/>
    <cellStyle name="Заголовок 4 121 4" xfId="55813"/>
    <cellStyle name="Заголовок 4 121 4 2" xfId="55814"/>
    <cellStyle name="Заголовок 4 121 5" xfId="55815"/>
    <cellStyle name="Заголовок 4 122" xfId="55816"/>
    <cellStyle name="Заголовок 4 122 2" xfId="55817"/>
    <cellStyle name="Заголовок 4 122 3" xfId="55818"/>
    <cellStyle name="Заголовок 4 122 3 2" xfId="55819"/>
    <cellStyle name="Заголовок 4 122 3 2 2" xfId="55820"/>
    <cellStyle name="Заголовок 4 122 3 3" xfId="55821"/>
    <cellStyle name="Заголовок 4 122 4" xfId="55822"/>
    <cellStyle name="Заголовок 4 122 4 2" xfId="55823"/>
    <cellStyle name="Заголовок 4 122 5" xfId="55824"/>
    <cellStyle name="Заголовок 4 123" xfId="55825"/>
    <cellStyle name="Заголовок 4 123 2" xfId="55826"/>
    <cellStyle name="Заголовок 4 123 3" xfId="55827"/>
    <cellStyle name="Заголовок 4 123 3 2" xfId="55828"/>
    <cellStyle name="Заголовок 4 123 3 2 2" xfId="55829"/>
    <cellStyle name="Заголовок 4 123 3 3" xfId="55830"/>
    <cellStyle name="Заголовок 4 123 4" xfId="55831"/>
    <cellStyle name="Заголовок 4 123 4 2" xfId="55832"/>
    <cellStyle name="Заголовок 4 123 5" xfId="55833"/>
    <cellStyle name="Заголовок 4 124" xfId="55834"/>
    <cellStyle name="Заголовок 4 124 2" xfId="55835"/>
    <cellStyle name="Заголовок 4 124 3" xfId="55836"/>
    <cellStyle name="Заголовок 4 124 3 2" xfId="55837"/>
    <cellStyle name="Заголовок 4 124 3 2 2" xfId="55838"/>
    <cellStyle name="Заголовок 4 124 3 3" xfId="55839"/>
    <cellStyle name="Заголовок 4 124 4" xfId="55840"/>
    <cellStyle name="Заголовок 4 124 4 2" xfId="55841"/>
    <cellStyle name="Заголовок 4 124 5" xfId="55842"/>
    <cellStyle name="Заголовок 4 125" xfId="55843"/>
    <cellStyle name="Заголовок 4 125 2" xfId="55844"/>
    <cellStyle name="Заголовок 4 125 3" xfId="55845"/>
    <cellStyle name="Заголовок 4 125 3 2" xfId="55846"/>
    <cellStyle name="Заголовок 4 125 3 2 2" xfId="55847"/>
    <cellStyle name="Заголовок 4 125 3 3" xfId="55848"/>
    <cellStyle name="Заголовок 4 125 4" xfId="55849"/>
    <cellStyle name="Заголовок 4 125 4 2" xfId="55850"/>
    <cellStyle name="Заголовок 4 125 5" xfId="55851"/>
    <cellStyle name="Заголовок 4 126" xfId="55852"/>
    <cellStyle name="Заголовок 4 126 2" xfId="55853"/>
    <cellStyle name="Заголовок 4 126 3" xfId="55854"/>
    <cellStyle name="Заголовок 4 126 3 2" xfId="55855"/>
    <cellStyle name="Заголовок 4 126 3 2 2" xfId="55856"/>
    <cellStyle name="Заголовок 4 126 3 3" xfId="55857"/>
    <cellStyle name="Заголовок 4 126 4" xfId="55858"/>
    <cellStyle name="Заголовок 4 126 4 2" xfId="55859"/>
    <cellStyle name="Заголовок 4 126 5" xfId="55860"/>
    <cellStyle name="Заголовок 4 127" xfId="55861"/>
    <cellStyle name="Заголовок 4 127 2" xfId="55862"/>
    <cellStyle name="Заголовок 4 127 3" xfId="55863"/>
    <cellStyle name="Заголовок 4 127 3 2" xfId="55864"/>
    <cellStyle name="Заголовок 4 127 3 2 2" xfId="55865"/>
    <cellStyle name="Заголовок 4 127 3 3" xfId="55866"/>
    <cellStyle name="Заголовок 4 127 4" xfId="55867"/>
    <cellStyle name="Заголовок 4 127 4 2" xfId="55868"/>
    <cellStyle name="Заголовок 4 127 5" xfId="55869"/>
    <cellStyle name="Заголовок 4 128" xfId="55870"/>
    <cellStyle name="Заголовок 4 128 2" xfId="55871"/>
    <cellStyle name="Заголовок 4 128 3" xfId="55872"/>
    <cellStyle name="Заголовок 4 128 3 2" xfId="55873"/>
    <cellStyle name="Заголовок 4 128 3 2 2" xfId="55874"/>
    <cellStyle name="Заголовок 4 128 3 3" xfId="55875"/>
    <cellStyle name="Заголовок 4 128 4" xfId="55876"/>
    <cellStyle name="Заголовок 4 128 4 2" xfId="55877"/>
    <cellStyle name="Заголовок 4 128 5" xfId="55878"/>
    <cellStyle name="Заголовок 4 129" xfId="55879"/>
    <cellStyle name="Заголовок 4 129 2" xfId="55880"/>
    <cellStyle name="Заголовок 4 129 3" xfId="55881"/>
    <cellStyle name="Заголовок 4 129 3 2" xfId="55882"/>
    <cellStyle name="Заголовок 4 129 3 2 2" xfId="55883"/>
    <cellStyle name="Заголовок 4 129 3 3" xfId="55884"/>
    <cellStyle name="Заголовок 4 129 4" xfId="55885"/>
    <cellStyle name="Заголовок 4 129 4 2" xfId="55886"/>
    <cellStyle name="Заголовок 4 129 5" xfId="55887"/>
    <cellStyle name="Заголовок 4 13" xfId="55888"/>
    <cellStyle name="Заголовок 4 13 2" xfId="55889"/>
    <cellStyle name="Заголовок 4 13 3" xfId="55890"/>
    <cellStyle name="Заголовок 4 13 3 2" xfId="55891"/>
    <cellStyle name="Заголовок 4 13 3 2 2" xfId="55892"/>
    <cellStyle name="Заголовок 4 13 3 3" xfId="55893"/>
    <cellStyle name="Заголовок 4 13 4" xfId="55894"/>
    <cellStyle name="Заголовок 4 13 4 2" xfId="55895"/>
    <cellStyle name="Заголовок 4 13 5" xfId="55896"/>
    <cellStyle name="Заголовок 4 130" xfId="55897"/>
    <cellStyle name="Заголовок 4 130 2" xfId="55898"/>
    <cellStyle name="Заголовок 4 130 3" xfId="55899"/>
    <cellStyle name="Заголовок 4 130 3 2" xfId="55900"/>
    <cellStyle name="Заголовок 4 130 3 2 2" xfId="55901"/>
    <cellStyle name="Заголовок 4 130 3 3" xfId="55902"/>
    <cellStyle name="Заголовок 4 130 4" xfId="55903"/>
    <cellStyle name="Заголовок 4 130 4 2" xfId="55904"/>
    <cellStyle name="Заголовок 4 130 5" xfId="55905"/>
    <cellStyle name="Заголовок 4 131" xfId="55906"/>
    <cellStyle name="Заголовок 4 131 2" xfId="55907"/>
    <cellStyle name="Заголовок 4 131 3" xfId="55908"/>
    <cellStyle name="Заголовок 4 131 3 2" xfId="55909"/>
    <cellStyle name="Заголовок 4 131 3 2 2" xfId="55910"/>
    <cellStyle name="Заголовок 4 131 3 3" xfId="55911"/>
    <cellStyle name="Заголовок 4 131 4" xfId="55912"/>
    <cellStyle name="Заголовок 4 131 4 2" xfId="55913"/>
    <cellStyle name="Заголовок 4 131 5" xfId="55914"/>
    <cellStyle name="Заголовок 4 132" xfId="55915"/>
    <cellStyle name="Заголовок 4 132 2" xfId="55916"/>
    <cellStyle name="Заголовок 4 132 3" xfId="55917"/>
    <cellStyle name="Заголовок 4 132 3 2" xfId="55918"/>
    <cellStyle name="Заголовок 4 132 3 2 2" xfId="55919"/>
    <cellStyle name="Заголовок 4 132 3 3" xfId="55920"/>
    <cellStyle name="Заголовок 4 132 4" xfId="55921"/>
    <cellStyle name="Заголовок 4 132 4 2" xfId="55922"/>
    <cellStyle name="Заголовок 4 132 5" xfId="55923"/>
    <cellStyle name="Заголовок 4 133" xfId="55924"/>
    <cellStyle name="Заголовок 4 133 2" xfId="55925"/>
    <cellStyle name="Заголовок 4 133 3" xfId="55926"/>
    <cellStyle name="Заголовок 4 133 3 2" xfId="55927"/>
    <cellStyle name="Заголовок 4 133 3 2 2" xfId="55928"/>
    <cellStyle name="Заголовок 4 133 3 3" xfId="55929"/>
    <cellStyle name="Заголовок 4 133 4" xfId="55930"/>
    <cellStyle name="Заголовок 4 133 4 2" xfId="55931"/>
    <cellStyle name="Заголовок 4 133 5" xfId="55932"/>
    <cellStyle name="Заголовок 4 134" xfId="55933"/>
    <cellStyle name="Заголовок 4 134 2" xfId="55934"/>
    <cellStyle name="Заголовок 4 134 3" xfId="55935"/>
    <cellStyle name="Заголовок 4 134 3 2" xfId="55936"/>
    <cellStyle name="Заголовок 4 134 3 2 2" xfId="55937"/>
    <cellStyle name="Заголовок 4 134 3 3" xfId="55938"/>
    <cellStyle name="Заголовок 4 134 4" xfId="55939"/>
    <cellStyle name="Заголовок 4 134 4 2" xfId="55940"/>
    <cellStyle name="Заголовок 4 134 5" xfId="55941"/>
    <cellStyle name="Заголовок 4 135" xfId="55942"/>
    <cellStyle name="Заголовок 4 135 2" xfId="55943"/>
    <cellStyle name="Заголовок 4 135 3" xfId="55944"/>
    <cellStyle name="Заголовок 4 135 3 2" xfId="55945"/>
    <cellStyle name="Заголовок 4 135 3 2 2" xfId="55946"/>
    <cellStyle name="Заголовок 4 135 3 3" xfId="55947"/>
    <cellStyle name="Заголовок 4 135 4" xfId="55948"/>
    <cellStyle name="Заголовок 4 135 4 2" xfId="55949"/>
    <cellStyle name="Заголовок 4 135 5" xfId="55950"/>
    <cellStyle name="Заголовок 4 136" xfId="55951"/>
    <cellStyle name="Заголовок 4 136 2" xfId="55952"/>
    <cellStyle name="Заголовок 4 136 3" xfId="55953"/>
    <cellStyle name="Заголовок 4 136 3 2" xfId="55954"/>
    <cellStyle name="Заголовок 4 136 3 2 2" xfId="55955"/>
    <cellStyle name="Заголовок 4 136 3 3" xfId="55956"/>
    <cellStyle name="Заголовок 4 136 4" xfId="55957"/>
    <cellStyle name="Заголовок 4 136 4 2" xfId="55958"/>
    <cellStyle name="Заголовок 4 136 5" xfId="55959"/>
    <cellStyle name="Заголовок 4 137" xfId="55960"/>
    <cellStyle name="Заголовок 4 137 2" xfId="55961"/>
    <cellStyle name="Заголовок 4 137 3" xfId="55962"/>
    <cellStyle name="Заголовок 4 137 3 2" xfId="55963"/>
    <cellStyle name="Заголовок 4 137 3 2 2" xfId="55964"/>
    <cellStyle name="Заголовок 4 137 3 3" xfId="55965"/>
    <cellStyle name="Заголовок 4 137 4" xfId="55966"/>
    <cellStyle name="Заголовок 4 137 4 2" xfId="55967"/>
    <cellStyle name="Заголовок 4 137 5" xfId="55968"/>
    <cellStyle name="Заголовок 4 138" xfId="55969"/>
    <cellStyle name="Заголовок 4 138 2" xfId="55970"/>
    <cellStyle name="Заголовок 4 138 3" xfId="55971"/>
    <cellStyle name="Заголовок 4 138 3 2" xfId="55972"/>
    <cellStyle name="Заголовок 4 138 3 2 2" xfId="55973"/>
    <cellStyle name="Заголовок 4 138 3 3" xfId="55974"/>
    <cellStyle name="Заголовок 4 138 4" xfId="55975"/>
    <cellStyle name="Заголовок 4 138 4 2" xfId="55976"/>
    <cellStyle name="Заголовок 4 138 5" xfId="55977"/>
    <cellStyle name="Заголовок 4 139" xfId="55978"/>
    <cellStyle name="Заголовок 4 139 2" xfId="55979"/>
    <cellStyle name="Заголовок 4 139 3" xfId="55980"/>
    <cellStyle name="Заголовок 4 139 3 2" xfId="55981"/>
    <cellStyle name="Заголовок 4 139 3 2 2" xfId="55982"/>
    <cellStyle name="Заголовок 4 139 3 3" xfId="55983"/>
    <cellStyle name="Заголовок 4 139 4" xfId="55984"/>
    <cellStyle name="Заголовок 4 139 4 2" xfId="55985"/>
    <cellStyle name="Заголовок 4 139 5" xfId="55986"/>
    <cellStyle name="Заголовок 4 14" xfId="55987"/>
    <cellStyle name="Заголовок 4 14 2" xfId="55988"/>
    <cellStyle name="Заголовок 4 14 3" xfId="55989"/>
    <cellStyle name="Заголовок 4 14 3 2" xfId="55990"/>
    <cellStyle name="Заголовок 4 14 3 2 2" xfId="55991"/>
    <cellStyle name="Заголовок 4 14 3 3" xfId="55992"/>
    <cellStyle name="Заголовок 4 14 4" xfId="55993"/>
    <cellStyle name="Заголовок 4 14 4 2" xfId="55994"/>
    <cellStyle name="Заголовок 4 14 5" xfId="55995"/>
    <cellStyle name="Заголовок 4 140" xfId="55996"/>
    <cellStyle name="Заголовок 4 140 2" xfId="55997"/>
    <cellStyle name="Заголовок 4 140 3" xfId="55998"/>
    <cellStyle name="Заголовок 4 140 3 2" xfId="55999"/>
    <cellStyle name="Заголовок 4 140 3 2 2" xfId="56000"/>
    <cellStyle name="Заголовок 4 140 3 3" xfId="56001"/>
    <cellStyle name="Заголовок 4 140 4" xfId="56002"/>
    <cellStyle name="Заголовок 4 140 4 2" xfId="56003"/>
    <cellStyle name="Заголовок 4 140 5" xfId="56004"/>
    <cellStyle name="Заголовок 4 141" xfId="56005"/>
    <cellStyle name="Заголовок 4 141 2" xfId="56006"/>
    <cellStyle name="Заголовок 4 141 3" xfId="56007"/>
    <cellStyle name="Заголовок 4 141 3 2" xfId="56008"/>
    <cellStyle name="Заголовок 4 141 3 2 2" xfId="56009"/>
    <cellStyle name="Заголовок 4 141 3 3" xfId="56010"/>
    <cellStyle name="Заголовок 4 141 4" xfId="56011"/>
    <cellStyle name="Заголовок 4 141 4 2" xfId="56012"/>
    <cellStyle name="Заголовок 4 141 5" xfId="56013"/>
    <cellStyle name="Заголовок 4 142" xfId="56014"/>
    <cellStyle name="Заголовок 4 142 2" xfId="56015"/>
    <cellStyle name="Заголовок 4 142 3" xfId="56016"/>
    <cellStyle name="Заголовок 4 142 3 2" xfId="56017"/>
    <cellStyle name="Заголовок 4 142 3 2 2" xfId="56018"/>
    <cellStyle name="Заголовок 4 142 3 3" xfId="56019"/>
    <cellStyle name="Заголовок 4 142 4" xfId="56020"/>
    <cellStyle name="Заголовок 4 142 4 2" xfId="56021"/>
    <cellStyle name="Заголовок 4 142 5" xfId="56022"/>
    <cellStyle name="Заголовок 4 143" xfId="56023"/>
    <cellStyle name="Заголовок 4 143 2" xfId="56024"/>
    <cellStyle name="Заголовок 4 143 3" xfId="56025"/>
    <cellStyle name="Заголовок 4 143 3 2" xfId="56026"/>
    <cellStyle name="Заголовок 4 143 3 2 2" xfId="56027"/>
    <cellStyle name="Заголовок 4 143 3 3" xfId="56028"/>
    <cellStyle name="Заголовок 4 143 4" xfId="56029"/>
    <cellStyle name="Заголовок 4 143 4 2" xfId="56030"/>
    <cellStyle name="Заголовок 4 143 5" xfId="56031"/>
    <cellStyle name="Заголовок 4 144" xfId="56032"/>
    <cellStyle name="Заголовок 4 144 2" xfId="56033"/>
    <cellStyle name="Заголовок 4 144 3" xfId="56034"/>
    <cellStyle name="Заголовок 4 144 3 2" xfId="56035"/>
    <cellStyle name="Заголовок 4 144 3 2 2" xfId="56036"/>
    <cellStyle name="Заголовок 4 144 3 3" xfId="56037"/>
    <cellStyle name="Заголовок 4 144 4" xfId="56038"/>
    <cellStyle name="Заголовок 4 144 4 2" xfId="56039"/>
    <cellStyle name="Заголовок 4 144 5" xfId="56040"/>
    <cellStyle name="Заголовок 4 145" xfId="56041"/>
    <cellStyle name="Заголовок 4 145 2" xfId="56042"/>
    <cellStyle name="Заголовок 4 145 3" xfId="56043"/>
    <cellStyle name="Заголовок 4 145 3 2" xfId="56044"/>
    <cellStyle name="Заголовок 4 145 3 2 2" xfId="56045"/>
    <cellStyle name="Заголовок 4 145 3 3" xfId="56046"/>
    <cellStyle name="Заголовок 4 145 4" xfId="56047"/>
    <cellStyle name="Заголовок 4 145 4 2" xfId="56048"/>
    <cellStyle name="Заголовок 4 145 5" xfId="56049"/>
    <cellStyle name="Заголовок 4 146" xfId="56050"/>
    <cellStyle name="Заголовок 4 146 2" xfId="56051"/>
    <cellStyle name="Заголовок 4 146 3" xfId="56052"/>
    <cellStyle name="Заголовок 4 146 3 2" xfId="56053"/>
    <cellStyle name="Заголовок 4 146 3 2 2" xfId="56054"/>
    <cellStyle name="Заголовок 4 146 3 3" xfId="56055"/>
    <cellStyle name="Заголовок 4 146 4" xfId="56056"/>
    <cellStyle name="Заголовок 4 146 4 2" xfId="56057"/>
    <cellStyle name="Заголовок 4 146 5" xfId="56058"/>
    <cellStyle name="Заголовок 4 147" xfId="56059"/>
    <cellStyle name="Заголовок 4 147 2" xfId="56060"/>
    <cellStyle name="Заголовок 4 147 3" xfId="56061"/>
    <cellStyle name="Заголовок 4 147 3 2" xfId="56062"/>
    <cellStyle name="Заголовок 4 147 3 2 2" xfId="56063"/>
    <cellStyle name="Заголовок 4 147 3 3" xfId="56064"/>
    <cellStyle name="Заголовок 4 147 4" xfId="56065"/>
    <cellStyle name="Заголовок 4 147 4 2" xfId="56066"/>
    <cellStyle name="Заголовок 4 147 5" xfId="56067"/>
    <cellStyle name="Заголовок 4 148" xfId="56068"/>
    <cellStyle name="Заголовок 4 148 2" xfId="56069"/>
    <cellStyle name="Заголовок 4 148 3" xfId="56070"/>
    <cellStyle name="Заголовок 4 148 3 2" xfId="56071"/>
    <cellStyle name="Заголовок 4 148 3 2 2" xfId="56072"/>
    <cellStyle name="Заголовок 4 148 3 3" xfId="56073"/>
    <cellStyle name="Заголовок 4 148 4" xfId="56074"/>
    <cellStyle name="Заголовок 4 148 4 2" xfId="56075"/>
    <cellStyle name="Заголовок 4 148 5" xfId="56076"/>
    <cellStyle name="Заголовок 4 149" xfId="56077"/>
    <cellStyle name="Заголовок 4 149 2" xfId="56078"/>
    <cellStyle name="Заголовок 4 149 3" xfId="56079"/>
    <cellStyle name="Заголовок 4 149 3 2" xfId="56080"/>
    <cellStyle name="Заголовок 4 149 3 2 2" xfId="56081"/>
    <cellStyle name="Заголовок 4 149 3 3" xfId="56082"/>
    <cellStyle name="Заголовок 4 149 4" xfId="56083"/>
    <cellStyle name="Заголовок 4 149 4 2" xfId="56084"/>
    <cellStyle name="Заголовок 4 149 5" xfId="56085"/>
    <cellStyle name="Заголовок 4 15" xfId="56086"/>
    <cellStyle name="Заголовок 4 15 2" xfId="56087"/>
    <cellStyle name="Заголовок 4 15 3" xfId="56088"/>
    <cellStyle name="Заголовок 4 15 3 2" xfId="56089"/>
    <cellStyle name="Заголовок 4 15 3 2 2" xfId="56090"/>
    <cellStyle name="Заголовок 4 15 3 3" xfId="56091"/>
    <cellStyle name="Заголовок 4 15 4" xfId="56092"/>
    <cellStyle name="Заголовок 4 15 4 2" xfId="56093"/>
    <cellStyle name="Заголовок 4 15 5" xfId="56094"/>
    <cellStyle name="Заголовок 4 150" xfId="56095"/>
    <cellStyle name="Заголовок 4 150 2" xfId="56096"/>
    <cellStyle name="Заголовок 4 150 3" xfId="56097"/>
    <cellStyle name="Заголовок 4 150 3 2" xfId="56098"/>
    <cellStyle name="Заголовок 4 150 3 2 2" xfId="56099"/>
    <cellStyle name="Заголовок 4 150 3 3" xfId="56100"/>
    <cellStyle name="Заголовок 4 150 4" xfId="56101"/>
    <cellStyle name="Заголовок 4 150 4 2" xfId="56102"/>
    <cellStyle name="Заголовок 4 150 5" xfId="56103"/>
    <cellStyle name="Заголовок 4 151" xfId="56104"/>
    <cellStyle name="Заголовок 4 151 2" xfId="56105"/>
    <cellStyle name="Заголовок 4 151 3" xfId="56106"/>
    <cellStyle name="Заголовок 4 151 3 2" xfId="56107"/>
    <cellStyle name="Заголовок 4 151 3 2 2" xfId="56108"/>
    <cellStyle name="Заголовок 4 151 3 3" xfId="56109"/>
    <cellStyle name="Заголовок 4 151 4" xfId="56110"/>
    <cellStyle name="Заголовок 4 151 4 2" xfId="56111"/>
    <cellStyle name="Заголовок 4 151 5" xfId="56112"/>
    <cellStyle name="Заголовок 4 152" xfId="56113"/>
    <cellStyle name="Заголовок 4 152 2" xfId="56114"/>
    <cellStyle name="Заголовок 4 152 3" xfId="56115"/>
    <cellStyle name="Заголовок 4 152 3 2" xfId="56116"/>
    <cellStyle name="Заголовок 4 152 3 2 2" xfId="56117"/>
    <cellStyle name="Заголовок 4 152 3 3" xfId="56118"/>
    <cellStyle name="Заголовок 4 152 4" xfId="56119"/>
    <cellStyle name="Заголовок 4 152 4 2" xfId="56120"/>
    <cellStyle name="Заголовок 4 152 5" xfId="56121"/>
    <cellStyle name="Заголовок 4 153" xfId="56122"/>
    <cellStyle name="Заголовок 4 16" xfId="56123"/>
    <cellStyle name="Заголовок 4 16 2" xfId="56124"/>
    <cellStyle name="Заголовок 4 16 3" xfId="56125"/>
    <cellStyle name="Заголовок 4 16 3 2" xfId="56126"/>
    <cellStyle name="Заголовок 4 16 3 2 2" xfId="56127"/>
    <cellStyle name="Заголовок 4 16 3 3" xfId="56128"/>
    <cellStyle name="Заголовок 4 16 4" xfId="56129"/>
    <cellStyle name="Заголовок 4 16 4 2" xfId="56130"/>
    <cellStyle name="Заголовок 4 16 5" xfId="56131"/>
    <cellStyle name="Заголовок 4 17" xfId="56132"/>
    <cellStyle name="Заголовок 4 17 2" xfId="56133"/>
    <cellStyle name="Заголовок 4 17 3" xfId="56134"/>
    <cellStyle name="Заголовок 4 17 3 2" xfId="56135"/>
    <cellStyle name="Заголовок 4 17 3 2 2" xfId="56136"/>
    <cellStyle name="Заголовок 4 17 3 3" xfId="56137"/>
    <cellStyle name="Заголовок 4 17 4" xfId="56138"/>
    <cellStyle name="Заголовок 4 17 4 2" xfId="56139"/>
    <cellStyle name="Заголовок 4 17 5" xfId="56140"/>
    <cellStyle name="Заголовок 4 18" xfId="56141"/>
    <cellStyle name="Заголовок 4 18 2" xfId="56142"/>
    <cellStyle name="Заголовок 4 18 3" xfId="56143"/>
    <cellStyle name="Заголовок 4 18 3 2" xfId="56144"/>
    <cellStyle name="Заголовок 4 18 3 2 2" xfId="56145"/>
    <cellStyle name="Заголовок 4 18 3 3" xfId="56146"/>
    <cellStyle name="Заголовок 4 18 4" xfId="56147"/>
    <cellStyle name="Заголовок 4 18 4 2" xfId="56148"/>
    <cellStyle name="Заголовок 4 18 5" xfId="56149"/>
    <cellStyle name="Заголовок 4 19" xfId="56150"/>
    <cellStyle name="Заголовок 4 19 2" xfId="56151"/>
    <cellStyle name="Заголовок 4 19 3" xfId="56152"/>
    <cellStyle name="Заголовок 4 19 3 2" xfId="56153"/>
    <cellStyle name="Заголовок 4 19 3 2 2" xfId="56154"/>
    <cellStyle name="Заголовок 4 19 3 3" xfId="56155"/>
    <cellStyle name="Заголовок 4 19 4" xfId="56156"/>
    <cellStyle name="Заголовок 4 19 4 2" xfId="56157"/>
    <cellStyle name="Заголовок 4 19 5" xfId="56158"/>
    <cellStyle name="Заголовок 4 2" xfId="56159"/>
    <cellStyle name="Заголовок 4 2 2" xfId="56160"/>
    <cellStyle name="Заголовок 4 2 2 10" xfId="56161"/>
    <cellStyle name="Заголовок 4 2 2 10 2" xfId="56162"/>
    <cellStyle name="Заголовок 4 2 2 10 3" xfId="56163"/>
    <cellStyle name="Заголовок 4 2 2 10 3 2" xfId="56164"/>
    <cellStyle name="Заголовок 4 2 2 10 3 2 2" xfId="56165"/>
    <cellStyle name="Заголовок 4 2 2 10 3 3" xfId="56166"/>
    <cellStyle name="Заголовок 4 2 2 10 4" xfId="56167"/>
    <cellStyle name="Заголовок 4 2 2 10 4 2" xfId="56168"/>
    <cellStyle name="Заголовок 4 2 2 10 5" xfId="56169"/>
    <cellStyle name="Заголовок 4 2 2 11" xfId="56170"/>
    <cellStyle name="Заголовок 4 2 2 11 2" xfId="56171"/>
    <cellStyle name="Заголовок 4 2 2 11 3" xfId="56172"/>
    <cellStyle name="Заголовок 4 2 2 11 3 2" xfId="56173"/>
    <cellStyle name="Заголовок 4 2 2 11 3 2 2" xfId="56174"/>
    <cellStyle name="Заголовок 4 2 2 11 3 3" xfId="56175"/>
    <cellStyle name="Заголовок 4 2 2 11 4" xfId="56176"/>
    <cellStyle name="Заголовок 4 2 2 11 4 2" xfId="56177"/>
    <cellStyle name="Заголовок 4 2 2 11 5" xfId="56178"/>
    <cellStyle name="Заголовок 4 2 2 12" xfId="56179"/>
    <cellStyle name="Заголовок 4 2 2 12 2" xfId="56180"/>
    <cellStyle name="Заголовок 4 2 2 12 3" xfId="56181"/>
    <cellStyle name="Заголовок 4 2 2 12 3 2" xfId="56182"/>
    <cellStyle name="Заголовок 4 2 2 12 3 2 2" xfId="56183"/>
    <cellStyle name="Заголовок 4 2 2 12 3 3" xfId="56184"/>
    <cellStyle name="Заголовок 4 2 2 12 4" xfId="56185"/>
    <cellStyle name="Заголовок 4 2 2 12 4 2" xfId="56186"/>
    <cellStyle name="Заголовок 4 2 2 12 5" xfId="56187"/>
    <cellStyle name="Заголовок 4 2 2 13" xfId="56188"/>
    <cellStyle name="Заголовок 4 2 2 13 2" xfId="56189"/>
    <cellStyle name="Заголовок 4 2 2 13 3" xfId="56190"/>
    <cellStyle name="Заголовок 4 2 2 13 3 2" xfId="56191"/>
    <cellStyle name="Заголовок 4 2 2 13 3 2 2" xfId="56192"/>
    <cellStyle name="Заголовок 4 2 2 13 3 3" xfId="56193"/>
    <cellStyle name="Заголовок 4 2 2 13 4" xfId="56194"/>
    <cellStyle name="Заголовок 4 2 2 13 4 2" xfId="56195"/>
    <cellStyle name="Заголовок 4 2 2 13 5" xfId="56196"/>
    <cellStyle name="Заголовок 4 2 2 14" xfId="56197"/>
    <cellStyle name="Заголовок 4 2 2 15" xfId="56198"/>
    <cellStyle name="Заголовок 4 2 2 15 2" xfId="56199"/>
    <cellStyle name="Заголовок 4 2 2 15 2 2" xfId="56200"/>
    <cellStyle name="Заголовок 4 2 2 15 3" xfId="56201"/>
    <cellStyle name="Заголовок 4 2 2 16" xfId="56202"/>
    <cellStyle name="Заголовок 4 2 2 16 2" xfId="56203"/>
    <cellStyle name="Заголовок 4 2 2 17" xfId="56204"/>
    <cellStyle name="Заголовок 4 2 2 2" xfId="56205"/>
    <cellStyle name="Заголовок 4 2 2 2 2" xfId="56206"/>
    <cellStyle name="Заголовок 4 2 2 2 3" xfId="56207"/>
    <cellStyle name="Заголовок 4 2 2 2 3 2" xfId="56208"/>
    <cellStyle name="Заголовок 4 2 2 2 3 2 2" xfId="56209"/>
    <cellStyle name="Заголовок 4 2 2 2 3 3" xfId="56210"/>
    <cellStyle name="Заголовок 4 2 2 2 4" xfId="56211"/>
    <cellStyle name="Заголовок 4 2 2 2 4 2" xfId="56212"/>
    <cellStyle name="Заголовок 4 2 2 2 5" xfId="56213"/>
    <cellStyle name="Заголовок 4 2 2 3" xfId="56214"/>
    <cellStyle name="Заголовок 4 2 2 3 2" xfId="56215"/>
    <cellStyle name="Заголовок 4 2 2 3 3" xfId="56216"/>
    <cellStyle name="Заголовок 4 2 2 3 3 2" xfId="56217"/>
    <cellStyle name="Заголовок 4 2 2 3 3 2 2" xfId="56218"/>
    <cellStyle name="Заголовок 4 2 2 3 3 3" xfId="56219"/>
    <cellStyle name="Заголовок 4 2 2 3 4" xfId="56220"/>
    <cellStyle name="Заголовок 4 2 2 3 4 2" xfId="56221"/>
    <cellStyle name="Заголовок 4 2 2 3 5" xfId="56222"/>
    <cellStyle name="Заголовок 4 2 2 4" xfId="56223"/>
    <cellStyle name="Заголовок 4 2 2 4 2" xfId="56224"/>
    <cellStyle name="Заголовок 4 2 2 4 3" xfId="56225"/>
    <cellStyle name="Заголовок 4 2 2 4 3 2" xfId="56226"/>
    <cellStyle name="Заголовок 4 2 2 4 3 2 2" xfId="56227"/>
    <cellStyle name="Заголовок 4 2 2 4 3 3" xfId="56228"/>
    <cellStyle name="Заголовок 4 2 2 4 4" xfId="56229"/>
    <cellStyle name="Заголовок 4 2 2 4 4 2" xfId="56230"/>
    <cellStyle name="Заголовок 4 2 2 4 5" xfId="56231"/>
    <cellStyle name="Заголовок 4 2 2 5" xfId="56232"/>
    <cellStyle name="Заголовок 4 2 2 5 2" xfId="56233"/>
    <cellStyle name="Заголовок 4 2 2 5 3" xfId="56234"/>
    <cellStyle name="Заголовок 4 2 2 5 3 2" xfId="56235"/>
    <cellStyle name="Заголовок 4 2 2 5 3 2 2" xfId="56236"/>
    <cellStyle name="Заголовок 4 2 2 5 3 3" xfId="56237"/>
    <cellStyle name="Заголовок 4 2 2 5 4" xfId="56238"/>
    <cellStyle name="Заголовок 4 2 2 5 4 2" xfId="56239"/>
    <cellStyle name="Заголовок 4 2 2 5 5" xfId="56240"/>
    <cellStyle name="Заголовок 4 2 2 6" xfId="56241"/>
    <cellStyle name="Заголовок 4 2 2 6 2" xfId="56242"/>
    <cellStyle name="Заголовок 4 2 2 6 3" xfId="56243"/>
    <cellStyle name="Заголовок 4 2 2 6 3 2" xfId="56244"/>
    <cellStyle name="Заголовок 4 2 2 6 3 2 2" xfId="56245"/>
    <cellStyle name="Заголовок 4 2 2 6 3 3" xfId="56246"/>
    <cellStyle name="Заголовок 4 2 2 6 4" xfId="56247"/>
    <cellStyle name="Заголовок 4 2 2 6 4 2" xfId="56248"/>
    <cellStyle name="Заголовок 4 2 2 6 5" xfId="56249"/>
    <cellStyle name="Заголовок 4 2 2 7" xfId="56250"/>
    <cellStyle name="Заголовок 4 2 2 7 2" xfId="56251"/>
    <cellStyle name="Заголовок 4 2 2 7 3" xfId="56252"/>
    <cellStyle name="Заголовок 4 2 2 7 3 2" xfId="56253"/>
    <cellStyle name="Заголовок 4 2 2 7 3 2 2" xfId="56254"/>
    <cellStyle name="Заголовок 4 2 2 7 3 3" xfId="56255"/>
    <cellStyle name="Заголовок 4 2 2 7 4" xfId="56256"/>
    <cellStyle name="Заголовок 4 2 2 7 4 2" xfId="56257"/>
    <cellStyle name="Заголовок 4 2 2 7 5" xfId="56258"/>
    <cellStyle name="Заголовок 4 2 2 8" xfId="56259"/>
    <cellStyle name="Заголовок 4 2 2 8 2" xfId="56260"/>
    <cellStyle name="Заголовок 4 2 2 8 3" xfId="56261"/>
    <cellStyle name="Заголовок 4 2 2 8 3 2" xfId="56262"/>
    <cellStyle name="Заголовок 4 2 2 8 3 2 2" xfId="56263"/>
    <cellStyle name="Заголовок 4 2 2 8 3 3" xfId="56264"/>
    <cellStyle name="Заголовок 4 2 2 8 4" xfId="56265"/>
    <cellStyle name="Заголовок 4 2 2 8 4 2" xfId="56266"/>
    <cellStyle name="Заголовок 4 2 2 8 5" xfId="56267"/>
    <cellStyle name="Заголовок 4 2 2 9" xfId="56268"/>
    <cellStyle name="Заголовок 4 2 2 9 2" xfId="56269"/>
    <cellStyle name="Заголовок 4 2 2 9 3" xfId="56270"/>
    <cellStyle name="Заголовок 4 2 2 9 3 2" xfId="56271"/>
    <cellStyle name="Заголовок 4 2 2 9 3 2 2" xfId="56272"/>
    <cellStyle name="Заголовок 4 2 2 9 3 3" xfId="56273"/>
    <cellStyle name="Заголовок 4 2 2 9 4" xfId="56274"/>
    <cellStyle name="Заголовок 4 2 2 9 4 2" xfId="56275"/>
    <cellStyle name="Заголовок 4 2 2 9 5" xfId="56276"/>
    <cellStyle name="Заголовок 4 2 3" xfId="56277"/>
    <cellStyle name="Заголовок 4 2 3 2" xfId="56278"/>
    <cellStyle name="Заголовок 4 2 3 3" xfId="56279"/>
    <cellStyle name="Заголовок 4 2 3 3 2" xfId="56280"/>
    <cellStyle name="Заголовок 4 2 3 3 2 2" xfId="56281"/>
    <cellStyle name="Заголовок 4 2 3 3 3" xfId="56282"/>
    <cellStyle name="Заголовок 4 2 3 4" xfId="56283"/>
    <cellStyle name="Заголовок 4 2 3 4 2" xfId="56284"/>
    <cellStyle name="Заголовок 4 2 3 5" xfId="56285"/>
    <cellStyle name="Заголовок 4 2 4" xfId="56286"/>
    <cellStyle name="Заголовок 4 2 5" xfId="56287"/>
    <cellStyle name="Заголовок 4 2 5 2" xfId="56288"/>
    <cellStyle name="Заголовок 4 2 5 2 2" xfId="56289"/>
    <cellStyle name="Заголовок 4 2 5 3" xfId="56290"/>
    <cellStyle name="Заголовок 4 2 6" xfId="56291"/>
    <cellStyle name="Заголовок 4 2 6 2" xfId="56292"/>
    <cellStyle name="Заголовок 4 2 7" xfId="56293"/>
    <cellStyle name="Заголовок 4 20" xfId="56294"/>
    <cellStyle name="Заголовок 4 20 2" xfId="56295"/>
    <cellStyle name="Заголовок 4 20 3" xfId="56296"/>
    <cellStyle name="Заголовок 4 20 3 2" xfId="56297"/>
    <cellStyle name="Заголовок 4 20 3 2 2" xfId="56298"/>
    <cellStyle name="Заголовок 4 20 3 3" xfId="56299"/>
    <cellStyle name="Заголовок 4 20 4" xfId="56300"/>
    <cellStyle name="Заголовок 4 20 4 2" xfId="56301"/>
    <cellStyle name="Заголовок 4 20 5" xfId="56302"/>
    <cellStyle name="Заголовок 4 21" xfId="56303"/>
    <cellStyle name="Заголовок 4 21 2" xfId="56304"/>
    <cellStyle name="Заголовок 4 21 3" xfId="56305"/>
    <cellStyle name="Заголовок 4 21 3 2" xfId="56306"/>
    <cellStyle name="Заголовок 4 21 3 2 2" xfId="56307"/>
    <cellStyle name="Заголовок 4 21 3 3" xfId="56308"/>
    <cellStyle name="Заголовок 4 21 4" xfId="56309"/>
    <cellStyle name="Заголовок 4 21 4 2" xfId="56310"/>
    <cellStyle name="Заголовок 4 21 5" xfId="56311"/>
    <cellStyle name="Заголовок 4 22" xfId="56312"/>
    <cellStyle name="Заголовок 4 22 2" xfId="56313"/>
    <cellStyle name="Заголовок 4 22 3" xfId="56314"/>
    <cellStyle name="Заголовок 4 22 3 2" xfId="56315"/>
    <cellStyle name="Заголовок 4 22 3 2 2" xfId="56316"/>
    <cellStyle name="Заголовок 4 22 3 3" xfId="56317"/>
    <cellStyle name="Заголовок 4 22 4" xfId="56318"/>
    <cellStyle name="Заголовок 4 22 4 2" xfId="56319"/>
    <cellStyle name="Заголовок 4 22 5" xfId="56320"/>
    <cellStyle name="Заголовок 4 23" xfId="56321"/>
    <cellStyle name="Заголовок 4 23 2" xfId="56322"/>
    <cellStyle name="Заголовок 4 23 3" xfId="56323"/>
    <cellStyle name="Заголовок 4 23 3 2" xfId="56324"/>
    <cellStyle name="Заголовок 4 23 3 2 2" xfId="56325"/>
    <cellStyle name="Заголовок 4 23 3 3" xfId="56326"/>
    <cellStyle name="Заголовок 4 23 4" xfId="56327"/>
    <cellStyle name="Заголовок 4 23 4 2" xfId="56328"/>
    <cellStyle name="Заголовок 4 23 5" xfId="56329"/>
    <cellStyle name="Заголовок 4 24" xfId="56330"/>
    <cellStyle name="Заголовок 4 24 2" xfId="56331"/>
    <cellStyle name="Заголовок 4 24 3" xfId="56332"/>
    <cellStyle name="Заголовок 4 24 3 2" xfId="56333"/>
    <cellStyle name="Заголовок 4 24 3 2 2" xfId="56334"/>
    <cellStyle name="Заголовок 4 24 3 3" xfId="56335"/>
    <cellStyle name="Заголовок 4 24 4" xfId="56336"/>
    <cellStyle name="Заголовок 4 24 4 2" xfId="56337"/>
    <cellStyle name="Заголовок 4 24 5" xfId="56338"/>
    <cellStyle name="Заголовок 4 25" xfId="56339"/>
    <cellStyle name="Заголовок 4 25 2" xfId="56340"/>
    <cellStyle name="Заголовок 4 25 3" xfId="56341"/>
    <cellStyle name="Заголовок 4 25 3 2" xfId="56342"/>
    <cellStyle name="Заголовок 4 25 3 2 2" xfId="56343"/>
    <cellStyle name="Заголовок 4 25 3 3" xfId="56344"/>
    <cellStyle name="Заголовок 4 25 4" xfId="56345"/>
    <cellStyle name="Заголовок 4 25 4 2" xfId="56346"/>
    <cellStyle name="Заголовок 4 25 5" xfId="56347"/>
    <cellStyle name="Заголовок 4 26" xfId="56348"/>
    <cellStyle name="Заголовок 4 26 2" xfId="56349"/>
    <cellStyle name="Заголовок 4 26 3" xfId="56350"/>
    <cellStyle name="Заголовок 4 26 3 2" xfId="56351"/>
    <cellStyle name="Заголовок 4 26 3 2 2" xfId="56352"/>
    <cellStyle name="Заголовок 4 26 3 3" xfId="56353"/>
    <cellStyle name="Заголовок 4 26 4" xfId="56354"/>
    <cellStyle name="Заголовок 4 26 4 2" xfId="56355"/>
    <cellStyle name="Заголовок 4 26 5" xfId="56356"/>
    <cellStyle name="Заголовок 4 27" xfId="56357"/>
    <cellStyle name="Заголовок 4 27 2" xfId="56358"/>
    <cellStyle name="Заголовок 4 27 3" xfId="56359"/>
    <cellStyle name="Заголовок 4 27 3 2" xfId="56360"/>
    <cellStyle name="Заголовок 4 27 3 2 2" xfId="56361"/>
    <cellStyle name="Заголовок 4 27 3 3" xfId="56362"/>
    <cellStyle name="Заголовок 4 27 4" xfId="56363"/>
    <cellStyle name="Заголовок 4 27 4 2" xfId="56364"/>
    <cellStyle name="Заголовок 4 27 5" xfId="56365"/>
    <cellStyle name="Заголовок 4 28" xfId="56366"/>
    <cellStyle name="Заголовок 4 28 2" xfId="56367"/>
    <cellStyle name="Заголовок 4 28 3" xfId="56368"/>
    <cellStyle name="Заголовок 4 28 3 2" xfId="56369"/>
    <cellStyle name="Заголовок 4 28 3 2 2" xfId="56370"/>
    <cellStyle name="Заголовок 4 28 3 3" xfId="56371"/>
    <cellStyle name="Заголовок 4 28 4" xfId="56372"/>
    <cellStyle name="Заголовок 4 28 4 2" xfId="56373"/>
    <cellStyle name="Заголовок 4 28 5" xfId="56374"/>
    <cellStyle name="Заголовок 4 29" xfId="56375"/>
    <cellStyle name="Заголовок 4 29 2" xfId="56376"/>
    <cellStyle name="Заголовок 4 29 3" xfId="56377"/>
    <cellStyle name="Заголовок 4 29 3 2" xfId="56378"/>
    <cellStyle name="Заголовок 4 29 3 2 2" xfId="56379"/>
    <cellStyle name="Заголовок 4 29 3 3" xfId="56380"/>
    <cellStyle name="Заголовок 4 29 4" xfId="56381"/>
    <cellStyle name="Заголовок 4 29 4 2" xfId="56382"/>
    <cellStyle name="Заголовок 4 29 5" xfId="56383"/>
    <cellStyle name="Заголовок 4 3" xfId="56384"/>
    <cellStyle name="Заголовок 4 3 2" xfId="56385"/>
    <cellStyle name="Заголовок 4 3 3" xfId="56386"/>
    <cellStyle name="Заголовок 4 3 3 2" xfId="56387"/>
    <cellStyle name="Заголовок 4 3 3 2 2" xfId="56388"/>
    <cellStyle name="Заголовок 4 3 3 3" xfId="56389"/>
    <cellStyle name="Заголовок 4 3 4" xfId="56390"/>
    <cellStyle name="Заголовок 4 3 4 2" xfId="56391"/>
    <cellStyle name="Заголовок 4 3 5" xfId="56392"/>
    <cellStyle name="Заголовок 4 30" xfId="56393"/>
    <cellStyle name="Заголовок 4 30 2" xfId="56394"/>
    <cellStyle name="Заголовок 4 30 3" xfId="56395"/>
    <cellStyle name="Заголовок 4 30 3 2" xfId="56396"/>
    <cellStyle name="Заголовок 4 30 3 2 2" xfId="56397"/>
    <cellStyle name="Заголовок 4 30 3 3" xfId="56398"/>
    <cellStyle name="Заголовок 4 30 4" xfId="56399"/>
    <cellStyle name="Заголовок 4 30 4 2" xfId="56400"/>
    <cellStyle name="Заголовок 4 30 5" xfId="56401"/>
    <cellStyle name="Заголовок 4 31" xfId="56402"/>
    <cellStyle name="Заголовок 4 31 2" xfId="56403"/>
    <cellStyle name="Заголовок 4 31 3" xfId="56404"/>
    <cellStyle name="Заголовок 4 31 3 2" xfId="56405"/>
    <cellStyle name="Заголовок 4 31 3 2 2" xfId="56406"/>
    <cellStyle name="Заголовок 4 31 3 3" xfId="56407"/>
    <cellStyle name="Заголовок 4 31 4" xfId="56408"/>
    <cellStyle name="Заголовок 4 31 4 2" xfId="56409"/>
    <cellStyle name="Заголовок 4 31 5" xfId="56410"/>
    <cellStyle name="Заголовок 4 32" xfId="56411"/>
    <cellStyle name="Заголовок 4 32 2" xfId="56412"/>
    <cellStyle name="Заголовок 4 32 3" xfId="56413"/>
    <cellStyle name="Заголовок 4 32 3 2" xfId="56414"/>
    <cellStyle name="Заголовок 4 32 3 2 2" xfId="56415"/>
    <cellStyle name="Заголовок 4 32 3 3" xfId="56416"/>
    <cellStyle name="Заголовок 4 32 4" xfId="56417"/>
    <cellStyle name="Заголовок 4 32 4 2" xfId="56418"/>
    <cellStyle name="Заголовок 4 32 5" xfId="56419"/>
    <cellStyle name="Заголовок 4 33" xfId="56420"/>
    <cellStyle name="Заголовок 4 33 2" xfId="56421"/>
    <cellStyle name="Заголовок 4 33 3" xfId="56422"/>
    <cellStyle name="Заголовок 4 33 3 2" xfId="56423"/>
    <cellStyle name="Заголовок 4 33 3 2 2" xfId="56424"/>
    <cellStyle name="Заголовок 4 33 3 3" xfId="56425"/>
    <cellStyle name="Заголовок 4 33 4" xfId="56426"/>
    <cellStyle name="Заголовок 4 33 4 2" xfId="56427"/>
    <cellStyle name="Заголовок 4 33 5" xfId="56428"/>
    <cellStyle name="Заголовок 4 34" xfId="56429"/>
    <cellStyle name="Заголовок 4 34 2" xfId="56430"/>
    <cellStyle name="Заголовок 4 34 3" xfId="56431"/>
    <cellStyle name="Заголовок 4 34 3 2" xfId="56432"/>
    <cellStyle name="Заголовок 4 34 3 2 2" xfId="56433"/>
    <cellStyle name="Заголовок 4 34 3 3" xfId="56434"/>
    <cellStyle name="Заголовок 4 34 4" xfId="56435"/>
    <cellStyle name="Заголовок 4 34 4 2" xfId="56436"/>
    <cellStyle name="Заголовок 4 34 5" xfId="56437"/>
    <cellStyle name="Заголовок 4 35" xfId="56438"/>
    <cellStyle name="Заголовок 4 35 2" xfId="56439"/>
    <cellStyle name="Заголовок 4 35 3" xfId="56440"/>
    <cellStyle name="Заголовок 4 35 3 2" xfId="56441"/>
    <cellStyle name="Заголовок 4 35 3 2 2" xfId="56442"/>
    <cellStyle name="Заголовок 4 35 3 3" xfId="56443"/>
    <cellStyle name="Заголовок 4 35 4" xfId="56444"/>
    <cellStyle name="Заголовок 4 35 4 2" xfId="56445"/>
    <cellStyle name="Заголовок 4 35 5" xfId="56446"/>
    <cellStyle name="Заголовок 4 36" xfId="56447"/>
    <cellStyle name="Заголовок 4 36 2" xfId="56448"/>
    <cellStyle name="Заголовок 4 36 3" xfId="56449"/>
    <cellStyle name="Заголовок 4 36 3 2" xfId="56450"/>
    <cellStyle name="Заголовок 4 36 3 2 2" xfId="56451"/>
    <cellStyle name="Заголовок 4 36 3 3" xfId="56452"/>
    <cellStyle name="Заголовок 4 36 4" xfId="56453"/>
    <cellStyle name="Заголовок 4 36 4 2" xfId="56454"/>
    <cellStyle name="Заголовок 4 36 5" xfId="56455"/>
    <cellStyle name="Заголовок 4 37" xfId="56456"/>
    <cellStyle name="Заголовок 4 37 2" xfId="56457"/>
    <cellStyle name="Заголовок 4 37 3" xfId="56458"/>
    <cellStyle name="Заголовок 4 37 3 2" xfId="56459"/>
    <cellStyle name="Заголовок 4 37 3 2 2" xfId="56460"/>
    <cellStyle name="Заголовок 4 37 3 3" xfId="56461"/>
    <cellStyle name="Заголовок 4 37 4" xfId="56462"/>
    <cellStyle name="Заголовок 4 37 4 2" xfId="56463"/>
    <cellStyle name="Заголовок 4 37 5" xfId="56464"/>
    <cellStyle name="Заголовок 4 38" xfId="56465"/>
    <cellStyle name="Заголовок 4 38 2" xfId="56466"/>
    <cellStyle name="Заголовок 4 38 3" xfId="56467"/>
    <cellStyle name="Заголовок 4 38 3 2" xfId="56468"/>
    <cellStyle name="Заголовок 4 38 3 2 2" xfId="56469"/>
    <cellStyle name="Заголовок 4 38 3 3" xfId="56470"/>
    <cellStyle name="Заголовок 4 38 4" xfId="56471"/>
    <cellStyle name="Заголовок 4 38 4 2" xfId="56472"/>
    <cellStyle name="Заголовок 4 38 5" xfId="56473"/>
    <cellStyle name="Заголовок 4 39" xfId="56474"/>
    <cellStyle name="Заголовок 4 39 2" xfId="56475"/>
    <cellStyle name="Заголовок 4 39 3" xfId="56476"/>
    <cellStyle name="Заголовок 4 39 3 2" xfId="56477"/>
    <cellStyle name="Заголовок 4 39 3 2 2" xfId="56478"/>
    <cellStyle name="Заголовок 4 39 3 3" xfId="56479"/>
    <cellStyle name="Заголовок 4 39 4" xfId="56480"/>
    <cellStyle name="Заголовок 4 39 4 2" xfId="56481"/>
    <cellStyle name="Заголовок 4 39 5" xfId="56482"/>
    <cellStyle name="Заголовок 4 4" xfId="56483"/>
    <cellStyle name="Заголовок 4 4 2" xfId="56484"/>
    <cellStyle name="Заголовок 4 4 3" xfId="56485"/>
    <cellStyle name="Заголовок 4 4 3 2" xfId="56486"/>
    <cellStyle name="Заголовок 4 4 3 2 2" xfId="56487"/>
    <cellStyle name="Заголовок 4 4 3 3" xfId="56488"/>
    <cellStyle name="Заголовок 4 4 4" xfId="56489"/>
    <cellStyle name="Заголовок 4 4 4 2" xfId="56490"/>
    <cellStyle name="Заголовок 4 4 5" xfId="56491"/>
    <cellStyle name="Заголовок 4 40" xfId="56492"/>
    <cellStyle name="Заголовок 4 40 2" xfId="56493"/>
    <cellStyle name="Заголовок 4 40 3" xfId="56494"/>
    <cellStyle name="Заголовок 4 40 3 2" xfId="56495"/>
    <cellStyle name="Заголовок 4 40 3 2 2" xfId="56496"/>
    <cellStyle name="Заголовок 4 40 3 3" xfId="56497"/>
    <cellStyle name="Заголовок 4 40 4" xfId="56498"/>
    <cellStyle name="Заголовок 4 40 4 2" xfId="56499"/>
    <cellStyle name="Заголовок 4 40 5" xfId="56500"/>
    <cellStyle name="Заголовок 4 41" xfId="56501"/>
    <cellStyle name="Заголовок 4 41 2" xfId="56502"/>
    <cellStyle name="Заголовок 4 41 3" xfId="56503"/>
    <cellStyle name="Заголовок 4 41 3 2" xfId="56504"/>
    <cellStyle name="Заголовок 4 41 3 2 2" xfId="56505"/>
    <cellStyle name="Заголовок 4 41 3 3" xfId="56506"/>
    <cellStyle name="Заголовок 4 41 4" xfId="56507"/>
    <cellStyle name="Заголовок 4 41 4 2" xfId="56508"/>
    <cellStyle name="Заголовок 4 41 5" xfId="56509"/>
    <cellStyle name="Заголовок 4 42" xfId="56510"/>
    <cellStyle name="Заголовок 4 42 2" xfId="56511"/>
    <cellStyle name="Заголовок 4 42 3" xfId="56512"/>
    <cellStyle name="Заголовок 4 42 3 2" xfId="56513"/>
    <cellStyle name="Заголовок 4 42 3 2 2" xfId="56514"/>
    <cellStyle name="Заголовок 4 42 3 3" xfId="56515"/>
    <cellStyle name="Заголовок 4 42 4" xfId="56516"/>
    <cellStyle name="Заголовок 4 42 4 2" xfId="56517"/>
    <cellStyle name="Заголовок 4 42 5" xfId="56518"/>
    <cellStyle name="Заголовок 4 43" xfId="56519"/>
    <cellStyle name="Заголовок 4 43 2" xfId="56520"/>
    <cellStyle name="Заголовок 4 43 3" xfId="56521"/>
    <cellStyle name="Заголовок 4 43 3 2" xfId="56522"/>
    <cellStyle name="Заголовок 4 43 3 2 2" xfId="56523"/>
    <cellStyle name="Заголовок 4 43 3 3" xfId="56524"/>
    <cellStyle name="Заголовок 4 43 4" xfId="56525"/>
    <cellStyle name="Заголовок 4 43 4 2" xfId="56526"/>
    <cellStyle name="Заголовок 4 43 5" xfId="56527"/>
    <cellStyle name="Заголовок 4 44" xfId="56528"/>
    <cellStyle name="Заголовок 4 44 2" xfId="56529"/>
    <cellStyle name="Заголовок 4 44 3" xfId="56530"/>
    <cellStyle name="Заголовок 4 44 3 2" xfId="56531"/>
    <cellStyle name="Заголовок 4 44 3 2 2" xfId="56532"/>
    <cellStyle name="Заголовок 4 44 3 3" xfId="56533"/>
    <cellStyle name="Заголовок 4 44 4" xfId="56534"/>
    <cellStyle name="Заголовок 4 44 4 2" xfId="56535"/>
    <cellStyle name="Заголовок 4 44 5" xfId="56536"/>
    <cellStyle name="Заголовок 4 45" xfId="56537"/>
    <cellStyle name="Заголовок 4 45 2" xfId="56538"/>
    <cellStyle name="Заголовок 4 45 3" xfId="56539"/>
    <cellStyle name="Заголовок 4 45 3 2" xfId="56540"/>
    <cellStyle name="Заголовок 4 45 3 2 2" xfId="56541"/>
    <cellStyle name="Заголовок 4 45 3 3" xfId="56542"/>
    <cellStyle name="Заголовок 4 45 4" xfId="56543"/>
    <cellStyle name="Заголовок 4 45 4 2" xfId="56544"/>
    <cellStyle name="Заголовок 4 45 5" xfId="56545"/>
    <cellStyle name="Заголовок 4 46" xfId="56546"/>
    <cellStyle name="Заголовок 4 46 2" xfId="56547"/>
    <cellStyle name="Заголовок 4 46 3" xfId="56548"/>
    <cellStyle name="Заголовок 4 46 3 2" xfId="56549"/>
    <cellStyle name="Заголовок 4 46 3 2 2" xfId="56550"/>
    <cellStyle name="Заголовок 4 46 3 3" xfId="56551"/>
    <cellStyle name="Заголовок 4 46 4" xfId="56552"/>
    <cellStyle name="Заголовок 4 46 4 2" xfId="56553"/>
    <cellStyle name="Заголовок 4 46 5" xfId="56554"/>
    <cellStyle name="Заголовок 4 47" xfId="56555"/>
    <cellStyle name="Заголовок 4 47 2" xfId="56556"/>
    <cellStyle name="Заголовок 4 47 3" xfId="56557"/>
    <cellStyle name="Заголовок 4 47 3 2" xfId="56558"/>
    <cellStyle name="Заголовок 4 47 3 2 2" xfId="56559"/>
    <cellStyle name="Заголовок 4 47 3 3" xfId="56560"/>
    <cellStyle name="Заголовок 4 47 4" xfId="56561"/>
    <cellStyle name="Заголовок 4 47 4 2" xfId="56562"/>
    <cellStyle name="Заголовок 4 47 5" xfId="56563"/>
    <cellStyle name="Заголовок 4 48" xfId="56564"/>
    <cellStyle name="Заголовок 4 48 2" xfId="56565"/>
    <cellStyle name="Заголовок 4 48 3" xfId="56566"/>
    <cellStyle name="Заголовок 4 48 3 2" xfId="56567"/>
    <cellStyle name="Заголовок 4 48 3 2 2" xfId="56568"/>
    <cellStyle name="Заголовок 4 48 3 3" xfId="56569"/>
    <cellStyle name="Заголовок 4 48 4" xfId="56570"/>
    <cellStyle name="Заголовок 4 48 4 2" xfId="56571"/>
    <cellStyle name="Заголовок 4 48 5" xfId="56572"/>
    <cellStyle name="Заголовок 4 49" xfId="56573"/>
    <cellStyle name="Заголовок 4 49 2" xfId="56574"/>
    <cellStyle name="Заголовок 4 49 3" xfId="56575"/>
    <cellStyle name="Заголовок 4 49 3 2" xfId="56576"/>
    <cellStyle name="Заголовок 4 49 3 2 2" xfId="56577"/>
    <cellStyle name="Заголовок 4 49 3 3" xfId="56578"/>
    <cellStyle name="Заголовок 4 49 4" xfId="56579"/>
    <cellStyle name="Заголовок 4 49 4 2" xfId="56580"/>
    <cellStyle name="Заголовок 4 49 5" xfId="56581"/>
    <cellStyle name="Заголовок 4 5" xfId="56582"/>
    <cellStyle name="Заголовок 4 5 2" xfId="56583"/>
    <cellStyle name="Заголовок 4 5 3" xfId="56584"/>
    <cellStyle name="Заголовок 4 5 3 2" xfId="56585"/>
    <cellStyle name="Заголовок 4 5 3 2 2" xfId="56586"/>
    <cellStyle name="Заголовок 4 5 3 3" xfId="56587"/>
    <cellStyle name="Заголовок 4 5 4" xfId="56588"/>
    <cellStyle name="Заголовок 4 5 4 2" xfId="56589"/>
    <cellStyle name="Заголовок 4 5 5" xfId="56590"/>
    <cellStyle name="Заголовок 4 50" xfId="56591"/>
    <cellStyle name="Заголовок 4 50 2" xfId="56592"/>
    <cellStyle name="Заголовок 4 50 3" xfId="56593"/>
    <cellStyle name="Заголовок 4 50 3 2" xfId="56594"/>
    <cellStyle name="Заголовок 4 50 3 2 2" xfId="56595"/>
    <cellStyle name="Заголовок 4 50 3 3" xfId="56596"/>
    <cellStyle name="Заголовок 4 50 4" xfId="56597"/>
    <cellStyle name="Заголовок 4 50 4 2" xfId="56598"/>
    <cellStyle name="Заголовок 4 50 5" xfId="56599"/>
    <cellStyle name="Заголовок 4 51" xfId="56600"/>
    <cellStyle name="Заголовок 4 51 2" xfId="56601"/>
    <cellStyle name="Заголовок 4 51 3" xfId="56602"/>
    <cellStyle name="Заголовок 4 51 3 2" xfId="56603"/>
    <cellStyle name="Заголовок 4 51 3 2 2" xfId="56604"/>
    <cellStyle name="Заголовок 4 51 3 3" xfId="56605"/>
    <cellStyle name="Заголовок 4 51 4" xfId="56606"/>
    <cellStyle name="Заголовок 4 51 4 2" xfId="56607"/>
    <cellStyle name="Заголовок 4 51 5" xfId="56608"/>
    <cellStyle name="Заголовок 4 52" xfId="56609"/>
    <cellStyle name="Заголовок 4 52 2" xfId="56610"/>
    <cellStyle name="Заголовок 4 52 3" xfId="56611"/>
    <cellStyle name="Заголовок 4 52 3 2" xfId="56612"/>
    <cellStyle name="Заголовок 4 52 3 2 2" xfId="56613"/>
    <cellStyle name="Заголовок 4 52 3 3" xfId="56614"/>
    <cellStyle name="Заголовок 4 52 4" xfId="56615"/>
    <cellStyle name="Заголовок 4 52 4 2" xfId="56616"/>
    <cellStyle name="Заголовок 4 52 5" xfId="56617"/>
    <cellStyle name="Заголовок 4 53" xfId="56618"/>
    <cellStyle name="Заголовок 4 53 2" xfId="56619"/>
    <cellStyle name="Заголовок 4 53 3" xfId="56620"/>
    <cellStyle name="Заголовок 4 53 3 2" xfId="56621"/>
    <cellStyle name="Заголовок 4 53 3 2 2" xfId="56622"/>
    <cellStyle name="Заголовок 4 53 3 3" xfId="56623"/>
    <cellStyle name="Заголовок 4 53 4" xfId="56624"/>
    <cellStyle name="Заголовок 4 53 4 2" xfId="56625"/>
    <cellStyle name="Заголовок 4 53 5" xfId="56626"/>
    <cellStyle name="Заголовок 4 54" xfId="56627"/>
    <cellStyle name="Заголовок 4 54 2" xfId="56628"/>
    <cellStyle name="Заголовок 4 54 3" xfId="56629"/>
    <cellStyle name="Заголовок 4 54 3 2" xfId="56630"/>
    <cellStyle name="Заголовок 4 54 3 2 2" xfId="56631"/>
    <cellStyle name="Заголовок 4 54 3 3" xfId="56632"/>
    <cellStyle name="Заголовок 4 54 4" xfId="56633"/>
    <cellStyle name="Заголовок 4 54 4 2" xfId="56634"/>
    <cellStyle name="Заголовок 4 54 5" xfId="56635"/>
    <cellStyle name="Заголовок 4 55" xfId="56636"/>
    <cellStyle name="Заголовок 4 55 2" xfId="56637"/>
    <cellStyle name="Заголовок 4 55 3" xfId="56638"/>
    <cellStyle name="Заголовок 4 55 3 2" xfId="56639"/>
    <cellStyle name="Заголовок 4 55 3 2 2" xfId="56640"/>
    <cellStyle name="Заголовок 4 55 3 3" xfId="56641"/>
    <cellStyle name="Заголовок 4 55 4" xfId="56642"/>
    <cellStyle name="Заголовок 4 55 4 2" xfId="56643"/>
    <cellStyle name="Заголовок 4 55 5" xfId="56644"/>
    <cellStyle name="Заголовок 4 56" xfId="56645"/>
    <cellStyle name="Заголовок 4 56 2" xfId="56646"/>
    <cellStyle name="Заголовок 4 56 3" xfId="56647"/>
    <cellStyle name="Заголовок 4 56 3 2" xfId="56648"/>
    <cellStyle name="Заголовок 4 56 3 2 2" xfId="56649"/>
    <cellStyle name="Заголовок 4 56 3 3" xfId="56650"/>
    <cellStyle name="Заголовок 4 56 4" xfId="56651"/>
    <cellStyle name="Заголовок 4 56 4 2" xfId="56652"/>
    <cellStyle name="Заголовок 4 56 5" xfId="56653"/>
    <cellStyle name="Заголовок 4 57" xfId="56654"/>
    <cellStyle name="Заголовок 4 57 2" xfId="56655"/>
    <cellStyle name="Заголовок 4 57 3" xfId="56656"/>
    <cellStyle name="Заголовок 4 57 3 2" xfId="56657"/>
    <cellStyle name="Заголовок 4 57 3 2 2" xfId="56658"/>
    <cellStyle name="Заголовок 4 57 3 3" xfId="56659"/>
    <cellStyle name="Заголовок 4 57 4" xfId="56660"/>
    <cellStyle name="Заголовок 4 57 4 2" xfId="56661"/>
    <cellStyle name="Заголовок 4 57 5" xfId="56662"/>
    <cellStyle name="Заголовок 4 58" xfId="56663"/>
    <cellStyle name="Заголовок 4 58 2" xfId="56664"/>
    <cellStyle name="Заголовок 4 58 3" xfId="56665"/>
    <cellStyle name="Заголовок 4 58 3 2" xfId="56666"/>
    <cellStyle name="Заголовок 4 58 3 2 2" xfId="56667"/>
    <cellStyle name="Заголовок 4 58 3 3" xfId="56668"/>
    <cellStyle name="Заголовок 4 58 4" xfId="56669"/>
    <cellStyle name="Заголовок 4 58 4 2" xfId="56670"/>
    <cellStyle name="Заголовок 4 58 5" xfId="56671"/>
    <cellStyle name="Заголовок 4 59" xfId="56672"/>
    <cellStyle name="Заголовок 4 59 2" xfId="56673"/>
    <cellStyle name="Заголовок 4 59 3" xfId="56674"/>
    <cellStyle name="Заголовок 4 59 3 2" xfId="56675"/>
    <cellStyle name="Заголовок 4 59 3 2 2" xfId="56676"/>
    <cellStyle name="Заголовок 4 59 3 3" xfId="56677"/>
    <cellStyle name="Заголовок 4 59 4" xfId="56678"/>
    <cellStyle name="Заголовок 4 59 4 2" xfId="56679"/>
    <cellStyle name="Заголовок 4 59 5" xfId="56680"/>
    <cellStyle name="Заголовок 4 6" xfId="56681"/>
    <cellStyle name="Заголовок 4 6 2" xfId="56682"/>
    <cellStyle name="Заголовок 4 6 3" xfId="56683"/>
    <cellStyle name="Заголовок 4 6 3 2" xfId="56684"/>
    <cellStyle name="Заголовок 4 6 3 2 2" xfId="56685"/>
    <cellStyle name="Заголовок 4 6 3 3" xfId="56686"/>
    <cellStyle name="Заголовок 4 6 4" xfId="56687"/>
    <cellStyle name="Заголовок 4 6 4 2" xfId="56688"/>
    <cellStyle name="Заголовок 4 6 5" xfId="56689"/>
    <cellStyle name="Заголовок 4 60" xfId="56690"/>
    <cellStyle name="Заголовок 4 60 2" xfId="56691"/>
    <cellStyle name="Заголовок 4 60 3" xfId="56692"/>
    <cellStyle name="Заголовок 4 60 3 2" xfId="56693"/>
    <cellStyle name="Заголовок 4 60 3 2 2" xfId="56694"/>
    <cellStyle name="Заголовок 4 60 3 3" xfId="56695"/>
    <cellStyle name="Заголовок 4 60 4" xfId="56696"/>
    <cellStyle name="Заголовок 4 60 4 2" xfId="56697"/>
    <cellStyle name="Заголовок 4 60 5" xfId="56698"/>
    <cellStyle name="Заголовок 4 61" xfId="56699"/>
    <cellStyle name="Заголовок 4 61 2" xfId="56700"/>
    <cellStyle name="Заголовок 4 61 3" xfId="56701"/>
    <cellStyle name="Заголовок 4 61 3 2" xfId="56702"/>
    <cellStyle name="Заголовок 4 61 3 2 2" xfId="56703"/>
    <cellStyle name="Заголовок 4 61 3 3" xfId="56704"/>
    <cellStyle name="Заголовок 4 61 4" xfId="56705"/>
    <cellStyle name="Заголовок 4 61 4 2" xfId="56706"/>
    <cellStyle name="Заголовок 4 61 5" xfId="56707"/>
    <cellStyle name="Заголовок 4 62" xfId="56708"/>
    <cellStyle name="Заголовок 4 62 2" xfId="56709"/>
    <cellStyle name="Заголовок 4 62 3" xfId="56710"/>
    <cellStyle name="Заголовок 4 62 3 2" xfId="56711"/>
    <cellStyle name="Заголовок 4 62 3 2 2" xfId="56712"/>
    <cellStyle name="Заголовок 4 62 3 3" xfId="56713"/>
    <cellStyle name="Заголовок 4 62 4" xfId="56714"/>
    <cellStyle name="Заголовок 4 62 4 2" xfId="56715"/>
    <cellStyle name="Заголовок 4 62 5" xfId="56716"/>
    <cellStyle name="Заголовок 4 63" xfId="56717"/>
    <cellStyle name="Заголовок 4 63 2" xfId="56718"/>
    <cellStyle name="Заголовок 4 63 3" xfId="56719"/>
    <cellStyle name="Заголовок 4 63 3 2" xfId="56720"/>
    <cellStyle name="Заголовок 4 63 3 2 2" xfId="56721"/>
    <cellStyle name="Заголовок 4 63 3 3" xfId="56722"/>
    <cellStyle name="Заголовок 4 63 4" xfId="56723"/>
    <cellStyle name="Заголовок 4 63 4 2" xfId="56724"/>
    <cellStyle name="Заголовок 4 63 5" xfId="56725"/>
    <cellStyle name="Заголовок 4 64" xfId="56726"/>
    <cellStyle name="Заголовок 4 64 2" xfId="56727"/>
    <cellStyle name="Заголовок 4 64 3" xfId="56728"/>
    <cellStyle name="Заголовок 4 64 3 2" xfId="56729"/>
    <cellStyle name="Заголовок 4 64 3 2 2" xfId="56730"/>
    <cellStyle name="Заголовок 4 64 3 3" xfId="56731"/>
    <cellStyle name="Заголовок 4 64 4" xfId="56732"/>
    <cellStyle name="Заголовок 4 64 4 2" xfId="56733"/>
    <cellStyle name="Заголовок 4 64 5" xfId="56734"/>
    <cellStyle name="Заголовок 4 65" xfId="56735"/>
    <cellStyle name="Заголовок 4 65 2" xfId="56736"/>
    <cellStyle name="Заголовок 4 65 3" xfId="56737"/>
    <cellStyle name="Заголовок 4 65 3 2" xfId="56738"/>
    <cellStyle name="Заголовок 4 65 3 2 2" xfId="56739"/>
    <cellStyle name="Заголовок 4 65 3 3" xfId="56740"/>
    <cellStyle name="Заголовок 4 65 4" xfId="56741"/>
    <cellStyle name="Заголовок 4 65 4 2" xfId="56742"/>
    <cellStyle name="Заголовок 4 65 5" xfId="56743"/>
    <cellStyle name="Заголовок 4 66" xfId="56744"/>
    <cellStyle name="Заголовок 4 66 2" xfId="56745"/>
    <cellStyle name="Заголовок 4 66 3" xfId="56746"/>
    <cellStyle name="Заголовок 4 66 3 2" xfId="56747"/>
    <cellStyle name="Заголовок 4 66 3 2 2" xfId="56748"/>
    <cellStyle name="Заголовок 4 66 3 3" xfId="56749"/>
    <cellStyle name="Заголовок 4 66 4" xfId="56750"/>
    <cellStyle name="Заголовок 4 66 4 2" xfId="56751"/>
    <cellStyle name="Заголовок 4 66 5" xfId="56752"/>
    <cellStyle name="Заголовок 4 67" xfId="56753"/>
    <cellStyle name="Заголовок 4 67 2" xfId="56754"/>
    <cellStyle name="Заголовок 4 67 3" xfId="56755"/>
    <cellStyle name="Заголовок 4 67 3 2" xfId="56756"/>
    <cellStyle name="Заголовок 4 67 3 2 2" xfId="56757"/>
    <cellStyle name="Заголовок 4 67 3 3" xfId="56758"/>
    <cellStyle name="Заголовок 4 67 4" xfId="56759"/>
    <cellStyle name="Заголовок 4 67 4 2" xfId="56760"/>
    <cellStyle name="Заголовок 4 67 5" xfId="56761"/>
    <cellStyle name="Заголовок 4 68" xfId="56762"/>
    <cellStyle name="Заголовок 4 68 2" xfId="56763"/>
    <cellStyle name="Заголовок 4 68 3" xfId="56764"/>
    <cellStyle name="Заголовок 4 68 3 2" xfId="56765"/>
    <cellStyle name="Заголовок 4 68 3 2 2" xfId="56766"/>
    <cellStyle name="Заголовок 4 68 3 3" xfId="56767"/>
    <cellStyle name="Заголовок 4 68 4" xfId="56768"/>
    <cellStyle name="Заголовок 4 68 4 2" xfId="56769"/>
    <cellStyle name="Заголовок 4 68 5" xfId="56770"/>
    <cellStyle name="Заголовок 4 69" xfId="56771"/>
    <cellStyle name="Заголовок 4 69 2" xfId="56772"/>
    <cellStyle name="Заголовок 4 69 3" xfId="56773"/>
    <cellStyle name="Заголовок 4 69 3 2" xfId="56774"/>
    <cellStyle name="Заголовок 4 69 3 2 2" xfId="56775"/>
    <cellStyle name="Заголовок 4 69 3 3" xfId="56776"/>
    <cellStyle name="Заголовок 4 69 4" xfId="56777"/>
    <cellStyle name="Заголовок 4 69 4 2" xfId="56778"/>
    <cellStyle name="Заголовок 4 69 5" xfId="56779"/>
    <cellStyle name="Заголовок 4 7" xfId="56780"/>
    <cellStyle name="Заголовок 4 7 2" xfId="56781"/>
    <cellStyle name="Заголовок 4 7 3" xfId="56782"/>
    <cellStyle name="Заголовок 4 7 3 2" xfId="56783"/>
    <cellStyle name="Заголовок 4 7 3 2 2" xfId="56784"/>
    <cellStyle name="Заголовок 4 7 3 3" xfId="56785"/>
    <cellStyle name="Заголовок 4 7 4" xfId="56786"/>
    <cellStyle name="Заголовок 4 7 4 2" xfId="56787"/>
    <cellStyle name="Заголовок 4 7 5" xfId="56788"/>
    <cellStyle name="Заголовок 4 70" xfId="56789"/>
    <cellStyle name="Заголовок 4 70 2" xfId="56790"/>
    <cellStyle name="Заголовок 4 70 3" xfId="56791"/>
    <cellStyle name="Заголовок 4 70 3 2" xfId="56792"/>
    <cellStyle name="Заголовок 4 70 3 2 2" xfId="56793"/>
    <cellStyle name="Заголовок 4 70 3 3" xfId="56794"/>
    <cellStyle name="Заголовок 4 70 4" xfId="56795"/>
    <cellStyle name="Заголовок 4 70 4 2" xfId="56796"/>
    <cellStyle name="Заголовок 4 70 5" xfId="56797"/>
    <cellStyle name="Заголовок 4 71" xfId="56798"/>
    <cellStyle name="Заголовок 4 71 2" xfId="56799"/>
    <cellStyle name="Заголовок 4 71 3" xfId="56800"/>
    <cellStyle name="Заголовок 4 71 3 2" xfId="56801"/>
    <cellStyle name="Заголовок 4 71 3 2 2" xfId="56802"/>
    <cellStyle name="Заголовок 4 71 3 3" xfId="56803"/>
    <cellStyle name="Заголовок 4 71 4" xfId="56804"/>
    <cellStyle name="Заголовок 4 71 4 2" xfId="56805"/>
    <cellStyle name="Заголовок 4 71 5" xfId="56806"/>
    <cellStyle name="Заголовок 4 72" xfId="56807"/>
    <cellStyle name="Заголовок 4 72 2" xfId="56808"/>
    <cellStyle name="Заголовок 4 72 3" xfId="56809"/>
    <cellStyle name="Заголовок 4 72 3 2" xfId="56810"/>
    <cellStyle name="Заголовок 4 72 3 2 2" xfId="56811"/>
    <cellStyle name="Заголовок 4 72 3 3" xfId="56812"/>
    <cellStyle name="Заголовок 4 72 4" xfId="56813"/>
    <cellStyle name="Заголовок 4 72 4 2" xfId="56814"/>
    <cellStyle name="Заголовок 4 72 5" xfId="56815"/>
    <cellStyle name="Заголовок 4 73" xfId="56816"/>
    <cellStyle name="Заголовок 4 73 2" xfId="56817"/>
    <cellStyle name="Заголовок 4 73 3" xfId="56818"/>
    <cellStyle name="Заголовок 4 73 3 2" xfId="56819"/>
    <cellStyle name="Заголовок 4 73 3 2 2" xfId="56820"/>
    <cellStyle name="Заголовок 4 73 3 3" xfId="56821"/>
    <cellStyle name="Заголовок 4 73 4" xfId="56822"/>
    <cellStyle name="Заголовок 4 73 4 2" xfId="56823"/>
    <cellStyle name="Заголовок 4 73 5" xfId="56824"/>
    <cellStyle name="Заголовок 4 74" xfId="56825"/>
    <cellStyle name="Заголовок 4 74 2" xfId="56826"/>
    <cellStyle name="Заголовок 4 74 3" xfId="56827"/>
    <cellStyle name="Заголовок 4 74 3 2" xfId="56828"/>
    <cellStyle name="Заголовок 4 74 3 2 2" xfId="56829"/>
    <cellStyle name="Заголовок 4 74 3 3" xfId="56830"/>
    <cellStyle name="Заголовок 4 74 4" xfId="56831"/>
    <cellStyle name="Заголовок 4 74 4 2" xfId="56832"/>
    <cellStyle name="Заголовок 4 74 5" xfId="56833"/>
    <cellStyle name="Заголовок 4 75" xfId="56834"/>
    <cellStyle name="Заголовок 4 75 2" xfId="56835"/>
    <cellStyle name="Заголовок 4 75 3" xfId="56836"/>
    <cellStyle name="Заголовок 4 75 3 2" xfId="56837"/>
    <cellStyle name="Заголовок 4 75 3 2 2" xfId="56838"/>
    <cellStyle name="Заголовок 4 75 3 3" xfId="56839"/>
    <cellStyle name="Заголовок 4 75 4" xfId="56840"/>
    <cellStyle name="Заголовок 4 75 4 2" xfId="56841"/>
    <cellStyle name="Заголовок 4 75 5" xfId="56842"/>
    <cellStyle name="Заголовок 4 76" xfId="56843"/>
    <cellStyle name="Заголовок 4 76 2" xfId="56844"/>
    <cellStyle name="Заголовок 4 76 3" xfId="56845"/>
    <cellStyle name="Заголовок 4 76 3 2" xfId="56846"/>
    <cellStyle name="Заголовок 4 76 3 2 2" xfId="56847"/>
    <cellStyle name="Заголовок 4 76 3 3" xfId="56848"/>
    <cellStyle name="Заголовок 4 76 4" xfId="56849"/>
    <cellStyle name="Заголовок 4 76 4 2" xfId="56850"/>
    <cellStyle name="Заголовок 4 76 5" xfId="56851"/>
    <cellStyle name="Заголовок 4 77" xfId="56852"/>
    <cellStyle name="Заголовок 4 77 2" xfId="56853"/>
    <cellStyle name="Заголовок 4 77 3" xfId="56854"/>
    <cellStyle name="Заголовок 4 77 3 2" xfId="56855"/>
    <cellStyle name="Заголовок 4 77 3 2 2" xfId="56856"/>
    <cellStyle name="Заголовок 4 77 3 3" xfId="56857"/>
    <cellStyle name="Заголовок 4 77 4" xfId="56858"/>
    <cellStyle name="Заголовок 4 77 4 2" xfId="56859"/>
    <cellStyle name="Заголовок 4 77 5" xfId="56860"/>
    <cellStyle name="Заголовок 4 78" xfId="56861"/>
    <cellStyle name="Заголовок 4 78 2" xfId="56862"/>
    <cellStyle name="Заголовок 4 78 3" xfId="56863"/>
    <cellStyle name="Заголовок 4 78 3 2" xfId="56864"/>
    <cellStyle name="Заголовок 4 78 3 2 2" xfId="56865"/>
    <cellStyle name="Заголовок 4 78 3 3" xfId="56866"/>
    <cellStyle name="Заголовок 4 78 4" xfId="56867"/>
    <cellStyle name="Заголовок 4 78 4 2" xfId="56868"/>
    <cellStyle name="Заголовок 4 78 5" xfId="56869"/>
    <cellStyle name="Заголовок 4 79" xfId="56870"/>
    <cellStyle name="Заголовок 4 79 2" xfId="56871"/>
    <cellStyle name="Заголовок 4 79 3" xfId="56872"/>
    <cellStyle name="Заголовок 4 79 3 2" xfId="56873"/>
    <cellStyle name="Заголовок 4 79 3 2 2" xfId="56874"/>
    <cellStyle name="Заголовок 4 79 3 3" xfId="56875"/>
    <cellStyle name="Заголовок 4 79 4" xfId="56876"/>
    <cellStyle name="Заголовок 4 79 4 2" xfId="56877"/>
    <cellStyle name="Заголовок 4 79 5" xfId="56878"/>
    <cellStyle name="Заголовок 4 8" xfId="56879"/>
    <cellStyle name="Заголовок 4 8 2" xfId="56880"/>
    <cellStyle name="Заголовок 4 8 3" xfId="56881"/>
    <cellStyle name="Заголовок 4 8 3 2" xfId="56882"/>
    <cellStyle name="Заголовок 4 8 3 2 2" xfId="56883"/>
    <cellStyle name="Заголовок 4 8 3 3" xfId="56884"/>
    <cellStyle name="Заголовок 4 8 4" xfId="56885"/>
    <cellStyle name="Заголовок 4 8 4 2" xfId="56886"/>
    <cellStyle name="Заголовок 4 8 5" xfId="56887"/>
    <cellStyle name="Заголовок 4 80" xfId="56888"/>
    <cellStyle name="Заголовок 4 80 2" xfId="56889"/>
    <cellStyle name="Заголовок 4 80 3" xfId="56890"/>
    <cellStyle name="Заголовок 4 80 3 2" xfId="56891"/>
    <cellStyle name="Заголовок 4 80 3 2 2" xfId="56892"/>
    <cellStyle name="Заголовок 4 80 3 3" xfId="56893"/>
    <cellStyle name="Заголовок 4 80 4" xfId="56894"/>
    <cellStyle name="Заголовок 4 80 4 2" xfId="56895"/>
    <cellStyle name="Заголовок 4 80 5" xfId="56896"/>
    <cellStyle name="Заголовок 4 81" xfId="56897"/>
    <cellStyle name="Заголовок 4 81 2" xfId="56898"/>
    <cellStyle name="Заголовок 4 81 3" xfId="56899"/>
    <cellStyle name="Заголовок 4 81 3 2" xfId="56900"/>
    <cellStyle name="Заголовок 4 81 3 2 2" xfId="56901"/>
    <cellStyle name="Заголовок 4 81 3 3" xfId="56902"/>
    <cellStyle name="Заголовок 4 81 4" xfId="56903"/>
    <cellStyle name="Заголовок 4 81 4 2" xfId="56904"/>
    <cellStyle name="Заголовок 4 81 5" xfId="56905"/>
    <cellStyle name="Заголовок 4 82" xfId="56906"/>
    <cellStyle name="Заголовок 4 83" xfId="56907"/>
    <cellStyle name="Заголовок 4 84" xfId="56908"/>
    <cellStyle name="Заголовок 4 85" xfId="56909"/>
    <cellStyle name="Заголовок 4 86" xfId="56910"/>
    <cellStyle name="Заголовок 4 87" xfId="56911"/>
    <cellStyle name="Заголовок 4 88" xfId="56912"/>
    <cellStyle name="Заголовок 4 89" xfId="56913"/>
    <cellStyle name="Заголовок 4 9" xfId="56914"/>
    <cellStyle name="Заголовок 4 90" xfId="56915"/>
    <cellStyle name="Заголовок 4 91" xfId="56916"/>
    <cellStyle name="Заголовок 4 92" xfId="56917"/>
    <cellStyle name="Заголовок 4 93" xfId="56918"/>
    <cellStyle name="Заголовок 4 94" xfId="56919"/>
    <cellStyle name="Заголовок 4 95" xfId="56920"/>
    <cellStyle name="Заголовок 4 96" xfId="56921"/>
    <cellStyle name="Заголовок 4 97" xfId="56922"/>
    <cellStyle name="Заголовок 4 98" xfId="56923"/>
    <cellStyle name="Заголовок 4 99" xfId="56924"/>
    <cellStyle name="Итог 10" xfId="56925"/>
    <cellStyle name="Итог 100" xfId="56926"/>
    <cellStyle name="Итог 101" xfId="56927"/>
    <cellStyle name="Итог 102" xfId="56928"/>
    <cellStyle name="Итог 103" xfId="56929"/>
    <cellStyle name="Итог 104" xfId="56930"/>
    <cellStyle name="Итог 105" xfId="56931"/>
    <cellStyle name="Итог 106" xfId="56932"/>
    <cellStyle name="Итог 107" xfId="56933"/>
    <cellStyle name="Итог 108" xfId="56934"/>
    <cellStyle name="Итог 109" xfId="56935"/>
    <cellStyle name="Итог 11" xfId="56936"/>
    <cellStyle name="Итог 110" xfId="56937"/>
    <cellStyle name="Итог 111" xfId="56938"/>
    <cellStyle name="Итог 112" xfId="56939"/>
    <cellStyle name="Итог 113" xfId="56940"/>
    <cellStyle name="Итог 114" xfId="56941"/>
    <cellStyle name="Итог 115" xfId="56942"/>
    <cellStyle name="Итог 116" xfId="56943"/>
    <cellStyle name="Итог 117" xfId="56944"/>
    <cellStyle name="Итог 118" xfId="56945"/>
    <cellStyle name="Итог 119" xfId="56946"/>
    <cellStyle name="Итог 12" xfId="56947"/>
    <cellStyle name="Итог 120" xfId="56948"/>
    <cellStyle name="Итог 121" xfId="56949"/>
    <cellStyle name="Итог 122" xfId="56950"/>
    <cellStyle name="Итог 123" xfId="56951"/>
    <cellStyle name="Итог 124" xfId="56952"/>
    <cellStyle name="Итог 125" xfId="56953"/>
    <cellStyle name="Итог 126" xfId="56954"/>
    <cellStyle name="Итог 127" xfId="56955"/>
    <cellStyle name="Итог 128" xfId="56956"/>
    <cellStyle name="Итог 129" xfId="56957"/>
    <cellStyle name="Итог 13" xfId="56958"/>
    <cellStyle name="Итог 130" xfId="56959"/>
    <cellStyle name="Итог 131" xfId="56960"/>
    <cellStyle name="Итог 132" xfId="56961"/>
    <cellStyle name="Итог 133" xfId="56962"/>
    <cellStyle name="Итог 134" xfId="56963"/>
    <cellStyle name="Итог 135" xfId="56964"/>
    <cellStyle name="Итог 136" xfId="56965"/>
    <cellStyle name="Итог 137" xfId="56966"/>
    <cellStyle name="Итог 138" xfId="56967"/>
    <cellStyle name="Итог 139" xfId="56968"/>
    <cellStyle name="Итог 14" xfId="56969"/>
    <cellStyle name="Итог 140" xfId="56970"/>
    <cellStyle name="Итог 141" xfId="56971"/>
    <cellStyle name="Итог 142" xfId="56972"/>
    <cellStyle name="Итог 143" xfId="56973"/>
    <cellStyle name="Итог 144" xfId="56974"/>
    <cellStyle name="Итог 145" xfId="56975"/>
    <cellStyle name="Итог 146" xfId="56976"/>
    <cellStyle name="Итог 147" xfId="56977"/>
    <cellStyle name="Итог 148" xfId="56978"/>
    <cellStyle name="Итог 149" xfId="56979"/>
    <cellStyle name="Итог 15" xfId="56980"/>
    <cellStyle name="Итог 150" xfId="56981"/>
    <cellStyle name="Итог 151" xfId="56982"/>
    <cellStyle name="Итог 152" xfId="56983"/>
    <cellStyle name="Итог 153" xfId="56984"/>
    <cellStyle name="Итог 16" xfId="56985"/>
    <cellStyle name="Итог 17" xfId="56986"/>
    <cellStyle name="Итог 18" xfId="56987"/>
    <cellStyle name="Итог 19" xfId="56988"/>
    <cellStyle name="Итог 2" xfId="56989"/>
    <cellStyle name="Итог 2 2" xfId="56990"/>
    <cellStyle name="Итог 2 2 10" xfId="56991"/>
    <cellStyle name="Итог 2 2 11" xfId="56992"/>
    <cellStyle name="Итог 2 2 12" xfId="56993"/>
    <cellStyle name="Итог 2 2 13" xfId="56994"/>
    <cellStyle name="Итог 2 2 2" xfId="56995"/>
    <cellStyle name="Итог 2 2 3" xfId="56996"/>
    <cellStyle name="Итог 2 2 4" xfId="56997"/>
    <cellStyle name="Итог 2 2 5" xfId="56998"/>
    <cellStyle name="Итог 2 2 6" xfId="56999"/>
    <cellStyle name="Итог 2 2 7" xfId="57000"/>
    <cellStyle name="Итог 2 2 8" xfId="57001"/>
    <cellStyle name="Итог 2 2 9" xfId="57002"/>
    <cellStyle name="Итог 2 3" xfId="57003"/>
    <cellStyle name="Итог 20" xfId="57004"/>
    <cellStyle name="Итог 21" xfId="57005"/>
    <cellStyle name="Итог 22" xfId="57006"/>
    <cellStyle name="Итог 23" xfId="57007"/>
    <cellStyle name="Итог 24" xfId="57008"/>
    <cellStyle name="Итог 25" xfId="57009"/>
    <cellStyle name="Итог 26" xfId="57010"/>
    <cellStyle name="Итог 27" xfId="57011"/>
    <cellStyle name="Итог 28" xfId="57012"/>
    <cellStyle name="Итог 29" xfId="57013"/>
    <cellStyle name="Итог 3" xfId="57014"/>
    <cellStyle name="Итог 30" xfId="57015"/>
    <cellStyle name="Итог 31" xfId="57016"/>
    <cellStyle name="Итог 32" xfId="57017"/>
    <cellStyle name="Итог 33" xfId="57018"/>
    <cellStyle name="Итог 34" xfId="57019"/>
    <cellStyle name="Итог 35" xfId="57020"/>
    <cellStyle name="Итог 36" xfId="57021"/>
    <cellStyle name="Итог 37" xfId="57022"/>
    <cellStyle name="Итог 38" xfId="57023"/>
    <cellStyle name="Итог 39" xfId="57024"/>
    <cellStyle name="Итог 4" xfId="57025"/>
    <cellStyle name="Итог 40" xfId="57026"/>
    <cellStyle name="Итог 41" xfId="57027"/>
    <cellStyle name="Итог 42" xfId="57028"/>
    <cellStyle name="Итог 43" xfId="57029"/>
    <cellStyle name="Итог 44" xfId="57030"/>
    <cellStyle name="Итог 45" xfId="57031"/>
    <cellStyle name="Итог 46" xfId="57032"/>
    <cellStyle name="Итог 47" xfId="57033"/>
    <cellStyle name="Итог 48" xfId="57034"/>
    <cellStyle name="Итог 49" xfId="57035"/>
    <cellStyle name="Итог 5" xfId="57036"/>
    <cellStyle name="Итог 50" xfId="57037"/>
    <cellStyle name="Итог 51" xfId="57038"/>
    <cellStyle name="Итог 52" xfId="57039"/>
    <cellStyle name="Итог 53" xfId="57040"/>
    <cellStyle name="Итог 54" xfId="57041"/>
    <cellStyle name="Итог 55" xfId="57042"/>
    <cellStyle name="Итог 56" xfId="57043"/>
    <cellStyle name="Итог 57" xfId="57044"/>
    <cellStyle name="Итог 58" xfId="57045"/>
    <cellStyle name="Итог 59" xfId="57046"/>
    <cellStyle name="Итог 6" xfId="57047"/>
    <cellStyle name="Итог 60" xfId="57048"/>
    <cellStyle name="Итог 61" xfId="57049"/>
    <cellStyle name="Итог 62" xfId="57050"/>
    <cellStyle name="Итог 63" xfId="57051"/>
    <cellStyle name="Итог 64" xfId="57052"/>
    <cellStyle name="Итог 65" xfId="57053"/>
    <cellStyle name="Итог 66" xfId="57054"/>
    <cellStyle name="Итог 67" xfId="57055"/>
    <cellStyle name="Итог 68" xfId="57056"/>
    <cellStyle name="Итог 69" xfId="57057"/>
    <cellStyle name="Итог 7" xfId="57058"/>
    <cellStyle name="Итог 70" xfId="57059"/>
    <cellStyle name="Итог 71" xfId="57060"/>
    <cellStyle name="Итог 72" xfId="57061"/>
    <cellStyle name="Итог 73" xfId="57062"/>
    <cellStyle name="Итог 74" xfId="57063"/>
    <cellStyle name="Итог 75" xfId="57064"/>
    <cellStyle name="Итог 76" xfId="57065"/>
    <cellStyle name="Итог 77" xfId="57066"/>
    <cellStyle name="Итог 78" xfId="57067"/>
    <cellStyle name="Итог 79" xfId="57068"/>
    <cellStyle name="Итог 8" xfId="57069"/>
    <cellStyle name="Итог 80" xfId="57070"/>
    <cellStyle name="Итог 81" xfId="57071"/>
    <cellStyle name="Итог 82" xfId="57072"/>
    <cellStyle name="Итог 83" xfId="57073"/>
    <cellStyle name="Итог 84" xfId="57074"/>
    <cellStyle name="Итог 85" xfId="57075"/>
    <cellStyle name="Итог 86" xfId="57076"/>
    <cellStyle name="Итог 87" xfId="57077"/>
    <cellStyle name="Итог 88" xfId="57078"/>
    <cellStyle name="Итог 89" xfId="57079"/>
    <cellStyle name="Итог 9" xfId="57080"/>
    <cellStyle name="Итог 90" xfId="57081"/>
    <cellStyle name="Итог 91" xfId="57082"/>
    <cellStyle name="Итог 92" xfId="57083"/>
    <cellStyle name="Итог 93" xfId="57084"/>
    <cellStyle name="Итог 94" xfId="57085"/>
    <cellStyle name="Итог 95" xfId="57086"/>
    <cellStyle name="Итог 96" xfId="57087"/>
    <cellStyle name="Итог 97" xfId="57088"/>
    <cellStyle name="Итог 98" xfId="57089"/>
    <cellStyle name="Итог 99" xfId="57090"/>
    <cellStyle name="Контрольная ячейка 10" xfId="57091"/>
    <cellStyle name="Контрольная ячейка 100" xfId="57092"/>
    <cellStyle name="Контрольная ячейка 101" xfId="57093"/>
    <cellStyle name="Контрольная ячейка 102" xfId="57094"/>
    <cellStyle name="Контрольная ячейка 103" xfId="57095"/>
    <cellStyle name="Контрольная ячейка 104" xfId="57096"/>
    <cellStyle name="Контрольная ячейка 105" xfId="57097"/>
    <cellStyle name="Контрольная ячейка 106" xfId="57098"/>
    <cellStyle name="Контрольная ячейка 107" xfId="57099"/>
    <cellStyle name="Контрольная ячейка 108" xfId="57100"/>
    <cellStyle name="Контрольная ячейка 109" xfId="57101"/>
    <cellStyle name="Контрольная ячейка 11" xfId="57102"/>
    <cellStyle name="Контрольная ячейка 110" xfId="57103"/>
    <cellStyle name="Контрольная ячейка 111" xfId="57104"/>
    <cellStyle name="Контрольная ячейка 112" xfId="57105"/>
    <cellStyle name="Контрольная ячейка 113" xfId="57106"/>
    <cellStyle name="Контрольная ячейка 114" xfId="57107"/>
    <cellStyle name="Контрольная ячейка 115" xfId="57108"/>
    <cellStyle name="Контрольная ячейка 116" xfId="57109"/>
    <cellStyle name="Контрольная ячейка 117" xfId="57110"/>
    <cellStyle name="Контрольная ячейка 118" xfId="57111"/>
    <cellStyle name="Контрольная ячейка 119" xfId="57112"/>
    <cellStyle name="Контрольная ячейка 12" xfId="57113"/>
    <cellStyle name="Контрольная ячейка 120" xfId="57114"/>
    <cellStyle name="Контрольная ячейка 121" xfId="57115"/>
    <cellStyle name="Контрольная ячейка 122" xfId="57116"/>
    <cellStyle name="Контрольная ячейка 123" xfId="57117"/>
    <cellStyle name="Контрольная ячейка 124" xfId="57118"/>
    <cellStyle name="Контрольная ячейка 125" xfId="57119"/>
    <cellStyle name="Контрольная ячейка 126" xfId="57120"/>
    <cellStyle name="Контрольная ячейка 127" xfId="57121"/>
    <cellStyle name="Контрольная ячейка 128" xfId="57122"/>
    <cellStyle name="Контрольная ячейка 129" xfId="57123"/>
    <cellStyle name="Контрольная ячейка 13" xfId="57124"/>
    <cellStyle name="Контрольная ячейка 130" xfId="57125"/>
    <cellStyle name="Контрольная ячейка 131" xfId="57126"/>
    <cellStyle name="Контрольная ячейка 132" xfId="57127"/>
    <cellStyle name="Контрольная ячейка 133" xfId="57128"/>
    <cellStyle name="Контрольная ячейка 134" xfId="57129"/>
    <cellStyle name="Контрольная ячейка 135" xfId="57130"/>
    <cellStyle name="Контрольная ячейка 136" xfId="57131"/>
    <cellStyle name="Контрольная ячейка 137" xfId="57132"/>
    <cellStyle name="Контрольная ячейка 138" xfId="57133"/>
    <cellStyle name="Контрольная ячейка 139" xfId="57134"/>
    <cellStyle name="Контрольная ячейка 14" xfId="57135"/>
    <cellStyle name="Контрольная ячейка 140" xfId="57136"/>
    <cellStyle name="Контрольная ячейка 141" xfId="57137"/>
    <cellStyle name="Контрольная ячейка 142" xfId="57138"/>
    <cellStyle name="Контрольная ячейка 143" xfId="57139"/>
    <cellStyle name="Контрольная ячейка 144" xfId="57140"/>
    <cellStyle name="Контрольная ячейка 145" xfId="57141"/>
    <cellStyle name="Контрольная ячейка 146" xfId="57142"/>
    <cellStyle name="Контрольная ячейка 147" xfId="57143"/>
    <cellStyle name="Контрольная ячейка 148" xfId="57144"/>
    <cellStyle name="Контрольная ячейка 149" xfId="57145"/>
    <cellStyle name="Контрольная ячейка 15" xfId="57146"/>
    <cellStyle name="Контрольная ячейка 150" xfId="57147"/>
    <cellStyle name="Контрольная ячейка 151" xfId="57148"/>
    <cellStyle name="Контрольная ячейка 152" xfId="57149"/>
    <cellStyle name="Контрольная ячейка 153" xfId="57150"/>
    <cellStyle name="Контрольная ячейка 16" xfId="57151"/>
    <cellStyle name="Контрольная ячейка 17" xfId="57152"/>
    <cellStyle name="Контрольная ячейка 18" xfId="57153"/>
    <cellStyle name="Контрольная ячейка 19" xfId="57154"/>
    <cellStyle name="Контрольная ячейка 2" xfId="57155"/>
    <cellStyle name="Контрольная ячейка 2 2" xfId="57156"/>
    <cellStyle name="Контрольная ячейка 2 2 10" xfId="57157"/>
    <cellStyle name="Контрольная ячейка 2 2 11" xfId="57158"/>
    <cellStyle name="Контрольная ячейка 2 2 12" xfId="57159"/>
    <cellStyle name="Контрольная ячейка 2 2 13" xfId="57160"/>
    <cellStyle name="Контрольная ячейка 2 2 2" xfId="57161"/>
    <cellStyle name="Контрольная ячейка 2 2 3" xfId="57162"/>
    <cellStyle name="Контрольная ячейка 2 2 4" xfId="57163"/>
    <cellStyle name="Контрольная ячейка 2 2 5" xfId="57164"/>
    <cellStyle name="Контрольная ячейка 2 2 6" xfId="57165"/>
    <cellStyle name="Контрольная ячейка 2 2 7" xfId="57166"/>
    <cellStyle name="Контрольная ячейка 2 2 8" xfId="57167"/>
    <cellStyle name="Контрольная ячейка 2 2 9" xfId="57168"/>
    <cellStyle name="Контрольная ячейка 2 3" xfId="57169"/>
    <cellStyle name="Контрольная ячейка 20" xfId="57170"/>
    <cellStyle name="Контрольная ячейка 21" xfId="57171"/>
    <cellStyle name="Контрольная ячейка 22" xfId="57172"/>
    <cellStyle name="Контрольная ячейка 23" xfId="57173"/>
    <cellStyle name="Контрольная ячейка 24" xfId="57174"/>
    <cellStyle name="Контрольная ячейка 25" xfId="57175"/>
    <cellStyle name="Контрольная ячейка 26" xfId="57176"/>
    <cellStyle name="Контрольная ячейка 27" xfId="57177"/>
    <cellStyle name="Контрольная ячейка 28" xfId="57178"/>
    <cellStyle name="Контрольная ячейка 29" xfId="57179"/>
    <cellStyle name="Контрольная ячейка 3" xfId="57180"/>
    <cellStyle name="Контрольная ячейка 30" xfId="57181"/>
    <cellStyle name="Контрольная ячейка 31" xfId="57182"/>
    <cellStyle name="Контрольная ячейка 32" xfId="57183"/>
    <cellStyle name="Контрольная ячейка 33" xfId="57184"/>
    <cellStyle name="Контрольная ячейка 34" xfId="57185"/>
    <cellStyle name="Контрольная ячейка 35" xfId="57186"/>
    <cellStyle name="Контрольная ячейка 36" xfId="57187"/>
    <cellStyle name="Контрольная ячейка 37" xfId="57188"/>
    <cellStyle name="Контрольная ячейка 38" xfId="57189"/>
    <cellStyle name="Контрольная ячейка 39" xfId="57190"/>
    <cellStyle name="Контрольная ячейка 4" xfId="57191"/>
    <cellStyle name="Контрольная ячейка 40" xfId="57192"/>
    <cellStyle name="Контрольная ячейка 41" xfId="57193"/>
    <cellStyle name="Контрольная ячейка 42" xfId="57194"/>
    <cellStyle name="Контрольная ячейка 43" xfId="57195"/>
    <cellStyle name="Контрольная ячейка 44" xfId="57196"/>
    <cellStyle name="Контрольная ячейка 45" xfId="57197"/>
    <cellStyle name="Контрольная ячейка 46" xfId="57198"/>
    <cellStyle name="Контрольная ячейка 47" xfId="57199"/>
    <cellStyle name="Контрольная ячейка 48" xfId="57200"/>
    <cellStyle name="Контрольная ячейка 49" xfId="57201"/>
    <cellStyle name="Контрольная ячейка 5" xfId="57202"/>
    <cellStyle name="Контрольная ячейка 50" xfId="57203"/>
    <cellStyle name="Контрольная ячейка 51" xfId="57204"/>
    <cellStyle name="Контрольная ячейка 52" xfId="57205"/>
    <cellStyle name="Контрольная ячейка 53" xfId="57206"/>
    <cellStyle name="Контрольная ячейка 54" xfId="57207"/>
    <cellStyle name="Контрольная ячейка 55" xfId="57208"/>
    <cellStyle name="Контрольная ячейка 56" xfId="57209"/>
    <cellStyle name="Контрольная ячейка 57" xfId="57210"/>
    <cellStyle name="Контрольная ячейка 58" xfId="57211"/>
    <cellStyle name="Контрольная ячейка 59" xfId="57212"/>
    <cellStyle name="Контрольная ячейка 6" xfId="57213"/>
    <cellStyle name="Контрольная ячейка 60" xfId="57214"/>
    <cellStyle name="Контрольная ячейка 61" xfId="57215"/>
    <cellStyle name="Контрольная ячейка 62" xfId="57216"/>
    <cellStyle name="Контрольная ячейка 63" xfId="57217"/>
    <cellStyle name="Контрольная ячейка 64" xfId="57218"/>
    <cellStyle name="Контрольная ячейка 65" xfId="57219"/>
    <cellStyle name="Контрольная ячейка 66" xfId="57220"/>
    <cellStyle name="Контрольная ячейка 67" xfId="57221"/>
    <cellStyle name="Контрольная ячейка 68" xfId="57222"/>
    <cellStyle name="Контрольная ячейка 69" xfId="57223"/>
    <cellStyle name="Контрольная ячейка 7" xfId="57224"/>
    <cellStyle name="Контрольная ячейка 70" xfId="57225"/>
    <cellStyle name="Контрольная ячейка 71" xfId="57226"/>
    <cellStyle name="Контрольная ячейка 72" xfId="57227"/>
    <cellStyle name="Контрольная ячейка 73" xfId="57228"/>
    <cellStyle name="Контрольная ячейка 74" xfId="57229"/>
    <cellStyle name="Контрольная ячейка 75" xfId="57230"/>
    <cellStyle name="Контрольная ячейка 76" xfId="57231"/>
    <cellStyle name="Контрольная ячейка 77" xfId="57232"/>
    <cellStyle name="Контрольная ячейка 78" xfId="57233"/>
    <cellStyle name="Контрольная ячейка 79" xfId="57234"/>
    <cellStyle name="Контрольная ячейка 8" xfId="57235"/>
    <cellStyle name="Контрольная ячейка 80" xfId="57236"/>
    <cellStyle name="Контрольная ячейка 81" xfId="57237"/>
    <cellStyle name="Контрольная ячейка 82" xfId="57238"/>
    <cellStyle name="Контрольная ячейка 83" xfId="57239"/>
    <cellStyle name="Контрольная ячейка 84" xfId="57240"/>
    <cellStyle name="Контрольная ячейка 85" xfId="57241"/>
    <cellStyle name="Контрольная ячейка 86" xfId="57242"/>
    <cellStyle name="Контрольная ячейка 87" xfId="57243"/>
    <cellStyle name="Контрольная ячейка 88" xfId="57244"/>
    <cellStyle name="Контрольная ячейка 89" xfId="57245"/>
    <cellStyle name="Контрольная ячейка 9" xfId="57246"/>
    <cellStyle name="Контрольная ячейка 90" xfId="57247"/>
    <cellStyle name="Контрольная ячейка 91" xfId="57248"/>
    <cellStyle name="Контрольная ячейка 92" xfId="57249"/>
    <cellStyle name="Контрольная ячейка 93" xfId="57250"/>
    <cellStyle name="Контрольная ячейка 94" xfId="57251"/>
    <cellStyle name="Контрольная ячейка 95" xfId="57252"/>
    <cellStyle name="Контрольная ячейка 96" xfId="57253"/>
    <cellStyle name="Контрольная ячейка 97" xfId="57254"/>
    <cellStyle name="Контрольная ячейка 98" xfId="57255"/>
    <cellStyle name="Контрольная ячейка 99" xfId="57256"/>
    <cellStyle name="Название 10" xfId="57257"/>
    <cellStyle name="Название 100" xfId="57258"/>
    <cellStyle name="Название 101" xfId="57259"/>
    <cellStyle name="Название 102" xfId="57260"/>
    <cellStyle name="Название 103" xfId="57261"/>
    <cellStyle name="Название 104" xfId="57262"/>
    <cellStyle name="Название 105" xfId="57263"/>
    <cellStyle name="Название 106" xfId="57264"/>
    <cellStyle name="Название 107" xfId="57265"/>
    <cellStyle name="Название 108" xfId="57266"/>
    <cellStyle name="Название 109" xfId="57267"/>
    <cellStyle name="Название 11" xfId="57268"/>
    <cellStyle name="Название 110" xfId="57269"/>
    <cellStyle name="Название 111" xfId="57270"/>
    <cellStyle name="Название 112" xfId="57271"/>
    <cellStyle name="Название 113" xfId="57272"/>
    <cellStyle name="Название 114" xfId="57273"/>
    <cellStyle name="Название 115" xfId="57274"/>
    <cellStyle name="Название 116" xfId="57275"/>
    <cellStyle name="Название 117" xfId="57276"/>
    <cellStyle name="Название 118" xfId="57277"/>
    <cellStyle name="Название 119" xfId="57278"/>
    <cellStyle name="Название 12" xfId="57279"/>
    <cellStyle name="Название 120" xfId="57280"/>
    <cellStyle name="Название 121" xfId="57281"/>
    <cellStyle name="Название 122" xfId="57282"/>
    <cellStyle name="Название 123" xfId="57283"/>
    <cellStyle name="Название 124" xfId="57284"/>
    <cellStyle name="Название 125" xfId="57285"/>
    <cellStyle name="Название 126" xfId="57286"/>
    <cellStyle name="Название 127" xfId="57287"/>
    <cellStyle name="Название 128" xfId="57288"/>
    <cellStyle name="Название 129" xfId="57289"/>
    <cellStyle name="Название 13" xfId="57290"/>
    <cellStyle name="Название 130" xfId="57291"/>
    <cellStyle name="Название 131" xfId="57292"/>
    <cellStyle name="Название 132" xfId="57293"/>
    <cellStyle name="Название 133" xfId="57294"/>
    <cellStyle name="Название 134" xfId="57295"/>
    <cellStyle name="Название 135" xfId="57296"/>
    <cellStyle name="Название 136" xfId="57297"/>
    <cellStyle name="Название 137" xfId="57298"/>
    <cellStyle name="Название 138" xfId="57299"/>
    <cellStyle name="Название 139" xfId="57300"/>
    <cellStyle name="Название 14" xfId="57301"/>
    <cellStyle name="Название 140" xfId="57302"/>
    <cellStyle name="Название 141" xfId="57303"/>
    <cellStyle name="Название 142" xfId="57304"/>
    <cellStyle name="Название 143" xfId="57305"/>
    <cellStyle name="Название 144" xfId="57306"/>
    <cellStyle name="Название 145" xfId="57307"/>
    <cellStyle name="Название 146" xfId="57308"/>
    <cellStyle name="Название 147" xfId="57309"/>
    <cellStyle name="Название 148" xfId="57310"/>
    <cellStyle name="Название 149" xfId="57311"/>
    <cellStyle name="Название 15" xfId="57312"/>
    <cellStyle name="Название 150" xfId="57313"/>
    <cellStyle name="Название 151" xfId="57314"/>
    <cellStyle name="Название 152" xfId="57315"/>
    <cellStyle name="Название 153" xfId="57316"/>
    <cellStyle name="Название 16" xfId="57317"/>
    <cellStyle name="Название 17" xfId="57318"/>
    <cellStyle name="Название 18" xfId="57319"/>
    <cellStyle name="Название 19" xfId="57320"/>
    <cellStyle name="Название 2" xfId="57321"/>
    <cellStyle name="Название 2 2" xfId="57322"/>
    <cellStyle name="Название 2 2 10" xfId="57323"/>
    <cellStyle name="Название 2 2 11" xfId="57324"/>
    <cellStyle name="Название 2 2 12" xfId="57325"/>
    <cellStyle name="Название 2 2 13" xfId="57326"/>
    <cellStyle name="Название 2 2 2" xfId="57327"/>
    <cellStyle name="Название 2 2 3" xfId="57328"/>
    <cellStyle name="Название 2 2 4" xfId="57329"/>
    <cellStyle name="Название 2 2 5" xfId="57330"/>
    <cellStyle name="Название 2 2 6" xfId="57331"/>
    <cellStyle name="Название 2 2 7" xfId="57332"/>
    <cellStyle name="Название 2 2 8" xfId="57333"/>
    <cellStyle name="Название 2 2 9" xfId="57334"/>
    <cellStyle name="Название 2 3" xfId="57335"/>
    <cellStyle name="Название 20" xfId="57336"/>
    <cellStyle name="Название 21" xfId="57337"/>
    <cellStyle name="Название 22" xfId="57338"/>
    <cellStyle name="Название 23" xfId="57339"/>
    <cellStyle name="Название 24" xfId="57340"/>
    <cellStyle name="Название 25" xfId="57341"/>
    <cellStyle name="Название 26" xfId="57342"/>
    <cellStyle name="Название 27" xfId="57343"/>
    <cellStyle name="Название 28" xfId="57344"/>
    <cellStyle name="Название 29" xfId="57345"/>
    <cellStyle name="Название 3" xfId="57346"/>
    <cellStyle name="Название 30" xfId="57347"/>
    <cellStyle name="Название 31" xfId="57348"/>
    <cellStyle name="Название 32" xfId="57349"/>
    <cellStyle name="Название 33" xfId="57350"/>
    <cellStyle name="Название 34" xfId="57351"/>
    <cellStyle name="Название 35" xfId="57352"/>
    <cellStyle name="Название 36" xfId="57353"/>
    <cellStyle name="Название 37" xfId="57354"/>
    <cellStyle name="Название 38" xfId="57355"/>
    <cellStyle name="Название 39" xfId="57356"/>
    <cellStyle name="Название 4" xfId="57357"/>
    <cellStyle name="Название 40" xfId="57358"/>
    <cellStyle name="Название 41" xfId="57359"/>
    <cellStyle name="Название 42" xfId="57360"/>
    <cellStyle name="Название 43" xfId="57361"/>
    <cellStyle name="Название 44" xfId="57362"/>
    <cellStyle name="Название 45" xfId="57363"/>
    <cellStyle name="Название 46" xfId="57364"/>
    <cellStyle name="Название 47" xfId="57365"/>
    <cellStyle name="Название 48" xfId="57366"/>
    <cellStyle name="Название 49" xfId="57367"/>
    <cellStyle name="Название 5" xfId="57368"/>
    <cellStyle name="Название 50" xfId="57369"/>
    <cellStyle name="Название 51" xfId="57370"/>
    <cellStyle name="Название 52" xfId="57371"/>
    <cellStyle name="Название 53" xfId="57372"/>
    <cellStyle name="Название 54" xfId="57373"/>
    <cellStyle name="Название 55" xfId="57374"/>
    <cellStyle name="Название 56" xfId="57375"/>
    <cellStyle name="Название 57" xfId="57376"/>
    <cellStyle name="Название 58" xfId="57377"/>
    <cellStyle name="Название 59" xfId="57378"/>
    <cellStyle name="Название 6" xfId="57379"/>
    <cellStyle name="Название 60" xfId="57380"/>
    <cellStyle name="Название 61" xfId="57381"/>
    <cellStyle name="Название 62" xfId="57382"/>
    <cellStyle name="Название 63" xfId="57383"/>
    <cellStyle name="Название 64" xfId="57384"/>
    <cellStyle name="Название 65" xfId="57385"/>
    <cellStyle name="Название 66" xfId="57386"/>
    <cellStyle name="Название 67" xfId="57387"/>
    <cellStyle name="Название 68" xfId="57388"/>
    <cellStyle name="Название 69" xfId="57389"/>
    <cellStyle name="Название 7" xfId="57390"/>
    <cellStyle name="Название 70" xfId="57391"/>
    <cellStyle name="Название 71" xfId="57392"/>
    <cellStyle name="Название 72" xfId="57393"/>
    <cellStyle name="Название 73" xfId="57394"/>
    <cellStyle name="Название 74" xfId="57395"/>
    <cellStyle name="Название 75" xfId="57396"/>
    <cellStyle name="Название 76" xfId="57397"/>
    <cellStyle name="Название 77" xfId="57398"/>
    <cellStyle name="Название 78" xfId="57399"/>
    <cellStyle name="Название 79" xfId="57400"/>
    <cellStyle name="Название 8" xfId="57401"/>
    <cellStyle name="Название 80" xfId="57402"/>
    <cellStyle name="Название 81" xfId="57403"/>
    <cellStyle name="Название 82" xfId="57404"/>
    <cellStyle name="Название 83" xfId="57405"/>
    <cellStyle name="Название 84" xfId="57406"/>
    <cellStyle name="Название 85" xfId="57407"/>
    <cellStyle name="Название 86" xfId="57408"/>
    <cellStyle name="Название 87" xfId="57409"/>
    <cellStyle name="Название 88" xfId="57410"/>
    <cellStyle name="Название 89" xfId="57411"/>
    <cellStyle name="Название 9" xfId="57412"/>
    <cellStyle name="Название 90" xfId="57413"/>
    <cellStyle name="Название 91" xfId="57414"/>
    <cellStyle name="Название 92" xfId="57415"/>
    <cellStyle name="Название 93" xfId="57416"/>
    <cellStyle name="Название 94" xfId="57417"/>
    <cellStyle name="Название 95" xfId="57418"/>
    <cellStyle name="Название 96" xfId="57419"/>
    <cellStyle name="Название 97" xfId="57420"/>
    <cellStyle name="Название 98" xfId="57421"/>
    <cellStyle name="Название 99" xfId="57422"/>
    <cellStyle name="Нейтральный 10" xfId="57423"/>
    <cellStyle name="Нейтральный 100" xfId="57424"/>
    <cellStyle name="Нейтральный 101" xfId="57425"/>
    <cellStyle name="Нейтральный 102" xfId="57426"/>
    <cellStyle name="Нейтральный 103" xfId="57427"/>
    <cellStyle name="Нейтральный 104" xfId="57428"/>
    <cellStyle name="Нейтральный 105" xfId="57429"/>
    <cellStyle name="Нейтральный 106" xfId="57430"/>
    <cellStyle name="Нейтральный 107" xfId="57431"/>
    <cellStyle name="Нейтральный 108" xfId="57432"/>
    <cellStyle name="Нейтральный 109" xfId="57433"/>
    <cellStyle name="Нейтральный 11" xfId="57434"/>
    <cellStyle name="Нейтральный 110" xfId="57435"/>
    <cellStyle name="Нейтральный 111" xfId="57436"/>
    <cellStyle name="Нейтральный 112" xfId="57437"/>
    <cellStyle name="Нейтральный 113" xfId="57438"/>
    <cellStyle name="Нейтральный 114" xfId="57439"/>
    <cellStyle name="Нейтральный 115" xfId="57440"/>
    <cellStyle name="Нейтральный 116" xfId="57441"/>
    <cellStyle name="Нейтральный 117" xfId="57442"/>
    <cellStyle name="Нейтральный 118" xfId="57443"/>
    <cellStyle name="Нейтральный 119" xfId="57444"/>
    <cellStyle name="Нейтральный 12" xfId="57445"/>
    <cellStyle name="Нейтральный 120" xfId="57446"/>
    <cellStyle name="Нейтральный 121" xfId="57447"/>
    <cellStyle name="Нейтральный 122" xfId="57448"/>
    <cellStyle name="Нейтральный 123" xfId="57449"/>
    <cellStyle name="Нейтральный 124" xfId="57450"/>
    <cellStyle name="Нейтральный 125" xfId="57451"/>
    <cellStyle name="Нейтральный 126" xfId="57452"/>
    <cellStyle name="Нейтральный 127" xfId="57453"/>
    <cellStyle name="Нейтральный 128" xfId="57454"/>
    <cellStyle name="Нейтральный 129" xfId="57455"/>
    <cellStyle name="Нейтральный 13" xfId="57456"/>
    <cellStyle name="Нейтральный 130" xfId="57457"/>
    <cellStyle name="Нейтральный 131" xfId="57458"/>
    <cellStyle name="Нейтральный 132" xfId="57459"/>
    <cellStyle name="Нейтральный 133" xfId="57460"/>
    <cellStyle name="Нейтральный 134" xfId="57461"/>
    <cellStyle name="Нейтральный 135" xfId="57462"/>
    <cellStyle name="Нейтральный 136" xfId="57463"/>
    <cellStyle name="Нейтральный 137" xfId="57464"/>
    <cellStyle name="Нейтральный 138" xfId="57465"/>
    <cellStyle name="Нейтральный 139" xfId="57466"/>
    <cellStyle name="Нейтральный 14" xfId="57467"/>
    <cellStyle name="Нейтральный 140" xfId="57468"/>
    <cellStyle name="Нейтральный 141" xfId="57469"/>
    <cellStyle name="Нейтральный 142" xfId="57470"/>
    <cellStyle name="Нейтральный 143" xfId="57471"/>
    <cellStyle name="Нейтральный 144" xfId="57472"/>
    <cellStyle name="Нейтральный 145" xfId="57473"/>
    <cellStyle name="Нейтральный 146" xfId="57474"/>
    <cellStyle name="Нейтральный 147" xfId="57475"/>
    <cellStyle name="Нейтральный 148" xfId="57476"/>
    <cellStyle name="Нейтральный 149" xfId="57477"/>
    <cellStyle name="Нейтральный 15" xfId="57478"/>
    <cellStyle name="Нейтральный 150" xfId="57479"/>
    <cellStyle name="Нейтральный 151" xfId="57480"/>
    <cellStyle name="Нейтральный 152" xfId="57481"/>
    <cellStyle name="Нейтральный 153" xfId="57482"/>
    <cellStyle name="Нейтральный 16" xfId="57483"/>
    <cellStyle name="Нейтральный 17" xfId="57484"/>
    <cellStyle name="Нейтральный 18" xfId="57485"/>
    <cellStyle name="Нейтральный 19" xfId="57486"/>
    <cellStyle name="Нейтральный 2" xfId="57487"/>
    <cellStyle name="Нейтральный 2 2" xfId="57488"/>
    <cellStyle name="Нейтральный 2 2 10" xfId="57489"/>
    <cellStyle name="Нейтральный 2 2 11" xfId="57490"/>
    <cellStyle name="Нейтральный 2 2 12" xfId="57491"/>
    <cellStyle name="Нейтральный 2 2 13" xfId="57492"/>
    <cellStyle name="Нейтральный 2 2 2" xfId="57493"/>
    <cellStyle name="Нейтральный 2 2 3" xfId="57494"/>
    <cellStyle name="Нейтральный 2 2 4" xfId="57495"/>
    <cellStyle name="Нейтральный 2 2 5" xfId="57496"/>
    <cellStyle name="Нейтральный 2 2 6" xfId="57497"/>
    <cellStyle name="Нейтральный 2 2 7" xfId="57498"/>
    <cellStyle name="Нейтральный 2 2 8" xfId="57499"/>
    <cellStyle name="Нейтральный 2 2 9" xfId="57500"/>
    <cellStyle name="Нейтральный 2 3" xfId="57501"/>
    <cellStyle name="Нейтральный 20" xfId="57502"/>
    <cellStyle name="Нейтральный 21" xfId="57503"/>
    <cellStyle name="Нейтральный 22" xfId="57504"/>
    <cellStyle name="Нейтральный 23" xfId="57505"/>
    <cellStyle name="Нейтральный 24" xfId="57506"/>
    <cellStyle name="Нейтральный 25" xfId="57507"/>
    <cellStyle name="Нейтральный 26" xfId="57508"/>
    <cellStyle name="Нейтральный 27" xfId="57509"/>
    <cellStyle name="Нейтральный 28" xfId="57510"/>
    <cellStyle name="Нейтральный 29" xfId="57511"/>
    <cellStyle name="Нейтральный 3" xfId="57512"/>
    <cellStyle name="Нейтральный 30" xfId="57513"/>
    <cellStyle name="Нейтральный 31" xfId="57514"/>
    <cellStyle name="Нейтральный 32" xfId="57515"/>
    <cellStyle name="Нейтральный 33" xfId="57516"/>
    <cellStyle name="Нейтральный 34" xfId="57517"/>
    <cellStyle name="Нейтральный 35" xfId="57518"/>
    <cellStyle name="Нейтральный 36" xfId="57519"/>
    <cellStyle name="Нейтральный 37" xfId="57520"/>
    <cellStyle name="Нейтральный 38" xfId="57521"/>
    <cellStyle name="Нейтральный 39" xfId="57522"/>
    <cellStyle name="Нейтральный 4" xfId="57523"/>
    <cellStyle name="Нейтральный 40" xfId="57524"/>
    <cellStyle name="Нейтральный 41" xfId="57525"/>
    <cellStyle name="Нейтральный 42" xfId="57526"/>
    <cellStyle name="Нейтральный 43" xfId="57527"/>
    <cellStyle name="Нейтральный 44" xfId="57528"/>
    <cellStyle name="Нейтральный 45" xfId="57529"/>
    <cellStyle name="Нейтральный 46" xfId="57530"/>
    <cellStyle name="Нейтральный 47" xfId="57531"/>
    <cellStyle name="Нейтральный 48" xfId="57532"/>
    <cellStyle name="Нейтральный 49" xfId="57533"/>
    <cellStyle name="Нейтральный 5" xfId="57534"/>
    <cellStyle name="Нейтральный 50" xfId="57535"/>
    <cellStyle name="Нейтральный 51" xfId="57536"/>
    <cellStyle name="Нейтральный 52" xfId="57537"/>
    <cellStyle name="Нейтральный 53" xfId="57538"/>
    <cellStyle name="Нейтральный 54" xfId="57539"/>
    <cellStyle name="Нейтральный 55" xfId="57540"/>
    <cellStyle name="Нейтральный 56" xfId="57541"/>
    <cellStyle name="Нейтральный 57" xfId="57542"/>
    <cellStyle name="Нейтральный 58" xfId="57543"/>
    <cellStyle name="Нейтральный 59" xfId="57544"/>
    <cellStyle name="Нейтральный 6" xfId="57545"/>
    <cellStyle name="Нейтральный 60" xfId="57546"/>
    <cellStyle name="Нейтральный 61" xfId="57547"/>
    <cellStyle name="Нейтральный 62" xfId="57548"/>
    <cellStyle name="Нейтральный 63" xfId="57549"/>
    <cellStyle name="Нейтральный 64" xfId="57550"/>
    <cellStyle name="Нейтральный 65" xfId="57551"/>
    <cellStyle name="Нейтральный 66" xfId="57552"/>
    <cellStyle name="Нейтральный 67" xfId="57553"/>
    <cellStyle name="Нейтральный 68" xfId="57554"/>
    <cellStyle name="Нейтральный 69" xfId="57555"/>
    <cellStyle name="Нейтральный 7" xfId="57556"/>
    <cellStyle name="Нейтральный 70" xfId="57557"/>
    <cellStyle name="Нейтральный 71" xfId="57558"/>
    <cellStyle name="Нейтральный 72" xfId="57559"/>
    <cellStyle name="Нейтральный 73" xfId="57560"/>
    <cellStyle name="Нейтральный 74" xfId="57561"/>
    <cellStyle name="Нейтральный 75" xfId="57562"/>
    <cellStyle name="Нейтральный 76" xfId="57563"/>
    <cellStyle name="Нейтральный 77" xfId="57564"/>
    <cellStyle name="Нейтральный 78" xfId="57565"/>
    <cellStyle name="Нейтральный 79" xfId="57566"/>
    <cellStyle name="Нейтральный 8" xfId="57567"/>
    <cellStyle name="Нейтральный 80" xfId="57568"/>
    <cellStyle name="Нейтральный 81" xfId="57569"/>
    <cellStyle name="Нейтральный 82" xfId="57570"/>
    <cellStyle name="Нейтральный 83" xfId="57571"/>
    <cellStyle name="Нейтральный 84" xfId="57572"/>
    <cellStyle name="Нейтральный 85" xfId="57573"/>
    <cellStyle name="Нейтральный 86" xfId="57574"/>
    <cellStyle name="Нейтральный 87" xfId="57575"/>
    <cellStyle name="Нейтральный 88" xfId="57576"/>
    <cellStyle name="Нейтральный 89" xfId="57577"/>
    <cellStyle name="Нейтральный 9" xfId="57578"/>
    <cellStyle name="Нейтральный 90" xfId="57579"/>
    <cellStyle name="Нейтральный 91" xfId="57580"/>
    <cellStyle name="Нейтральный 92" xfId="57581"/>
    <cellStyle name="Нейтральный 93" xfId="57582"/>
    <cellStyle name="Нейтральный 94" xfId="57583"/>
    <cellStyle name="Нейтральный 95" xfId="57584"/>
    <cellStyle name="Нейтральный 96" xfId="57585"/>
    <cellStyle name="Нейтральный 97" xfId="57586"/>
    <cellStyle name="Нейтральный 98" xfId="57587"/>
    <cellStyle name="Нейтральный 99" xfId="57588"/>
    <cellStyle name="Обычный" xfId="0" builtinId="0"/>
    <cellStyle name="Обычный 10" xfId="57589"/>
    <cellStyle name="Обычный 10 10" xfId="57590"/>
    <cellStyle name="Обычный 10 10 2" xfId="57591"/>
    <cellStyle name="Обычный 10 10 2 2" xfId="57592"/>
    <cellStyle name="Обычный 10 10 2 3" xfId="57593"/>
    <cellStyle name="Обычный 10 10 3" xfId="57594"/>
    <cellStyle name="Обычный 10 10 3 2" xfId="57595"/>
    <cellStyle name="Обычный 10 10 3 3" xfId="60911"/>
    <cellStyle name="Обычный 10 10 3 3 2" xfId="61206"/>
    <cellStyle name="Обычный 10 10 4" xfId="57596"/>
    <cellStyle name="Обычный 10 10 5" xfId="57597"/>
    <cellStyle name="Обычный 10 10 6" xfId="57598"/>
    <cellStyle name="Обычный 10 10 7" xfId="61194"/>
    <cellStyle name="Обычный 10 10 8" xfId="61201"/>
    <cellStyle name="Обычный 10 10 9" xfId="61212"/>
    <cellStyle name="Обычный 10 11" xfId="57599"/>
    <cellStyle name="Обычный 10 11 2" xfId="57600"/>
    <cellStyle name="Обычный 10 11 2 2" xfId="57601"/>
    <cellStyle name="Обычный 10 11 2 3" xfId="57602"/>
    <cellStyle name="Обычный 10 11 3" xfId="57603"/>
    <cellStyle name="Обычный 10 11 3 2" xfId="57604"/>
    <cellStyle name="Обычный 10 11 3 3" xfId="60912"/>
    <cellStyle name="Обычный 10 11 4" xfId="57605"/>
    <cellStyle name="Обычный 10 11 5" xfId="57606"/>
    <cellStyle name="Обычный 10 12" xfId="57607"/>
    <cellStyle name="Обычный 10 12 2" xfId="57608"/>
    <cellStyle name="Обычный 10 12 2 2" xfId="57609"/>
    <cellStyle name="Обычный 10 12 2 3" xfId="57610"/>
    <cellStyle name="Обычный 10 12 3" xfId="57611"/>
    <cellStyle name="Обычный 10 12 3 2" xfId="57612"/>
    <cellStyle name="Обычный 10 12 3 3" xfId="60913"/>
    <cellStyle name="Обычный 10 12 4" xfId="57613"/>
    <cellStyle name="Обычный 10 12 5" xfId="57614"/>
    <cellStyle name="Обычный 10 13" xfId="57615"/>
    <cellStyle name="Обычный 10 13 2" xfId="57616"/>
    <cellStyle name="Обычный 10 13 2 2" xfId="57617"/>
    <cellStyle name="Обычный 10 13 2 3" xfId="57618"/>
    <cellStyle name="Обычный 10 13 3" xfId="57619"/>
    <cellStyle name="Обычный 10 13 3 2" xfId="57620"/>
    <cellStyle name="Обычный 10 13 3 3" xfId="60914"/>
    <cellStyle name="Обычный 10 13 4" xfId="57621"/>
    <cellStyle name="Обычный 10 13 5" xfId="57622"/>
    <cellStyle name="Обычный 10 14" xfId="57623"/>
    <cellStyle name="Обычный 10 14 2" xfId="57624"/>
    <cellStyle name="Обычный 10 14 2 2" xfId="57625"/>
    <cellStyle name="Обычный 10 14 2 3" xfId="57626"/>
    <cellStyle name="Обычный 10 14 3" xfId="57627"/>
    <cellStyle name="Обычный 10 14 3 2" xfId="57628"/>
    <cellStyle name="Обычный 10 14 3 3" xfId="60915"/>
    <cellStyle name="Обычный 10 14 4" xfId="57629"/>
    <cellStyle name="Обычный 10 14 5" xfId="57630"/>
    <cellStyle name="Обычный 10 15" xfId="57631"/>
    <cellStyle name="Обычный 10 15 2" xfId="57632"/>
    <cellStyle name="Обычный 10 15 2 2" xfId="57633"/>
    <cellStyle name="Обычный 10 15 2 3" xfId="57634"/>
    <cellStyle name="Обычный 10 15 3" xfId="57635"/>
    <cellStyle name="Обычный 10 15 3 2" xfId="57636"/>
    <cellStyle name="Обычный 10 15 3 3" xfId="60916"/>
    <cellStyle name="Обычный 10 15 4" xfId="57637"/>
    <cellStyle name="Обычный 10 15 5" xfId="57638"/>
    <cellStyle name="Обычный 10 16" xfId="57639"/>
    <cellStyle name="Обычный 10 16 2" xfId="57640"/>
    <cellStyle name="Обычный 10 16 2 2" xfId="57641"/>
    <cellStyle name="Обычный 10 16 2 3" xfId="57642"/>
    <cellStyle name="Обычный 10 16 3" xfId="57643"/>
    <cellStyle name="Обычный 10 16 3 2" xfId="57644"/>
    <cellStyle name="Обычный 10 16 3 3" xfId="60917"/>
    <cellStyle name="Обычный 10 16 4" xfId="57645"/>
    <cellStyle name="Обычный 10 16 5" xfId="57646"/>
    <cellStyle name="Обычный 10 17" xfId="57647"/>
    <cellStyle name="Обычный 10 17 2" xfId="57648"/>
    <cellStyle name="Обычный 10 17 2 2" xfId="57649"/>
    <cellStyle name="Обычный 10 17 2 3" xfId="57650"/>
    <cellStyle name="Обычный 10 17 3" xfId="57651"/>
    <cellStyle name="Обычный 10 17 3 2" xfId="57652"/>
    <cellStyle name="Обычный 10 17 3 3" xfId="60918"/>
    <cellStyle name="Обычный 10 17 4" xfId="57653"/>
    <cellStyle name="Обычный 10 17 5" xfId="57654"/>
    <cellStyle name="Обычный 10 18" xfId="57655"/>
    <cellStyle name="Обычный 10 18 2" xfId="57656"/>
    <cellStyle name="Обычный 10 18 3" xfId="57657"/>
    <cellStyle name="Обычный 10 19" xfId="57658"/>
    <cellStyle name="Обычный 10 19 2" xfId="57659"/>
    <cellStyle name="Обычный 10 19 3" xfId="60919"/>
    <cellStyle name="Обычный 10 2" xfId="13"/>
    <cellStyle name="Обычный 10 2 2" xfId="57660"/>
    <cellStyle name="Обычный 10 2 3" xfId="57661"/>
    <cellStyle name="Обычный 10 2 4" xfId="57662"/>
    <cellStyle name="Обычный 10 20" xfId="57663"/>
    <cellStyle name="Обычный 10 21" xfId="57664"/>
    <cellStyle name="Обычный 10 3" xfId="57665"/>
    <cellStyle name="Обычный 10 3 2" xfId="57666"/>
    <cellStyle name="Обычный 10 3 2 2" xfId="57667"/>
    <cellStyle name="Обычный 10 3 2 2 2" xfId="57668"/>
    <cellStyle name="Обычный 10 3 2 2 2 2" xfId="57669"/>
    <cellStyle name="Обычный 10 3 2 2 2 3" xfId="57670"/>
    <cellStyle name="Обычный 10 3 2 2 3" xfId="57671"/>
    <cellStyle name="Обычный 10 3 2 2 3 2" xfId="57672"/>
    <cellStyle name="Обычный 10 3 2 2 3 3" xfId="60920"/>
    <cellStyle name="Обычный 10 3 2 2 4" xfId="57673"/>
    <cellStyle name="Обычный 10 3 2 2 5" xfId="57674"/>
    <cellStyle name="Обычный 10 3 2 3" xfId="57675"/>
    <cellStyle name="Обычный 10 3 2 3 2" xfId="57676"/>
    <cellStyle name="Обычный 10 3 2 3 3" xfId="57677"/>
    <cellStyle name="Обычный 10 3 2 4" xfId="57678"/>
    <cellStyle name="Обычный 10 3 2 4 2" xfId="57679"/>
    <cellStyle name="Обычный 10 3 2 4 3" xfId="60921"/>
    <cellStyle name="Обычный 10 3 2 5" xfId="57680"/>
    <cellStyle name="Обычный 10 3 2 6" xfId="57681"/>
    <cellStyle name="Обычный 10 3 2_объемы 2018г111" xfId="60922"/>
    <cellStyle name="Обычный 10 3 3" xfId="57682"/>
    <cellStyle name="Обычный 10 3 3 2" xfId="57683"/>
    <cellStyle name="Обычный 10 3 3 2 2" xfId="57684"/>
    <cellStyle name="Обычный 10 3 3 2 3" xfId="57685"/>
    <cellStyle name="Обычный 10 3 3 3" xfId="57686"/>
    <cellStyle name="Обычный 10 3 3 3 2" xfId="57687"/>
    <cellStyle name="Обычный 10 3 3 3 3" xfId="60923"/>
    <cellStyle name="Обычный 10 3 3 4" xfId="57688"/>
    <cellStyle name="Обычный 10 3 3 5" xfId="57689"/>
    <cellStyle name="Обычный 10 3 4" xfId="57690"/>
    <cellStyle name="Обычный 10 3 4 2" xfId="57691"/>
    <cellStyle name="Обычный 10 3 4 3" xfId="57692"/>
    <cellStyle name="Обычный 10 3 5" xfId="57693"/>
    <cellStyle name="Обычный 10 3 5 2" xfId="57694"/>
    <cellStyle name="Обычный 10 3 5 3" xfId="60924"/>
    <cellStyle name="Обычный 10 3 6" xfId="57695"/>
    <cellStyle name="Обычный 10 3 7" xfId="57696"/>
    <cellStyle name="Обычный 10 3_объемы 2018г111" xfId="60925"/>
    <cellStyle name="Обычный 10 4" xfId="57697"/>
    <cellStyle name="Обычный 10 4 2" xfId="57698"/>
    <cellStyle name="Обычный 10 4 2 2" xfId="57699"/>
    <cellStyle name="Обычный 10 4 2 2 2" xfId="57700"/>
    <cellStyle name="Обычный 10 4 2 2 3" xfId="57701"/>
    <cellStyle name="Обычный 10 4 2 3" xfId="57702"/>
    <cellStyle name="Обычный 10 4 2 3 2" xfId="57703"/>
    <cellStyle name="Обычный 10 4 2 3 3" xfId="60926"/>
    <cellStyle name="Обычный 10 4 2 4" xfId="57704"/>
    <cellStyle name="Обычный 10 4 2 5" xfId="57705"/>
    <cellStyle name="Обычный 10 4 3" xfId="57706"/>
    <cellStyle name="Обычный 10 4 3 2" xfId="57707"/>
    <cellStyle name="Обычный 10 4 3 3" xfId="57708"/>
    <cellStyle name="Обычный 10 4 4" xfId="57709"/>
    <cellStyle name="Обычный 10 4 4 2" xfId="57710"/>
    <cellStyle name="Обычный 10 4 4 3" xfId="60927"/>
    <cellStyle name="Обычный 10 4 5" xfId="57711"/>
    <cellStyle name="Обычный 10 4 6" xfId="57712"/>
    <cellStyle name="Обычный 10 4_объемы 2018г111" xfId="60928"/>
    <cellStyle name="Обычный 10 5" xfId="57713"/>
    <cellStyle name="Обычный 10 5 2" xfId="57714"/>
    <cellStyle name="Обычный 10 5 2 2" xfId="57715"/>
    <cellStyle name="Обычный 10 5 2 3" xfId="57716"/>
    <cellStyle name="Обычный 10 5 3" xfId="57717"/>
    <cellStyle name="Обычный 10 5 3 2" xfId="57718"/>
    <cellStyle name="Обычный 10 5 3 3" xfId="60929"/>
    <cellStyle name="Обычный 10 5 4" xfId="57719"/>
    <cellStyle name="Обычный 10 5 5" xfId="57720"/>
    <cellStyle name="Обычный 10 6" xfId="57721"/>
    <cellStyle name="Обычный 10 6 2" xfId="57722"/>
    <cellStyle name="Обычный 10 6 2 2" xfId="57723"/>
    <cellStyle name="Обычный 10 6 2 3" xfId="57724"/>
    <cellStyle name="Обычный 10 6 3" xfId="57725"/>
    <cellStyle name="Обычный 10 6 3 2" xfId="57726"/>
    <cellStyle name="Обычный 10 6 3 3" xfId="60930"/>
    <cellStyle name="Обычный 10 6 4" xfId="57727"/>
    <cellStyle name="Обычный 10 6 5" xfId="57728"/>
    <cellStyle name="Обычный 10 7" xfId="57729"/>
    <cellStyle name="Обычный 10 7 2" xfId="57730"/>
    <cellStyle name="Обычный 10 7 2 2" xfId="57731"/>
    <cellStyle name="Обычный 10 7 2 3" xfId="57732"/>
    <cellStyle name="Обычный 10 7 3" xfId="57733"/>
    <cellStyle name="Обычный 10 7 3 2" xfId="57734"/>
    <cellStyle name="Обычный 10 7 3 3" xfId="60931"/>
    <cellStyle name="Обычный 10 7 4" xfId="57735"/>
    <cellStyle name="Обычный 10 7 5" xfId="57736"/>
    <cellStyle name="Обычный 10 8" xfId="57737"/>
    <cellStyle name="Обычный 10 8 2" xfId="57738"/>
    <cellStyle name="Обычный 10 8 2 2" xfId="57739"/>
    <cellStyle name="Обычный 10 8 2 3" xfId="57740"/>
    <cellStyle name="Обычный 10 8 3" xfId="57741"/>
    <cellStyle name="Обычный 10 8 3 2" xfId="57742"/>
    <cellStyle name="Обычный 10 8 3 3" xfId="60932"/>
    <cellStyle name="Обычный 10 8 4" xfId="57743"/>
    <cellStyle name="Обычный 10 8 5" xfId="57744"/>
    <cellStyle name="Обычный 10 9" xfId="57745"/>
    <cellStyle name="Обычный 10 9 2" xfId="57746"/>
    <cellStyle name="Обычный 10 9 2 2" xfId="57747"/>
    <cellStyle name="Обычный 10 9 2 3" xfId="57748"/>
    <cellStyle name="Обычный 10 9 3" xfId="57749"/>
    <cellStyle name="Обычный 10 9 3 2" xfId="57750"/>
    <cellStyle name="Обычный 10 9 3 3" xfId="60933"/>
    <cellStyle name="Обычный 10 9 4" xfId="57751"/>
    <cellStyle name="Обычный 10 9 5" xfId="57752"/>
    <cellStyle name="Обычный 10_объемы 2018г111" xfId="60934"/>
    <cellStyle name="Обычный 100" xfId="57753"/>
    <cellStyle name="Обычный 101" xfId="57754"/>
    <cellStyle name="Обычный 102" xfId="57755"/>
    <cellStyle name="Обычный 103" xfId="57756"/>
    <cellStyle name="Обычный 104" xfId="57757"/>
    <cellStyle name="Обычный 105" xfId="57758"/>
    <cellStyle name="Обычный 106" xfId="57759"/>
    <cellStyle name="Обычный 107" xfId="57760"/>
    <cellStyle name="Обычный 108" xfId="57761"/>
    <cellStyle name="Обычный 109" xfId="57762"/>
    <cellStyle name="Обычный 11" xfId="57763"/>
    <cellStyle name="Обычный 11 10" xfId="57764"/>
    <cellStyle name="Обычный 11 10 2" xfId="57765"/>
    <cellStyle name="Обычный 11 10 2 2" xfId="57766"/>
    <cellStyle name="Обычный 11 10 2 3" xfId="57767"/>
    <cellStyle name="Обычный 11 10 3" xfId="57768"/>
    <cellStyle name="Обычный 11 10 3 2" xfId="57769"/>
    <cellStyle name="Обычный 11 10 3 3" xfId="60935"/>
    <cellStyle name="Обычный 11 10 4" xfId="57770"/>
    <cellStyle name="Обычный 11 10 5" xfId="57771"/>
    <cellStyle name="Обычный 11 11" xfId="57772"/>
    <cellStyle name="Обычный 11 11 2" xfId="57773"/>
    <cellStyle name="Обычный 11 11 2 2" xfId="57774"/>
    <cellStyle name="Обычный 11 11 2 3" xfId="57775"/>
    <cellStyle name="Обычный 11 11 3" xfId="57776"/>
    <cellStyle name="Обычный 11 11 3 2" xfId="57777"/>
    <cellStyle name="Обычный 11 11 3 3" xfId="60936"/>
    <cellStyle name="Обычный 11 11 4" xfId="57778"/>
    <cellStyle name="Обычный 11 11 5" xfId="57779"/>
    <cellStyle name="Обычный 11 12" xfId="57780"/>
    <cellStyle name="Обычный 11 12 2" xfId="57781"/>
    <cellStyle name="Обычный 11 12 2 2" xfId="57782"/>
    <cellStyle name="Обычный 11 12 2 3" xfId="57783"/>
    <cellStyle name="Обычный 11 12 3" xfId="57784"/>
    <cellStyle name="Обычный 11 12 3 2" xfId="57785"/>
    <cellStyle name="Обычный 11 12 3 3" xfId="60937"/>
    <cellStyle name="Обычный 11 12 4" xfId="57786"/>
    <cellStyle name="Обычный 11 12 5" xfId="57787"/>
    <cellStyle name="Обычный 11 13" xfId="57788"/>
    <cellStyle name="Обычный 11 13 2" xfId="57789"/>
    <cellStyle name="Обычный 11 13 2 2" xfId="57790"/>
    <cellStyle name="Обычный 11 13 2 3" xfId="57791"/>
    <cellStyle name="Обычный 11 13 3" xfId="57792"/>
    <cellStyle name="Обычный 11 13 3 2" xfId="57793"/>
    <cellStyle name="Обычный 11 13 3 3" xfId="60938"/>
    <cellStyle name="Обычный 11 13 4" xfId="57794"/>
    <cellStyle name="Обычный 11 13 5" xfId="57795"/>
    <cellStyle name="Обычный 11 14" xfId="57796"/>
    <cellStyle name="Обычный 11 14 2" xfId="57797"/>
    <cellStyle name="Обычный 11 14 2 2" xfId="57798"/>
    <cellStyle name="Обычный 11 14 2 3" xfId="57799"/>
    <cellStyle name="Обычный 11 14 3" xfId="57800"/>
    <cellStyle name="Обычный 11 14 3 2" xfId="57801"/>
    <cellStyle name="Обычный 11 14 3 3" xfId="60939"/>
    <cellStyle name="Обычный 11 14 4" xfId="57802"/>
    <cellStyle name="Обычный 11 14 5" xfId="57803"/>
    <cellStyle name="Обычный 11 15" xfId="57804"/>
    <cellStyle name="Обычный 11 15 2" xfId="57805"/>
    <cellStyle name="Обычный 11 15 2 2" xfId="57806"/>
    <cellStyle name="Обычный 11 15 2 3" xfId="57807"/>
    <cellStyle name="Обычный 11 15 3" xfId="57808"/>
    <cellStyle name="Обычный 11 15 3 2" xfId="57809"/>
    <cellStyle name="Обычный 11 15 3 3" xfId="60940"/>
    <cellStyle name="Обычный 11 15 4" xfId="57810"/>
    <cellStyle name="Обычный 11 15 5" xfId="57811"/>
    <cellStyle name="Обычный 11 16" xfId="57812"/>
    <cellStyle name="Обычный 11 16 2" xfId="57813"/>
    <cellStyle name="Обычный 11 16 2 2" xfId="57814"/>
    <cellStyle name="Обычный 11 16 2 3" xfId="57815"/>
    <cellStyle name="Обычный 11 16 3" xfId="57816"/>
    <cellStyle name="Обычный 11 16 3 2" xfId="57817"/>
    <cellStyle name="Обычный 11 16 3 3" xfId="60941"/>
    <cellStyle name="Обычный 11 16 4" xfId="57818"/>
    <cellStyle name="Обычный 11 16 5" xfId="57819"/>
    <cellStyle name="Обычный 11 17" xfId="57820"/>
    <cellStyle name="Обычный 11 17 2" xfId="57821"/>
    <cellStyle name="Обычный 11 17 3" xfId="57822"/>
    <cellStyle name="Обычный 11 18" xfId="57823"/>
    <cellStyle name="Обычный 11 18 2" xfId="57824"/>
    <cellStyle name="Обычный 11 18 3" xfId="60942"/>
    <cellStyle name="Обычный 11 19" xfId="57825"/>
    <cellStyle name="Обычный 11 2" xfId="57826"/>
    <cellStyle name="Обычный 11 2 2" xfId="57827"/>
    <cellStyle name="Обычный 11 2 2 2" xfId="57828"/>
    <cellStyle name="Обычный 11 2 2 2 2" xfId="57829"/>
    <cellStyle name="Обычный 11 2 2 2 2 2" xfId="57830"/>
    <cellStyle name="Обычный 11 2 2 2 2 3" xfId="57831"/>
    <cellStyle name="Обычный 11 2 2 2 3" xfId="57832"/>
    <cellStyle name="Обычный 11 2 2 2 3 2" xfId="57833"/>
    <cellStyle name="Обычный 11 2 2 2 3 3" xfId="60943"/>
    <cellStyle name="Обычный 11 2 2 2 4" xfId="57834"/>
    <cellStyle name="Обычный 11 2 2 2 5" xfId="57835"/>
    <cellStyle name="Обычный 11 2 2 3" xfId="57836"/>
    <cellStyle name="Обычный 11 2 2 3 2" xfId="57837"/>
    <cellStyle name="Обычный 11 2 2 3 3" xfId="57838"/>
    <cellStyle name="Обычный 11 2 2 4" xfId="57839"/>
    <cellStyle name="Обычный 11 2 2 4 2" xfId="57840"/>
    <cellStyle name="Обычный 11 2 2 4 3" xfId="60944"/>
    <cellStyle name="Обычный 11 2 2 5" xfId="57841"/>
    <cellStyle name="Обычный 11 2 2 6" xfId="57842"/>
    <cellStyle name="Обычный 11 2 2_объемы 2018г111" xfId="60945"/>
    <cellStyle name="Обычный 11 2 3" xfId="57843"/>
    <cellStyle name="Обычный 11 2 3 2" xfId="57844"/>
    <cellStyle name="Обычный 11 2 3 2 2" xfId="57845"/>
    <cellStyle name="Обычный 11 2 3 2 3" xfId="57846"/>
    <cellStyle name="Обычный 11 2 3 3" xfId="57847"/>
    <cellStyle name="Обычный 11 2 3 3 2" xfId="57848"/>
    <cellStyle name="Обычный 11 2 3 3 3" xfId="60946"/>
    <cellStyle name="Обычный 11 2 3 4" xfId="57849"/>
    <cellStyle name="Обычный 11 2 3 5" xfId="57850"/>
    <cellStyle name="Обычный 11 2 4" xfId="57851"/>
    <cellStyle name="Обычный 11 2 4 2" xfId="57852"/>
    <cellStyle name="Обычный 11 2 4 3" xfId="57853"/>
    <cellStyle name="Обычный 11 2 5" xfId="57854"/>
    <cellStyle name="Обычный 11 2 5 2" xfId="57855"/>
    <cellStyle name="Обычный 11 2 5 3" xfId="60947"/>
    <cellStyle name="Обычный 11 2 6" xfId="57856"/>
    <cellStyle name="Обычный 11 2 7" xfId="57857"/>
    <cellStyle name="Обычный 11 2_объемы 2018г111" xfId="60948"/>
    <cellStyle name="Обычный 11 20" xfId="57858"/>
    <cellStyle name="Обычный 11 3" xfId="57859"/>
    <cellStyle name="Обычный 11 3 2" xfId="57860"/>
    <cellStyle name="Обычный 11 3 2 2" xfId="57861"/>
    <cellStyle name="Обычный 11 3 2 2 2" xfId="57862"/>
    <cellStyle name="Обычный 11 3 2 2 3" xfId="57863"/>
    <cellStyle name="Обычный 11 3 2 3" xfId="57864"/>
    <cellStyle name="Обычный 11 3 2 3 2" xfId="57865"/>
    <cellStyle name="Обычный 11 3 2 3 3" xfId="60949"/>
    <cellStyle name="Обычный 11 3 2 4" xfId="57866"/>
    <cellStyle name="Обычный 11 3 2 5" xfId="57867"/>
    <cellStyle name="Обычный 11 3 3" xfId="57868"/>
    <cellStyle name="Обычный 11 3 3 2" xfId="57869"/>
    <cellStyle name="Обычный 11 3 3 3" xfId="57870"/>
    <cellStyle name="Обычный 11 3 4" xfId="57871"/>
    <cellStyle name="Обычный 11 3 4 2" xfId="57872"/>
    <cellStyle name="Обычный 11 3 4 3" xfId="60950"/>
    <cellStyle name="Обычный 11 3 5" xfId="57873"/>
    <cellStyle name="Обычный 11 3 6" xfId="57874"/>
    <cellStyle name="Обычный 11 3_объемы 2018г111" xfId="60951"/>
    <cellStyle name="Обычный 11 4" xfId="57875"/>
    <cellStyle name="Обычный 11 4 2" xfId="57876"/>
    <cellStyle name="Обычный 11 4 2 2" xfId="57877"/>
    <cellStyle name="Обычный 11 4 2 3" xfId="57878"/>
    <cellStyle name="Обычный 11 4 3" xfId="57879"/>
    <cellStyle name="Обычный 11 4 3 2" xfId="57880"/>
    <cellStyle name="Обычный 11 4 3 3" xfId="60952"/>
    <cellStyle name="Обычный 11 4 4" xfId="57881"/>
    <cellStyle name="Обычный 11 4 5" xfId="57882"/>
    <cellStyle name="Обычный 11 5" xfId="57883"/>
    <cellStyle name="Обычный 11 5 2" xfId="57884"/>
    <cellStyle name="Обычный 11 5 2 2" xfId="57885"/>
    <cellStyle name="Обычный 11 5 2 3" xfId="57886"/>
    <cellStyle name="Обычный 11 5 3" xfId="57887"/>
    <cellStyle name="Обычный 11 5 3 2" xfId="57888"/>
    <cellStyle name="Обычный 11 5 3 3" xfId="60953"/>
    <cellStyle name="Обычный 11 5 4" xfId="57889"/>
    <cellStyle name="Обычный 11 5 5" xfId="57890"/>
    <cellStyle name="Обычный 11 6" xfId="57891"/>
    <cellStyle name="Обычный 11 6 2" xfId="57892"/>
    <cellStyle name="Обычный 11 6 2 2" xfId="57893"/>
    <cellStyle name="Обычный 11 6 2 3" xfId="57894"/>
    <cellStyle name="Обычный 11 6 3" xfId="57895"/>
    <cellStyle name="Обычный 11 6 3 2" xfId="57896"/>
    <cellStyle name="Обычный 11 6 3 3" xfId="60954"/>
    <cellStyle name="Обычный 11 6 4" xfId="57897"/>
    <cellStyle name="Обычный 11 6 5" xfId="57898"/>
    <cellStyle name="Обычный 11 7" xfId="57899"/>
    <cellStyle name="Обычный 11 7 2" xfId="57900"/>
    <cellStyle name="Обычный 11 7 2 2" xfId="57901"/>
    <cellStyle name="Обычный 11 7 2 3" xfId="57902"/>
    <cellStyle name="Обычный 11 7 3" xfId="57903"/>
    <cellStyle name="Обычный 11 7 3 2" xfId="57904"/>
    <cellStyle name="Обычный 11 7 3 3" xfId="60955"/>
    <cellStyle name="Обычный 11 7 4" xfId="57905"/>
    <cellStyle name="Обычный 11 7 5" xfId="57906"/>
    <cellStyle name="Обычный 11 8" xfId="57907"/>
    <cellStyle name="Обычный 11 8 2" xfId="57908"/>
    <cellStyle name="Обычный 11 8 2 2" xfId="57909"/>
    <cellStyle name="Обычный 11 8 2 3" xfId="57910"/>
    <cellStyle name="Обычный 11 8 3" xfId="57911"/>
    <cellStyle name="Обычный 11 8 3 2" xfId="57912"/>
    <cellStyle name="Обычный 11 8 3 3" xfId="60956"/>
    <cellStyle name="Обычный 11 8 4" xfId="57913"/>
    <cellStyle name="Обычный 11 8 5" xfId="57914"/>
    <cellStyle name="Обычный 11 9" xfId="57915"/>
    <cellStyle name="Обычный 11 9 2" xfId="57916"/>
    <cellStyle name="Обычный 11 9 2 2" xfId="57917"/>
    <cellStyle name="Обычный 11 9 2 3" xfId="57918"/>
    <cellStyle name="Обычный 11 9 3" xfId="57919"/>
    <cellStyle name="Обычный 11 9 3 2" xfId="57920"/>
    <cellStyle name="Обычный 11 9 3 3" xfId="60957"/>
    <cellStyle name="Обычный 11 9 4" xfId="57921"/>
    <cellStyle name="Обычный 11 9 5" xfId="57922"/>
    <cellStyle name="Обычный 11_объемы 2018г111" xfId="60958"/>
    <cellStyle name="Обычный 110" xfId="57923"/>
    <cellStyle name="Обычный 111" xfId="57924"/>
    <cellStyle name="Обычный 112" xfId="57925"/>
    <cellStyle name="Обычный 113" xfId="57926"/>
    <cellStyle name="Обычный 114" xfId="57927"/>
    <cellStyle name="Обычный 115" xfId="57928"/>
    <cellStyle name="Обычный 116" xfId="57929"/>
    <cellStyle name="Обычный 117" xfId="57930"/>
    <cellStyle name="Обычный 118" xfId="57931"/>
    <cellStyle name="Обычный 119" xfId="57932"/>
    <cellStyle name="Обычный 12" xfId="57933"/>
    <cellStyle name="Обычный 12 10" xfId="57934"/>
    <cellStyle name="Обычный 12 10 2" xfId="57935"/>
    <cellStyle name="Обычный 12 10 2 2" xfId="57936"/>
    <cellStyle name="Обычный 12 10 2 3" xfId="57937"/>
    <cellStyle name="Обычный 12 10 3" xfId="57938"/>
    <cellStyle name="Обычный 12 10 3 2" xfId="57939"/>
    <cellStyle name="Обычный 12 10 3 3" xfId="60959"/>
    <cellStyle name="Обычный 12 10 4" xfId="57940"/>
    <cellStyle name="Обычный 12 10 5" xfId="57941"/>
    <cellStyle name="Обычный 12 11" xfId="57942"/>
    <cellStyle name="Обычный 12 11 2" xfId="57943"/>
    <cellStyle name="Обычный 12 11 2 2" xfId="57944"/>
    <cellStyle name="Обычный 12 11 2 3" xfId="57945"/>
    <cellStyle name="Обычный 12 11 3" xfId="57946"/>
    <cellStyle name="Обычный 12 11 3 2" xfId="57947"/>
    <cellStyle name="Обычный 12 11 3 3" xfId="60960"/>
    <cellStyle name="Обычный 12 11 4" xfId="57948"/>
    <cellStyle name="Обычный 12 11 5" xfId="57949"/>
    <cellStyle name="Обычный 12 12" xfId="57950"/>
    <cellStyle name="Обычный 12 12 2" xfId="57951"/>
    <cellStyle name="Обычный 12 12 2 2" xfId="57952"/>
    <cellStyle name="Обычный 12 12 2 3" xfId="57953"/>
    <cellStyle name="Обычный 12 12 3" xfId="57954"/>
    <cellStyle name="Обычный 12 12 3 2" xfId="57955"/>
    <cellStyle name="Обычный 12 12 3 3" xfId="60961"/>
    <cellStyle name="Обычный 12 12 4" xfId="57956"/>
    <cellStyle name="Обычный 12 12 5" xfId="57957"/>
    <cellStyle name="Обычный 12 13" xfId="57958"/>
    <cellStyle name="Обычный 12 13 2" xfId="57959"/>
    <cellStyle name="Обычный 12 13 2 2" xfId="57960"/>
    <cellStyle name="Обычный 12 13 2 3" xfId="57961"/>
    <cellStyle name="Обычный 12 13 3" xfId="57962"/>
    <cellStyle name="Обычный 12 13 3 2" xfId="57963"/>
    <cellStyle name="Обычный 12 13 3 3" xfId="60962"/>
    <cellStyle name="Обычный 12 13 4" xfId="57964"/>
    <cellStyle name="Обычный 12 13 5" xfId="57965"/>
    <cellStyle name="Обычный 12 14" xfId="57966"/>
    <cellStyle name="Обычный 12 14 2" xfId="57967"/>
    <cellStyle name="Обычный 12 14 2 2" xfId="57968"/>
    <cellStyle name="Обычный 12 14 2 3" xfId="57969"/>
    <cellStyle name="Обычный 12 14 3" xfId="57970"/>
    <cellStyle name="Обычный 12 14 3 2" xfId="57971"/>
    <cellStyle name="Обычный 12 14 3 3" xfId="60963"/>
    <cellStyle name="Обычный 12 14 4" xfId="57972"/>
    <cellStyle name="Обычный 12 14 5" xfId="57973"/>
    <cellStyle name="Обычный 12 15" xfId="57974"/>
    <cellStyle name="Обычный 12 15 2" xfId="57975"/>
    <cellStyle name="Обычный 12 15 2 2" xfId="57976"/>
    <cellStyle name="Обычный 12 15 2 3" xfId="57977"/>
    <cellStyle name="Обычный 12 15 3" xfId="57978"/>
    <cellStyle name="Обычный 12 15 3 2" xfId="57979"/>
    <cellStyle name="Обычный 12 15 3 3" xfId="60964"/>
    <cellStyle name="Обычный 12 15 4" xfId="57980"/>
    <cellStyle name="Обычный 12 15 5" xfId="57981"/>
    <cellStyle name="Обычный 12 16" xfId="57982"/>
    <cellStyle name="Обычный 12 16 2" xfId="57983"/>
    <cellStyle name="Обычный 12 16 2 2" xfId="57984"/>
    <cellStyle name="Обычный 12 16 2 3" xfId="57985"/>
    <cellStyle name="Обычный 12 16 3" xfId="57986"/>
    <cellStyle name="Обычный 12 16 3 2" xfId="57987"/>
    <cellStyle name="Обычный 12 16 3 3" xfId="60965"/>
    <cellStyle name="Обычный 12 16 4" xfId="57988"/>
    <cellStyle name="Обычный 12 16 5" xfId="57989"/>
    <cellStyle name="Обычный 12 17" xfId="57990"/>
    <cellStyle name="Обычный 12 17 2" xfId="57991"/>
    <cellStyle name="Обычный 12 17 3" xfId="57992"/>
    <cellStyle name="Обычный 12 18" xfId="57993"/>
    <cellStyle name="Обычный 12 18 2" xfId="57994"/>
    <cellStyle name="Обычный 12 18 3" xfId="60966"/>
    <cellStyle name="Обычный 12 19" xfId="57995"/>
    <cellStyle name="Обычный 12 2" xfId="57996"/>
    <cellStyle name="Обычный 12 2 2" xfId="57997"/>
    <cellStyle name="Обычный 12 2 2 2" xfId="57998"/>
    <cellStyle name="Обычный 12 2 2 2 2" xfId="57999"/>
    <cellStyle name="Обычный 12 2 2 2 2 2" xfId="58000"/>
    <cellStyle name="Обычный 12 2 2 2 2 3" xfId="58001"/>
    <cellStyle name="Обычный 12 2 2 2 3" xfId="58002"/>
    <cellStyle name="Обычный 12 2 2 2 3 2" xfId="58003"/>
    <cellStyle name="Обычный 12 2 2 2 3 3" xfId="60967"/>
    <cellStyle name="Обычный 12 2 2 2 4" xfId="58004"/>
    <cellStyle name="Обычный 12 2 2 2 5" xfId="58005"/>
    <cellStyle name="Обычный 12 2 2 3" xfId="58006"/>
    <cellStyle name="Обычный 12 2 2 3 2" xfId="58007"/>
    <cellStyle name="Обычный 12 2 2 3 3" xfId="58008"/>
    <cellStyle name="Обычный 12 2 2 4" xfId="58009"/>
    <cellStyle name="Обычный 12 2 2 4 2" xfId="58010"/>
    <cellStyle name="Обычный 12 2 2 4 3" xfId="60968"/>
    <cellStyle name="Обычный 12 2 2 5" xfId="58011"/>
    <cellStyle name="Обычный 12 2 2 6" xfId="58012"/>
    <cellStyle name="Обычный 12 2 2_объемы 2018г111" xfId="60969"/>
    <cellStyle name="Обычный 12 2 3" xfId="58013"/>
    <cellStyle name="Обычный 12 2 3 2" xfId="58014"/>
    <cellStyle name="Обычный 12 2 3 2 2" xfId="58015"/>
    <cellStyle name="Обычный 12 2 3 2 3" xfId="58016"/>
    <cellStyle name="Обычный 12 2 3 3" xfId="58017"/>
    <cellStyle name="Обычный 12 2 3 3 2" xfId="58018"/>
    <cellStyle name="Обычный 12 2 3 3 3" xfId="60970"/>
    <cellStyle name="Обычный 12 2 3 4" xfId="58019"/>
    <cellStyle name="Обычный 12 2 3 5" xfId="58020"/>
    <cellStyle name="Обычный 12 2 4" xfId="58021"/>
    <cellStyle name="Обычный 12 2 4 2" xfId="58022"/>
    <cellStyle name="Обычный 12 2 4 3" xfId="58023"/>
    <cellStyle name="Обычный 12 2 5" xfId="58024"/>
    <cellStyle name="Обычный 12 2 5 2" xfId="58025"/>
    <cellStyle name="Обычный 12 2 5 3" xfId="60971"/>
    <cellStyle name="Обычный 12 2 6" xfId="58026"/>
    <cellStyle name="Обычный 12 2 7" xfId="58027"/>
    <cellStyle name="Обычный 12 2_объемы 2018г111" xfId="60972"/>
    <cellStyle name="Обычный 12 20" xfId="58028"/>
    <cellStyle name="Обычный 12 3" xfId="58029"/>
    <cellStyle name="Обычный 12 3 2" xfId="58030"/>
    <cellStyle name="Обычный 12 3 2 2" xfId="58031"/>
    <cellStyle name="Обычный 12 3 2 2 2" xfId="58032"/>
    <cellStyle name="Обычный 12 3 2 2 3" xfId="58033"/>
    <cellStyle name="Обычный 12 3 2 3" xfId="58034"/>
    <cellStyle name="Обычный 12 3 2 3 2" xfId="58035"/>
    <cellStyle name="Обычный 12 3 2 3 3" xfId="60973"/>
    <cellStyle name="Обычный 12 3 2 4" xfId="58036"/>
    <cellStyle name="Обычный 12 3 2 5" xfId="58037"/>
    <cellStyle name="Обычный 12 3 3" xfId="58038"/>
    <cellStyle name="Обычный 12 3 3 2" xfId="58039"/>
    <cellStyle name="Обычный 12 3 3 3" xfId="58040"/>
    <cellStyle name="Обычный 12 3 4" xfId="58041"/>
    <cellStyle name="Обычный 12 3 4 2" xfId="58042"/>
    <cellStyle name="Обычный 12 3 4 3" xfId="60974"/>
    <cellStyle name="Обычный 12 3 5" xfId="58043"/>
    <cellStyle name="Обычный 12 3 6" xfId="58044"/>
    <cellStyle name="Обычный 12 3_объемы 2018г111" xfId="60975"/>
    <cellStyle name="Обычный 12 4" xfId="58045"/>
    <cellStyle name="Обычный 12 4 2" xfId="58046"/>
    <cellStyle name="Обычный 12 4 2 2" xfId="58047"/>
    <cellStyle name="Обычный 12 4 2 3" xfId="58048"/>
    <cellStyle name="Обычный 12 4 3" xfId="58049"/>
    <cellStyle name="Обычный 12 4 3 2" xfId="58050"/>
    <cellStyle name="Обычный 12 4 3 3" xfId="60976"/>
    <cellStyle name="Обычный 12 4 4" xfId="58051"/>
    <cellStyle name="Обычный 12 4 5" xfId="58052"/>
    <cellStyle name="Обычный 12 5" xfId="58053"/>
    <cellStyle name="Обычный 12 5 2" xfId="58054"/>
    <cellStyle name="Обычный 12 5 2 2" xfId="58055"/>
    <cellStyle name="Обычный 12 5 2 3" xfId="58056"/>
    <cellStyle name="Обычный 12 5 3" xfId="58057"/>
    <cellStyle name="Обычный 12 5 3 2" xfId="58058"/>
    <cellStyle name="Обычный 12 5 3 3" xfId="60977"/>
    <cellStyle name="Обычный 12 5 4" xfId="58059"/>
    <cellStyle name="Обычный 12 5 5" xfId="58060"/>
    <cellStyle name="Обычный 12 6" xfId="58061"/>
    <cellStyle name="Обычный 12 6 2" xfId="58062"/>
    <cellStyle name="Обычный 12 6 2 2" xfId="58063"/>
    <cellStyle name="Обычный 12 6 2 3" xfId="58064"/>
    <cellStyle name="Обычный 12 6 3" xfId="58065"/>
    <cellStyle name="Обычный 12 6 3 2" xfId="58066"/>
    <cellStyle name="Обычный 12 6 3 3" xfId="60978"/>
    <cellStyle name="Обычный 12 6 4" xfId="58067"/>
    <cellStyle name="Обычный 12 6 5" xfId="58068"/>
    <cellStyle name="Обычный 12 7" xfId="58069"/>
    <cellStyle name="Обычный 12 7 2" xfId="58070"/>
    <cellStyle name="Обычный 12 7 2 2" xfId="58071"/>
    <cellStyle name="Обычный 12 7 2 3" xfId="58072"/>
    <cellStyle name="Обычный 12 7 3" xfId="58073"/>
    <cellStyle name="Обычный 12 7 3 2" xfId="58074"/>
    <cellStyle name="Обычный 12 7 3 3" xfId="60979"/>
    <cellStyle name="Обычный 12 7 4" xfId="58075"/>
    <cellStyle name="Обычный 12 7 5" xfId="58076"/>
    <cellStyle name="Обычный 12 8" xfId="58077"/>
    <cellStyle name="Обычный 12 8 2" xfId="58078"/>
    <cellStyle name="Обычный 12 8 2 2" xfId="58079"/>
    <cellStyle name="Обычный 12 8 2 3" xfId="58080"/>
    <cellStyle name="Обычный 12 8 3" xfId="58081"/>
    <cellStyle name="Обычный 12 8 3 2" xfId="58082"/>
    <cellStyle name="Обычный 12 8 3 3" xfId="60980"/>
    <cellStyle name="Обычный 12 8 4" xfId="58083"/>
    <cellStyle name="Обычный 12 8 5" xfId="58084"/>
    <cellStyle name="Обычный 12 9" xfId="58085"/>
    <cellStyle name="Обычный 12 9 2" xfId="58086"/>
    <cellStyle name="Обычный 12 9 2 2" xfId="58087"/>
    <cellStyle name="Обычный 12 9 2 3" xfId="58088"/>
    <cellStyle name="Обычный 12 9 3" xfId="58089"/>
    <cellStyle name="Обычный 12 9 3 2" xfId="58090"/>
    <cellStyle name="Обычный 12 9 3 3" xfId="60981"/>
    <cellStyle name="Обычный 12 9 4" xfId="58091"/>
    <cellStyle name="Обычный 12 9 5" xfId="58092"/>
    <cellStyle name="Обычный 12_объемы 2018г111" xfId="60982"/>
    <cellStyle name="Обычный 120" xfId="58093"/>
    <cellStyle name="Обычный 121" xfId="58094"/>
    <cellStyle name="Обычный 122" xfId="58095"/>
    <cellStyle name="Обычный 123" xfId="58096"/>
    <cellStyle name="Обычный 124" xfId="58097"/>
    <cellStyle name="Обычный 125" xfId="58098"/>
    <cellStyle name="Обычный 126" xfId="58099"/>
    <cellStyle name="Обычный 127" xfId="58100"/>
    <cellStyle name="Обычный 128" xfId="58101"/>
    <cellStyle name="Обычный 129" xfId="58102"/>
    <cellStyle name="Обычный 13" xfId="58103"/>
    <cellStyle name="Обычный 13 10" xfId="58104"/>
    <cellStyle name="Обычный 13 10 2" xfId="58105"/>
    <cellStyle name="Обычный 13 10 2 2" xfId="58106"/>
    <cellStyle name="Обычный 13 10 2 3" xfId="58107"/>
    <cellStyle name="Обычный 13 10 3" xfId="58108"/>
    <cellStyle name="Обычный 13 10 3 2" xfId="58109"/>
    <cellStyle name="Обычный 13 10 3 3" xfId="60983"/>
    <cellStyle name="Обычный 13 10 4" xfId="58110"/>
    <cellStyle name="Обычный 13 10 5" xfId="58111"/>
    <cellStyle name="Обычный 13 11" xfId="58112"/>
    <cellStyle name="Обычный 13 11 2" xfId="58113"/>
    <cellStyle name="Обычный 13 11 2 2" xfId="58114"/>
    <cellStyle name="Обычный 13 11 2 3" xfId="58115"/>
    <cellStyle name="Обычный 13 11 3" xfId="58116"/>
    <cellStyle name="Обычный 13 11 3 2" xfId="58117"/>
    <cellStyle name="Обычный 13 11 3 3" xfId="60984"/>
    <cellStyle name="Обычный 13 11 4" xfId="58118"/>
    <cellStyle name="Обычный 13 11 5" xfId="58119"/>
    <cellStyle name="Обычный 13 12" xfId="58120"/>
    <cellStyle name="Обычный 13 12 2" xfId="58121"/>
    <cellStyle name="Обычный 13 12 2 2" xfId="58122"/>
    <cellStyle name="Обычный 13 12 2 3" xfId="58123"/>
    <cellStyle name="Обычный 13 12 3" xfId="58124"/>
    <cellStyle name="Обычный 13 12 3 2" xfId="58125"/>
    <cellStyle name="Обычный 13 12 3 3" xfId="60985"/>
    <cellStyle name="Обычный 13 12 4" xfId="58126"/>
    <cellStyle name="Обычный 13 12 5" xfId="58127"/>
    <cellStyle name="Обычный 13 13" xfId="58128"/>
    <cellStyle name="Обычный 13 13 2" xfId="58129"/>
    <cellStyle name="Обычный 13 13 2 2" xfId="58130"/>
    <cellStyle name="Обычный 13 13 2 3" xfId="58131"/>
    <cellStyle name="Обычный 13 13 3" xfId="58132"/>
    <cellStyle name="Обычный 13 13 3 2" xfId="58133"/>
    <cellStyle name="Обычный 13 13 3 3" xfId="60986"/>
    <cellStyle name="Обычный 13 13 4" xfId="58134"/>
    <cellStyle name="Обычный 13 13 5" xfId="58135"/>
    <cellStyle name="Обычный 13 14" xfId="58136"/>
    <cellStyle name="Обычный 13 14 2" xfId="58137"/>
    <cellStyle name="Обычный 13 14 2 2" xfId="58138"/>
    <cellStyle name="Обычный 13 14 2 3" xfId="58139"/>
    <cellStyle name="Обычный 13 14 3" xfId="58140"/>
    <cellStyle name="Обычный 13 14 3 2" xfId="58141"/>
    <cellStyle name="Обычный 13 14 3 3" xfId="60987"/>
    <cellStyle name="Обычный 13 14 4" xfId="58142"/>
    <cellStyle name="Обычный 13 14 5" xfId="58143"/>
    <cellStyle name="Обычный 13 15" xfId="58144"/>
    <cellStyle name="Обычный 13 15 2" xfId="58145"/>
    <cellStyle name="Обычный 13 15 2 2" xfId="58146"/>
    <cellStyle name="Обычный 13 15 2 3" xfId="58147"/>
    <cellStyle name="Обычный 13 15 3" xfId="58148"/>
    <cellStyle name="Обычный 13 15 3 2" xfId="58149"/>
    <cellStyle name="Обычный 13 15 3 3" xfId="60988"/>
    <cellStyle name="Обычный 13 15 4" xfId="58150"/>
    <cellStyle name="Обычный 13 15 5" xfId="58151"/>
    <cellStyle name="Обычный 13 16" xfId="58152"/>
    <cellStyle name="Обычный 13 16 2" xfId="58153"/>
    <cellStyle name="Обычный 13 16 2 2" xfId="58154"/>
    <cellStyle name="Обычный 13 16 2 3" xfId="58155"/>
    <cellStyle name="Обычный 13 16 3" xfId="58156"/>
    <cellStyle name="Обычный 13 16 3 2" xfId="58157"/>
    <cellStyle name="Обычный 13 16 3 3" xfId="60989"/>
    <cellStyle name="Обычный 13 16 4" xfId="58158"/>
    <cellStyle name="Обычный 13 16 5" xfId="58159"/>
    <cellStyle name="Обычный 13 17" xfId="58160"/>
    <cellStyle name="Обычный 13 17 2" xfId="58161"/>
    <cellStyle name="Обычный 13 17 3" xfId="58162"/>
    <cellStyle name="Обычный 13 18" xfId="58163"/>
    <cellStyle name="Обычный 13 18 2" xfId="58164"/>
    <cellStyle name="Обычный 13 18 3" xfId="60990"/>
    <cellStyle name="Обычный 13 19" xfId="58165"/>
    <cellStyle name="Обычный 13 2" xfId="58166"/>
    <cellStyle name="Обычный 13 2 2" xfId="58167"/>
    <cellStyle name="Обычный 13 2 2 2" xfId="58168"/>
    <cellStyle name="Обычный 13 2 2 2 2" xfId="58169"/>
    <cellStyle name="Обычный 13 2 2 2 2 2" xfId="58170"/>
    <cellStyle name="Обычный 13 2 2 2 2 3" xfId="58171"/>
    <cellStyle name="Обычный 13 2 2 2 3" xfId="58172"/>
    <cellStyle name="Обычный 13 2 2 2 3 2" xfId="58173"/>
    <cellStyle name="Обычный 13 2 2 2 3 3" xfId="60991"/>
    <cellStyle name="Обычный 13 2 2 2 4" xfId="58174"/>
    <cellStyle name="Обычный 13 2 2 2 5" xfId="58175"/>
    <cellStyle name="Обычный 13 2 2 3" xfId="58176"/>
    <cellStyle name="Обычный 13 2 2 3 2" xfId="58177"/>
    <cellStyle name="Обычный 13 2 2 3 3" xfId="58178"/>
    <cellStyle name="Обычный 13 2 2 4" xfId="58179"/>
    <cellStyle name="Обычный 13 2 2 4 2" xfId="58180"/>
    <cellStyle name="Обычный 13 2 2 4 3" xfId="60992"/>
    <cellStyle name="Обычный 13 2 2 5" xfId="58181"/>
    <cellStyle name="Обычный 13 2 2 6" xfId="58182"/>
    <cellStyle name="Обычный 13 2 2_объемы 2018г111" xfId="60993"/>
    <cellStyle name="Обычный 13 2 3" xfId="58183"/>
    <cellStyle name="Обычный 13 2 3 2" xfId="58184"/>
    <cellStyle name="Обычный 13 2 3 2 2" xfId="58185"/>
    <cellStyle name="Обычный 13 2 3 2 3" xfId="58186"/>
    <cellStyle name="Обычный 13 2 3 3" xfId="58187"/>
    <cellStyle name="Обычный 13 2 3 3 2" xfId="58188"/>
    <cellStyle name="Обычный 13 2 3 3 3" xfId="60994"/>
    <cellStyle name="Обычный 13 2 3 4" xfId="58189"/>
    <cellStyle name="Обычный 13 2 3 5" xfId="58190"/>
    <cellStyle name="Обычный 13 2 4" xfId="58191"/>
    <cellStyle name="Обычный 13 2 4 2" xfId="58192"/>
    <cellStyle name="Обычный 13 2 4 3" xfId="58193"/>
    <cellStyle name="Обычный 13 2 5" xfId="58194"/>
    <cellStyle name="Обычный 13 2 5 2" xfId="58195"/>
    <cellStyle name="Обычный 13 2 5 3" xfId="60995"/>
    <cellStyle name="Обычный 13 2 6" xfId="58196"/>
    <cellStyle name="Обычный 13 2 7" xfId="58197"/>
    <cellStyle name="Обычный 13 2_объемы 2018г111" xfId="60996"/>
    <cellStyle name="Обычный 13 20" xfId="58198"/>
    <cellStyle name="Обычный 13 3" xfId="58199"/>
    <cellStyle name="Обычный 13 3 2" xfId="58200"/>
    <cellStyle name="Обычный 13 3 2 2" xfId="58201"/>
    <cellStyle name="Обычный 13 3 2 2 2" xfId="58202"/>
    <cellStyle name="Обычный 13 3 2 2 3" xfId="58203"/>
    <cellStyle name="Обычный 13 3 2 3" xfId="58204"/>
    <cellStyle name="Обычный 13 3 2 3 2" xfId="58205"/>
    <cellStyle name="Обычный 13 3 2 3 3" xfId="60997"/>
    <cellStyle name="Обычный 13 3 2 4" xfId="58206"/>
    <cellStyle name="Обычный 13 3 2 5" xfId="58207"/>
    <cellStyle name="Обычный 13 3 3" xfId="58208"/>
    <cellStyle name="Обычный 13 3 3 2" xfId="58209"/>
    <cellStyle name="Обычный 13 3 3 3" xfId="58210"/>
    <cellStyle name="Обычный 13 3 4" xfId="58211"/>
    <cellStyle name="Обычный 13 3 4 2" xfId="58212"/>
    <cellStyle name="Обычный 13 3 4 3" xfId="60998"/>
    <cellStyle name="Обычный 13 3 5" xfId="58213"/>
    <cellStyle name="Обычный 13 3 6" xfId="58214"/>
    <cellStyle name="Обычный 13 3_объемы 2018г111" xfId="60999"/>
    <cellStyle name="Обычный 13 4" xfId="58215"/>
    <cellStyle name="Обычный 13 4 2" xfId="58216"/>
    <cellStyle name="Обычный 13 4 2 2" xfId="58217"/>
    <cellStyle name="Обычный 13 4 2 3" xfId="58218"/>
    <cellStyle name="Обычный 13 4 3" xfId="58219"/>
    <cellStyle name="Обычный 13 4 3 2" xfId="58220"/>
    <cellStyle name="Обычный 13 4 3 3" xfId="61000"/>
    <cellStyle name="Обычный 13 4 4" xfId="58221"/>
    <cellStyle name="Обычный 13 4 5" xfId="58222"/>
    <cellStyle name="Обычный 13 5" xfId="58223"/>
    <cellStyle name="Обычный 13 5 2" xfId="58224"/>
    <cellStyle name="Обычный 13 5 2 2" xfId="58225"/>
    <cellStyle name="Обычный 13 5 2 3" xfId="58226"/>
    <cellStyle name="Обычный 13 5 3" xfId="58227"/>
    <cellStyle name="Обычный 13 5 3 2" xfId="58228"/>
    <cellStyle name="Обычный 13 5 3 3" xfId="61001"/>
    <cellStyle name="Обычный 13 5 4" xfId="58229"/>
    <cellStyle name="Обычный 13 5 5" xfId="58230"/>
    <cellStyle name="Обычный 13 6" xfId="58231"/>
    <cellStyle name="Обычный 13 6 2" xfId="58232"/>
    <cellStyle name="Обычный 13 6 2 2" xfId="58233"/>
    <cellStyle name="Обычный 13 6 2 3" xfId="58234"/>
    <cellStyle name="Обычный 13 6 3" xfId="58235"/>
    <cellStyle name="Обычный 13 6 3 2" xfId="58236"/>
    <cellStyle name="Обычный 13 6 3 3" xfId="61002"/>
    <cellStyle name="Обычный 13 6 4" xfId="58237"/>
    <cellStyle name="Обычный 13 6 5" xfId="58238"/>
    <cellStyle name="Обычный 13 7" xfId="58239"/>
    <cellStyle name="Обычный 13 7 2" xfId="58240"/>
    <cellStyle name="Обычный 13 7 2 2" xfId="58241"/>
    <cellStyle name="Обычный 13 7 2 3" xfId="58242"/>
    <cellStyle name="Обычный 13 7 3" xfId="58243"/>
    <cellStyle name="Обычный 13 7 3 2" xfId="58244"/>
    <cellStyle name="Обычный 13 7 3 3" xfId="61003"/>
    <cellStyle name="Обычный 13 7 4" xfId="58245"/>
    <cellStyle name="Обычный 13 7 5" xfId="58246"/>
    <cellStyle name="Обычный 13 8" xfId="58247"/>
    <cellStyle name="Обычный 13 8 2" xfId="58248"/>
    <cellStyle name="Обычный 13 8 2 2" xfId="58249"/>
    <cellStyle name="Обычный 13 8 2 3" xfId="58250"/>
    <cellStyle name="Обычный 13 8 3" xfId="58251"/>
    <cellStyle name="Обычный 13 8 3 2" xfId="58252"/>
    <cellStyle name="Обычный 13 8 3 3" xfId="61004"/>
    <cellStyle name="Обычный 13 8 4" xfId="58253"/>
    <cellStyle name="Обычный 13 8 5" xfId="58254"/>
    <cellStyle name="Обычный 13 9" xfId="58255"/>
    <cellStyle name="Обычный 13 9 2" xfId="58256"/>
    <cellStyle name="Обычный 13 9 2 2" xfId="58257"/>
    <cellStyle name="Обычный 13 9 2 3" xfId="58258"/>
    <cellStyle name="Обычный 13 9 3" xfId="58259"/>
    <cellStyle name="Обычный 13 9 3 2" xfId="58260"/>
    <cellStyle name="Обычный 13 9 3 3" xfId="61005"/>
    <cellStyle name="Обычный 13 9 4" xfId="58261"/>
    <cellStyle name="Обычный 13 9 5" xfId="58262"/>
    <cellStyle name="Обычный 13_объемы 2018г111" xfId="61006"/>
    <cellStyle name="Обычный 130" xfId="58263"/>
    <cellStyle name="Обычный 131" xfId="58264"/>
    <cellStyle name="Обычный 132" xfId="58265"/>
    <cellStyle name="Обычный 133" xfId="58266"/>
    <cellStyle name="Обычный 134" xfId="58267"/>
    <cellStyle name="Обычный 135" xfId="58268"/>
    <cellStyle name="Обычный 136" xfId="58269"/>
    <cellStyle name="Обычный 137" xfId="58270"/>
    <cellStyle name="Обычный 138" xfId="58271"/>
    <cellStyle name="Обычный 139" xfId="58272"/>
    <cellStyle name="Обычный 14" xfId="58273"/>
    <cellStyle name="Обычный 14 10" xfId="58274"/>
    <cellStyle name="Обычный 14 10 2" xfId="58275"/>
    <cellStyle name="Обычный 14 10 2 2" xfId="58276"/>
    <cellStyle name="Обычный 14 10 2 3" xfId="58277"/>
    <cellStyle name="Обычный 14 10 3" xfId="58278"/>
    <cellStyle name="Обычный 14 10 3 2" xfId="58279"/>
    <cellStyle name="Обычный 14 10 3 3" xfId="61007"/>
    <cellStyle name="Обычный 14 10 4" xfId="58280"/>
    <cellStyle name="Обычный 14 10 5" xfId="58281"/>
    <cellStyle name="Обычный 14 11" xfId="58282"/>
    <cellStyle name="Обычный 14 11 2" xfId="58283"/>
    <cellStyle name="Обычный 14 11 2 2" xfId="58284"/>
    <cellStyle name="Обычный 14 11 2 3" xfId="58285"/>
    <cellStyle name="Обычный 14 11 3" xfId="58286"/>
    <cellStyle name="Обычный 14 11 3 2" xfId="58287"/>
    <cellStyle name="Обычный 14 11 3 3" xfId="61008"/>
    <cellStyle name="Обычный 14 11 4" xfId="58288"/>
    <cellStyle name="Обычный 14 11 5" xfId="58289"/>
    <cellStyle name="Обычный 14 12" xfId="58290"/>
    <cellStyle name="Обычный 14 12 2" xfId="58291"/>
    <cellStyle name="Обычный 14 12 2 2" xfId="58292"/>
    <cellStyle name="Обычный 14 12 2 3" xfId="58293"/>
    <cellStyle name="Обычный 14 12 3" xfId="58294"/>
    <cellStyle name="Обычный 14 12 3 2" xfId="58295"/>
    <cellStyle name="Обычный 14 12 3 3" xfId="61009"/>
    <cellStyle name="Обычный 14 12 4" xfId="58296"/>
    <cellStyle name="Обычный 14 12 5" xfId="58297"/>
    <cellStyle name="Обычный 14 13" xfId="58298"/>
    <cellStyle name="Обычный 14 13 2" xfId="58299"/>
    <cellStyle name="Обычный 14 13 2 2" xfId="58300"/>
    <cellStyle name="Обычный 14 13 2 3" xfId="58301"/>
    <cellStyle name="Обычный 14 13 3" xfId="58302"/>
    <cellStyle name="Обычный 14 13 3 2" xfId="58303"/>
    <cellStyle name="Обычный 14 13 3 3" xfId="61010"/>
    <cellStyle name="Обычный 14 13 4" xfId="58304"/>
    <cellStyle name="Обычный 14 13 5" xfId="58305"/>
    <cellStyle name="Обычный 14 14" xfId="58306"/>
    <cellStyle name="Обычный 14 14 2" xfId="58307"/>
    <cellStyle name="Обычный 14 14 2 2" xfId="58308"/>
    <cellStyle name="Обычный 14 14 2 3" xfId="58309"/>
    <cellStyle name="Обычный 14 14 3" xfId="58310"/>
    <cellStyle name="Обычный 14 14 3 2" xfId="58311"/>
    <cellStyle name="Обычный 14 14 3 3" xfId="61011"/>
    <cellStyle name="Обычный 14 14 4" xfId="58312"/>
    <cellStyle name="Обычный 14 14 5" xfId="58313"/>
    <cellStyle name="Обычный 14 15" xfId="58314"/>
    <cellStyle name="Обычный 14 15 2" xfId="58315"/>
    <cellStyle name="Обычный 14 15 2 2" xfId="58316"/>
    <cellStyle name="Обычный 14 15 2 3" xfId="58317"/>
    <cellStyle name="Обычный 14 15 3" xfId="58318"/>
    <cellStyle name="Обычный 14 15 3 2" xfId="58319"/>
    <cellStyle name="Обычный 14 15 3 3" xfId="61012"/>
    <cellStyle name="Обычный 14 15 4" xfId="58320"/>
    <cellStyle name="Обычный 14 15 5" xfId="58321"/>
    <cellStyle name="Обычный 14 16" xfId="58322"/>
    <cellStyle name="Обычный 14 16 2" xfId="58323"/>
    <cellStyle name="Обычный 14 16 2 2" xfId="58324"/>
    <cellStyle name="Обычный 14 16 2 3" xfId="58325"/>
    <cellStyle name="Обычный 14 16 3" xfId="58326"/>
    <cellStyle name="Обычный 14 16 3 2" xfId="58327"/>
    <cellStyle name="Обычный 14 16 3 3" xfId="61013"/>
    <cellStyle name="Обычный 14 16 4" xfId="58328"/>
    <cellStyle name="Обычный 14 16 5" xfId="58329"/>
    <cellStyle name="Обычный 14 17" xfId="58330"/>
    <cellStyle name="Обычный 14 17 2" xfId="58331"/>
    <cellStyle name="Обычный 14 17 3" xfId="58332"/>
    <cellStyle name="Обычный 14 18" xfId="58333"/>
    <cellStyle name="Обычный 14 18 2" xfId="58334"/>
    <cellStyle name="Обычный 14 18 3" xfId="61014"/>
    <cellStyle name="Обычный 14 19" xfId="58335"/>
    <cellStyle name="Обычный 14 2" xfId="58336"/>
    <cellStyle name="Обычный 14 2 2" xfId="58337"/>
    <cellStyle name="Обычный 14 2 2 2" xfId="58338"/>
    <cellStyle name="Обычный 14 2 2 2 2" xfId="58339"/>
    <cellStyle name="Обычный 14 2 2 2 2 2" xfId="58340"/>
    <cellStyle name="Обычный 14 2 2 2 2 3" xfId="58341"/>
    <cellStyle name="Обычный 14 2 2 2 3" xfId="58342"/>
    <cellStyle name="Обычный 14 2 2 2 3 2" xfId="58343"/>
    <cellStyle name="Обычный 14 2 2 2 3 3" xfId="61015"/>
    <cellStyle name="Обычный 14 2 2 2 4" xfId="58344"/>
    <cellStyle name="Обычный 14 2 2 2 5" xfId="58345"/>
    <cellStyle name="Обычный 14 2 2 3" xfId="58346"/>
    <cellStyle name="Обычный 14 2 2 3 2" xfId="58347"/>
    <cellStyle name="Обычный 14 2 2 3 3" xfId="58348"/>
    <cellStyle name="Обычный 14 2 2 4" xfId="58349"/>
    <cellStyle name="Обычный 14 2 2 4 2" xfId="58350"/>
    <cellStyle name="Обычный 14 2 2 4 3" xfId="61016"/>
    <cellStyle name="Обычный 14 2 2 5" xfId="58351"/>
    <cellStyle name="Обычный 14 2 2 6" xfId="58352"/>
    <cellStyle name="Обычный 14 2 2_объемы 2018г111" xfId="61017"/>
    <cellStyle name="Обычный 14 2 3" xfId="58353"/>
    <cellStyle name="Обычный 14 2 3 2" xfId="58354"/>
    <cellStyle name="Обычный 14 2 3 2 2" xfId="58355"/>
    <cellStyle name="Обычный 14 2 3 2 3" xfId="58356"/>
    <cellStyle name="Обычный 14 2 3 3" xfId="58357"/>
    <cellStyle name="Обычный 14 2 3 3 2" xfId="58358"/>
    <cellStyle name="Обычный 14 2 3 3 3" xfId="61018"/>
    <cellStyle name="Обычный 14 2 3 4" xfId="58359"/>
    <cellStyle name="Обычный 14 2 3 5" xfId="58360"/>
    <cellStyle name="Обычный 14 2 4" xfId="58361"/>
    <cellStyle name="Обычный 14 2 4 2" xfId="58362"/>
    <cellStyle name="Обычный 14 2 4 3" xfId="58363"/>
    <cellStyle name="Обычный 14 2 5" xfId="58364"/>
    <cellStyle name="Обычный 14 2 5 2" xfId="58365"/>
    <cellStyle name="Обычный 14 2 5 3" xfId="61019"/>
    <cellStyle name="Обычный 14 2 6" xfId="58366"/>
    <cellStyle name="Обычный 14 2 7" xfId="58367"/>
    <cellStyle name="Обычный 14 2_объемы 2018г111" xfId="61020"/>
    <cellStyle name="Обычный 14 20" xfId="58368"/>
    <cellStyle name="Обычный 14 3" xfId="58369"/>
    <cellStyle name="Обычный 14 3 2" xfId="58370"/>
    <cellStyle name="Обычный 14 3 2 2" xfId="58371"/>
    <cellStyle name="Обычный 14 3 2 2 2" xfId="58372"/>
    <cellStyle name="Обычный 14 3 2 2 3" xfId="58373"/>
    <cellStyle name="Обычный 14 3 2 3" xfId="58374"/>
    <cellStyle name="Обычный 14 3 2 3 2" xfId="58375"/>
    <cellStyle name="Обычный 14 3 2 3 3" xfId="61021"/>
    <cellStyle name="Обычный 14 3 2 4" xfId="58376"/>
    <cellStyle name="Обычный 14 3 2 5" xfId="58377"/>
    <cellStyle name="Обычный 14 3 3" xfId="58378"/>
    <cellStyle name="Обычный 14 3 3 2" xfId="58379"/>
    <cellStyle name="Обычный 14 3 3 3" xfId="58380"/>
    <cellStyle name="Обычный 14 3 4" xfId="58381"/>
    <cellStyle name="Обычный 14 3 4 2" xfId="58382"/>
    <cellStyle name="Обычный 14 3 4 3" xfId="61022"/>
    <cellStyle name="Обычный 14 3 5" xfId="58383"/>
    <cellStyle name="Обычный 14 3 6" xfId="58384"/>
    <cellStyle name="Обычный 14 3_объемы 2018г111" xfId="61023"/>
    <cellStyle name="Обычный 14 4" xfId="58385"/>
    <cellStyle name="Обычный 14 4 2" xfId="58386"/>
    <cellStyle name="Обычный 14 4 2 2" xfId="58387"/>
    <cellStyle name="Обычный 14 4 2 3" xfId="58388"/>
    <cellStyle name="Обычный 14 4 3" xfId="58389"/>
    <cellStyle name="Обычный 14 4 3 2" xfId="58390"/>
    <cellStyle name="Обычный 14 4 3 3" xfId="61024"/>
    <cellStyle name="Обычный 14 4 4" xfId="58391"/>
    <cellStyle name="Обычный 14 4 5" xfId="58392"/>
    <cellStyle name="Обычный 14 5" xfId="58393"/>
    <cellStyle name="Обычный 14 5 2" xfId="58394"/>
    <cellStyle name="Обычный 14 5 2 2" xfId="58395"/>
    <cellStyle name="Обычный 14 5 2 3" xfId="58396"/>
    <cellStyle name="Обычный 14 5 3" xfId="58397"/>
    <cellStyle name="Обычный 14 5 3 2" xfId="58398"/>
    <cellStyle name="Обычный 14 5 3 3" xfId="61025"/>
    <cellStyle name="Обычный 14 5 4" xfId="58399"/>
    <cellStyle name="Обычный 14 5 5" xfId="58400"/>
    <cellStyle name="Обычный 14 6" xfId="58401"/>
    <cellStyle name="Обычный 14 6 2" xfId="58402"/>
    <cellStyle name="Обычный 14 6 2 2" xfId="58403"/>
    <cellStyle name="Обычный 14 6 2 3" xfId="58404"/>
    <cellStyle name="Обычный 14 6 3" xfId="58405"/>
    <cellStyle name="Обычный 14 6 3 2" xfId="58406"/>
    <cellStyle name="Обычный 14 6 3 3" xfId="61026"/>
    <cellStyle name="Обычный 14 6 4" xfId="58407"/>
    <cellStyle name="Обычный 14 6 5" xfId="58408"/>
    <cellStyle name="Обычный 14 7" xfId="58409"/>
    <cellStyle name="Обычный 14 7 2" xfId="58410"/>
    <cellStyle name="Обычный 14 7 2 2" xfId="58411"/>
    <cellStyle name="Обычный 14 7 2 3" xfId="58412"/>
    <cellStyle name="Обычный 14 7 3" xfId="58413"/>
    <cellStyle name="Обычный 14 7 3 2" xfId="58414"/>
    <cellStyle name="Обычный 14 7 3 3" xfId="61027"/>
    <cellStyle name="Обычный 14 7 4" xfId="58415"/>
    <cellStyle name="Обычный 14 7 5" xfId="58416"/>
    <cellStyle name="Обычный 14 8" xfId="58417"/>
    <cellStyle name="Обычный 14 8 2" xfId="58418"/>
    <cellStyle name="Обычный 14 8 2 2" xfId="58419"/>
    <cellStyle name="Обычный 14 8 2 3" xfId="58420"/>
    <cellStyle name="Обычный 14 8 3" xfId="58421"/>
    <cellStyle name="Обычный 14 8 3 2" xfId="58422"/>
    <cellStyle name="Обычный 14 8 3 3" xfId="61028"/>
    <cellStyle name="Обычный 14 8 4" xfId="58423"/>
    <cellStyle name="Обычный 14 8 5" xfId="58424"/>
    <cellStyle name="Обычный 14 9" xfId="58425"/>
    <cellStyle name="Обычный 14 9 2" xfId="58426"/>
    <cellStyle name="Обычный 14 9 2 2" xfId="58427"/>
    <cellStyle name="Обычный 14 9 2 3" xfId="58428"/>
    <cellStyle name="Обычный 14 9 3" xfId="58429"/>
    <cellStyle name="Обычный 14 9 3 2" xfId="58430"/>
    <cellStyle name="Обычный 14 9 3 3" xfId="61029"/>
    <cellStyle name="Обычный 14 9 4" xfId="58431"/>
    <cellStyle name="Обычный 14 9 5" xfId="58432"/>
    <cellStyle name="Обычный 14_объемы 2018г111" xfId="61030"/>
    <cellStyle name="Обычный 15" xfId="58433"/>
    <cellStyle name="Обычный 15 10" xfId="58434"/>
    <cellStyle name="Обычный 15 10 2" xfId="58435"/>
    <cellStyle name="Обычный 15 10 2 2" xfId="58436"/>
    <cellStyle name="Обычный 15 10 2 3" xfId="58437"/>
    <cellStyle name="Обычный 15 10 3" xfId="58438"/>
    <cellStyle name="Обычный 15 10 3 2" xfId="58439"/>
    <cellStyle name="Обычный 15 10 3 3" xfId="61031"/>
    <cellStyle name="Обычный 15 10 4" xfId="58440"/>
    <cellStyle name="Обычный 15 10 5" xfId="58441"/>
    <cellStyle name="Обычный 15 11" xfId="58442"/>
    <cellStyle name="Обычный 15 11 2" xfId="58443"/>
    <cellStyle name="Обычный 15 11 2 2" xfId="58444"/>
    <cellStyle name="Обычный 15 11 2 3" xfId="58445"/>
    <cellStyle name="Обычный 15 11 3" xfId="58446"/>
    <cellStyle name="Обычный 15 11 3 2" xfId="58447"/>
    <cellStyle name="Обычный 15 11 3 3" xfId="61032"/>
    <cellStyle name="Обычный 15 11 4" xfId="58448"/>
    <cellStyle name="Обычный 15 11 5" xfId="58449"/>
    <cellStyle name="Обычный 15 12" xfId="58450"/>
    <cellStyle name="Обычный 15 12 2" xfId="58451"/>
    <cellStyle name="Обычный 15 12 2 2" xfId="58452"/>
    <cellStyle name="Обычный 15 12 2 3" xfId="58453"/>
    <cellStyle name="Обычный 15 12 3" xfId="58454"/>
    <cellStyle name="Обычный 15 12 3 2" xfId="58455"/>
    <cellStyle name="Обычный 15 12 3 3" xfId="61033"/>
    <cellStyle name="Обычный 15 12 4" xfId="58456"/>
    <cellStyle name="Обычный 15 12 5" xfId="58457"/>
    <cellStyle name="Обычный 15 13" xfId="58458"/>
    <cellStyle name="Обычный 15 13 2" xfId="58459"/>
    <cellStyle name="Обычный 15 13 2 2" xfId="58460"/>
    <cellStyle name="Обычный 15 13 2 3" xfId="58461"/>
    <cellStyle name="Обычный 15 13 3" xfId="58462"/>
    <cellStyle name="Обычный 15 13 3 2" xfId="58463"/>
    <cellStyle name="Обычный 15 13 3 3" xfId="61034"/>
    <cellStyle name="Обычный 15 13 4" xfId="58464"/>
    <cellStyle name="Обычный 15 13 5" xfId="58465"/>
    <cellStyle name="Обычный 15 14" xfId="58466"/>
    <cellStyle name="Обычный 15 14 2" xfId="58467"/>
    <cellStyle name="Обычный 15 14 2 2" xfId="58468"/>
    <cellStyle name="Обычный 15 14 2 3" xfId="58469"/>
    <cellStyle name="Обычный 15 14 3" xfId="58470"/>
    <cellStyle name="Обычный 15 14 3 2" xfId="58471"/>
    <cellStyle name="Обычный 15 14 3 3" xfId="61035"/>
    <cellStyle name="Обычный 15 14 4" xfId="58472"/>
    <cellStyle name="Обычный 15 14 5" xfId="58473"/>
    <cellStyle name="Обычный 15 15" xfId="58474"/>
    <cellStyle name="Обычный 15 15 2" xfId="58475"/>
    <cellStyle name="Обычный 15 15 2 2" xfId="58476"/>
    <cellStyle name="Обычный 15 15 2 3" xfId="58477"/>
    <cellStyle name="Обычный 15 15 3" xfId="58478"/>
    <cellStyle name="Обычный 15 15 3 2" xfId="58479"/>
    <cellStyle name="Обычный 15 15 3 3" xfId="61036"/>
    <cellStyle name="Обычный 15 15 4" xfId="58480"/>
    <cellStyle name="Обычный 15 15 5" xfId="58481"/>
    <cellStyle name="Обычный 15 16" xfId="58482"/>
    <cellStyle name="Обычный 15 16 2" xfId="58483"/>
    <cellStyle name="Обычный 15 16 2 2" xfId="58484"/>
    <cellStyle name="Обычный 15 16 2 3" xfId="58485"/>
    <cellStyle name="Обычный 15 16 3" xfId="58486"/>
    <cellStyle name="Обычный 15 16 3 2" xfId="58487"/>
    <cellStyle name="Обычный 15 16 3 3" xfId="61037"/>
    <cellStyle name="Обычный 15 16 4" xfId="58488"/>
    <cellStyle name="Обычный 15 16 5" xfId="58489"/>
    <cellStyle name="Обычный 15 17" xfId="58490"/>
    <cellStyle name="Обычный 15 17 2" xfId="58491"/>
    <cellStyle name="Обычный 15 17 3" xfId="58492"/>
    <cellStyle name="Обычный 15 18" xfId="58493"/>
    <cellStyle name="Обычный 15 18 2" xfId="58494"/>
    <cellStyle name="Обычный 15 18 3" xfId="61038"/>
    <cellStyle name="Обычный 15 19" xfId="58495"/>
    <cellStyle name="Обычный 15 2" xfId="58496"/>
    <cellStyle name="Обычный 15 2 2" xfId="58497"/>
    <cellStyle name="Обычный 15 2 2 2" xfId="58498"/>
    <cellStyle name="Обычный 15 2 2 2 2" xfId="58499"/>
    <cellStyle name="Обычный 15 2 2 2 2 2" xfId="58500"/>
    <cellStyle name="Обычный 15 2 2 2 2 3" xfId="58501"/>
    <cellStyle name="Обычный 15 2 2 2 3" xfId="58502"/>
    <cellStyle name="Обычный 15 2 2 2 3 2" xfId="58503"/>
    <cellStyle name="Обычный 15 2 2 2 3 3" xfId="61039"/>
    <cellStyle name="Обычный 15 2 2 2 4" xfId="58504"/>
    <cellStyle name="Обычный 15 2 2 2 5" xfId="58505"/>
    <cellStyle name="Обычный 15 2 2 3" xfId="58506"/>
    <cellStyle name="Обычный 15 2 2 3 2" xfId="58507"/>
    <cellStyle name="Обычный 15 2 2 3 3" xfId="58508"/>
    <cellStyle name="Обычный 15 2 2 4" xfId="58509"/>
    <cellStyle name="Обычный 15 2 2 4 2" xfId="58510"/>
    <cellStyle name="Обычный 15 2 2 4 3" xfId="61040"/>
    <cellStyle name="Обычный 15 2 2 5" xfId="58511"/>
    <cellStyle name="Обычный 15 2 2 6" xfId="58512"/>
    <cellStyle name="Обычный 15 2 2_объемы 2018г111" xfId="61041"/>
    <cellStyle name="Обычный 15 2 3" xfId="58513"/>
    <cellStyle name="Обычный 15 2 3 2" xfId="58514"/>
    <cellStyle name="Обычный 15 2 3 2 2" xfId="58515"/>
    <cellStyle name="Обычный 15 2 3 2 3" xfId="58516"/>
    <cellStyle name="Обычный 15 2 3 3" xfId="58517"/>
    <cellStyle name="Обычный 15 2 3 3 2" xfId="58518"/>
    <cellStyle name="Обычный 15 2 3 3 3" xfId="61042"/>
    <cellStyle name="Обычный 15 2 3 4" xfId="58519"/>
    <cellStyle name="Обычный 15 2 3 5" xfId="58520"/>
    <cellStyle name="Обычный 15 2 4" xfId="58521"/>
    <cellStyle name="Обычный 15 2 4 2" xfId="58522"/>
    <cellStyle name="Обычный 15 2 4 3" xfId="58523"/>
    <cellStyle name="Обычный 15 2 4 4" xfId="58524"/>
    <cellStyle name="Обычный 15 2 5" xfId="58525"/>
    <cellStyle name="Обычный 15 2 5 2" xfId="58526"/>
    <cellStyle name="Обычный 15 2 5 3" xfId="61043"/>
    <cellStyle name="Обычный 15 2 6" xfId="58527"/>
    <cellStyle name="Обычный 15 2 7" xfId="58528"/>
    <cellStyle name="Обычный 15 2_объемы 2018г111" xfId="61044"/>
    <cellStyle name="Обычный 15 20" xfId="58529"/>
    <cellStyle name="Обычный 15 3" xfId="58530"/>
    <cellStyle name="Обычный 15 3 2" xfId="58531"/>
    <cellStyle name="Обычный 15 3 2 2" xfId="58532"/>
    <cellStyle name="Обычный 15 3 2 2 2" xfId="58533"/>
    <cellStyle name="Обычный 15 3 2 2 3" xfId="58534"/>
    <cellStyle name="Обычный 15 3 2 3" xfId="58535"/>
    <cellStyle name="Обычный 15 3 2 3 2" xfId="58536"/>
    <cellStyle name="Обычный 15 3 2 3 3" xfId="61045"/>
    <cellStyle name="Обычный 15 3 2 4" xfId="58537"/>
    <cellStyle name="Обычный 15 3 2 5" xfId="58538"/>
    <cellStyle name="Обычный 15 3 3" xfId="58539"/>
    <cellStyle name="Обычный 15 3 3 2" xfId="58540"/>
    <cellStyle name="Обычный 15 3 3 3" xfId="58541"/>
    <cellStyle name="Обычный 15 3 4" xfId="58542"/>
    <cellStyle name="Обычный 15 3 4 2" xfId="58543"/>
    <cellStyle name="Обычный 15 3 4 3" xfId="61046"/>
    <cellStyle name="Обычный 15 3 5" xfId="58544"/>
    <cellStyle name="Обычный 15 3 6" xfId="58545"/>
    <cellStyle name="Обычный 15 3_объемы 2018г111" xfId="61047"/>
    <cellStyle name="Обычный 15 4" xfId="58546"/>
    <cellStyle name="Обычный 15 4 2" xfId="58547"/>
    <cellStyle name="Обычный 15 4 2 2" xfId="58548"/>
    <cellStyle name="Обычный 15 4 2 3" xfId="58549"/>
    <cellStyle name="Обычный 15 4 3" xfId="58550"/>
    <cellStyle name="Обычный 15 4 3 2" xfId="58551"/>
    <cellStyle name="Обычный 15 4 3 3" xfId="61048"/>
    <cellStyle name="Обычный 15 4 4" xfId="58552"/>
    <cellStyle name="Обычный 15 4 5" xfId="58553"/>
    <cellStyle name="Обычный 15 5" xfId="58554"/>
    <cellStyle name="Обычный 15 5 2" xfId="58555"/>
    <cellStyle name="Обычный 15 5 2 2" xfId="58556"/>
    <cellStyle name="Обычный 15 5 2 3" xfId="58557"/>
    <cellStyle name="Обычный 15 5 3" xfId="58558"/>
    <cellStyle name="Обычный 15 5 3 2" xfId="58559"/>
    <cellStyle name="Обычный 15 5 3 3" xfId="61049"/>
    <cellStyle name="Обычный 15 5 4" xfId="58560"/>
    <cellStyle name="Обычный 15 5 5" xfId="58561"/>
    <cellStyle name="Обычный 15 6" xfId="58562"/>
    <cellStyle name="Обычный 15 6 2" xfId="58563"/>
    <cellStyle name="Обычный 15 6 2 2" xfId="58564"/>
    <cellStyle name="Обычный 15 6 2 3" xfId="58565"/>
    <cellStyle name="Обычный 15 6 3" xfId="58566"/>
    <cellStyle name="Обычный 15 6 3 2" xfId="58567"/>
    <cellStyle name="Обычный 15 6 3 3" xfId="61050"/>
    <cellStyle name="Обычный 15 6 4" xfId="58568"/>
    <cellStyle name="Обычный 15 6 5" xfId="58569"/>
    <cellStyle name="Обычный 15 7" xfId="58570"/>
    <cellStyle name="Обычный 15 7 2" xfId="58571"/>
    <cellStyle name="Обычный 15 7 2 2" xfId="58572"/>
    <cellStyle name="Обычный 15 7 2 3" xfId="58573"/>
    <cellStyle name="Обычный 15 7 3" xfId="58574"/>
    <cellStyle name="Обычный 15 7 3 2" xfId="58575"/>
    <cellStyle name="Обычный 15 7 3 3" xfId="61051"/>
    <cellStyle name="Обычный 15 7 4" xfId="58576"/>
    <cellStyle name="Обычный 15 7 5" xfId="58577"/>
    <cellStyle name="Обычный 15 8" xfId="58578"/>
    <cellStyle name="Обычный 15 8 2" xfId="58579"/>
    <cellStyle name="Обычный 15 8 2 2" xfId="58580"/>
    <cellStyle name="Обычный 15 8 2 3" xfId="58581"/>
    <cellStyle name="Обычный 15 8 3" xfId="58582"/>
    <cellStyle name="Обычный 15 8 3 2" xfId="58583"/>
    <cellStyle name="Обычный 15 8 3 3" xfId="61052"/>
    <cellStyle name="Обычный 15 8 4" xfId="58584"/>
    <cellStyle name="Обычный 15 8 5" xfId="58585"/>
    <cellStyle name="Обычный 15 9" xfId="58586"/>
    <cellStyle name="Обычный 15 9 2" xfId="58587"/>
    <cellStyle name="Обычный 15 9 2 2" xfId="58588"/>
    <cellStyle name="Обычный 15 9 2 3" xfId="58589"/>
    <cellStyle name="Обычный 15 9 3" xfId="58590"/>
    <cellStyle name="Обычный 15 9 3 2" xfId="58591"/>
    <cellStyle name="Обычный 15 9 3 3" xfId="61053"/>
    <cellStyle name="Обычный 15 9 4" xfId="58592"/>
    <cellStyle name="Обычный 15 9 5" xfId="58593"/>
    <cellStyle name="Обычный 15_объемы 2018г111" xfId="61054"/>
    <cellStyle name="Обычный 16" xfId="58594"/>
    <cellStyle name="Обычный 16 2" xfId="61219"/>
    <cellStyle name="Обычный 17" xfId="58595"/>
    <cellStyle name="Обычный 17 2" xfId="58596"/>
    <cellStyle name="Обычный 18" xfId="58597"/>
    <cellStyle name="Обычный 18 2" xfId="58598"/>
    <cellStyle name="Обычный 18 2 2" xfId="58599"/>
    <cellStyle name="Обычный 18 2 2 2" xfId="58600"/>
    <cellStyle name="Обычный 18 2 2 2 2" xfId="58601"/>
    <cellStyle name="Обычный 18 2 2 2 3" xfId="58602"/>
    <cellStyle name="Обычный 18 2 2 3" xfId="58603"/>
    <cellStyle name="Обычный 18 2 2 3 2" xfId="58604"/>
    <cellStyle name="Обычный 18 2 2 3 3" xfId="61055"/>
    <cellStyle name="Обычный 18 2 2 4" xfId="58605"/>
    <cellStyle name="Обычный 18 2 2 5" xfId="58606"/>
    <cellStyle name="Обычный 18 2 3" xfId="58607"/>
    <cellStyle name="Обычный 18 2 3 2" xfId="58608"/>
    <cellStyle name="Обычный 18 2 3 3" xfId="58609"/>
    <cellStyle name="Обычный 18 2 4" xfId="58610"/>
    <cellStyle name="Обычный 18 2 4 2" xfId="58611"/>
    <cellStyle name="Обычный 18 2 4 3" xfId="61056"/>
    <cellStyle name="Обычный 18 2 5" xfId="58612"/>
    <cellStyle name="Обычный 18 2 6" xfId="58613"/>
    <cellStyle name="Обычный 18 2_объемы 2018г111" xfId="61057"/>
    <cellStyle name="Обычный 18 3" xfId="58614"/>
    <cellStyle name="Обычный 18 3 2" xfId="58615"/>
    <cellStyle name="Обычный 18 3 2 2" xfId="58616"/>
    <cellStyle name="Обычный 18 3 2 3" xfId="58617"/>
    <cellStyle name="Обычный 18 3 3" xfId="58618"/>
    <cellStyle name="Обычный 18 3 3 2" xfId="58619"/>
    <cellStyle name="Обычный 18 3 3 3" xfId="61058"/>
    <cellStyle name="Обычный 18 3 4" xfId="58620"/>
    <cellStyle name="Обычный 18 3 5" xfId="58621"/>
    <cellStyle name="Обычный 18 4" xfId="58622"/>
    <cellStyle name="Обычный 18 4 2" xfId="58623"/>
    <cellStyle name="Обычный 18 4 3" xfId="58624"/>
    <cellStyle name="Обычный 18 5" xfId="58625"/>
    <cellStyle name="Обычный 18 5 2" xfId="58626"/>
    <cellStyle name="Обычный 18 5 3" xfId="61059"/>
    <cellStyle name="Обычный 18 6" xfId="58627"/>
    <cellStyle name="Обычный 18 7" xfId="58628"/>
    <cellStyle name="Обычный 18_объемы 2018г111" xfId="61060"/>
    <cellStyle name="Обычный 19" xfId="58629"/>
    <cellStyle name="Обычный 19 2" xfId="58630"/>
    <cellStyle name="Обычный 19 2 2" xfId="58631"/>
    <cellStyle name="Обычный 19 2 2 2" xfId="58632"/>
    <cellStyle name="Обычный 19 2 2 2 2" xfId="58633"/>
    <cellStyle name="Обычный 19 2 2 2 3" xfId="58634"/>
    <cellStyle name="Обычный 19 2 2 3" xfId="58635"/>
    <cellStyle name="Обычный 19 2 2 3 2" xfId="58636"/>
    <cellStyle name="Обычный 19 2 2 3 3" xfId="61061"/>
    <cellStyle name="Обычный 19 2 2 4" xfId="58637"/>
    <cellStyle name="Обычный 19 2 2 5" xfId="58638"/>
    <cellStyle name="Обычный 19 2 3" xfId="58639"/>
    <cellStyle name="Обычный 19 2 3 2" xfId="58640"/>
    <cellStyle name="Обычный 19 2 3 3" xfId="58641"/>
    <cellStyle name="Обычный 19 2 4" xfId="58642"/>
    <cellStyle name="Обычный 19 2 4 2" xfId="58643"/>
    <cellStyle name="Обычный 19 2 4 3" xfId="61062"/>
    <cellStyle name="Обычный 19 2 5" xfId="58644"/>
    <cellStyle name="Обычный 19 2 6" xfId="58645"/>
    <cellStyle name="Обычный 19 2_объемы 2018г111" xfId="61063"/>
    <cellStyle name="Обычный 19 3" xfId="58646"/>
    <cellStyle name="Обычный 19 3 2" xfId="58647"/>
    <cellStyle name="Обычный 19 3 2 2" xfId="58648"/>
    <cellStyle name="Обычный 19 3 2 3" xfId="58649"/>
    <cellStyle name="Обычный 19 3 3" xfId="58650"/>
    <cellStyle name="Обычный 19 3 3 2" xfId="58651"/>
    <cellStyle name="Обычный 19 3 3 3" xfId="61064"/>
    <cellStyle name="Обычный 19 3 4" xfId="58652"/>
    <cellStyle name="Обычный 19 3 5" xfId="58653"/>
    <cellStyle name="Обычный 19 4" xfId="58654"/>
    <cellStyle name="Обычный 19 4 2" xfId="58655"/>
    <cellStyle name="Обычный 19 4 2 2" xfId="58656"/>
    <cellStyle name="Обычный 19 4 2 3" xfId="58657"/>
    <cellStyle name="Обычный 19 4 3" xfId="58658"/>
    <cellStyle name="Обычный 19 4 3 2" xfId="58659"/>
    <cellStyle name="Обычный 19 4 3 3" xfId="61065"/>
    <cellStyle name="Обычный 19 4 4" xfId="58660"/>
    <cellStyle name="Обычный 19 4 5" xfId="58661"/>
    <cellStyle name="Обычный 19 5" xfId="58662"/>
    <cellStyle name="Обычный 19 5 2" xfId="58663"/>
    <cellStyle name="Обычный 19 5 2 2" xfId="58664"/>
    <cellStyle name="Обычный 19 5 2 3" xfId="58665"/>
    <cellStyle name="Обычный 19 5 3" xfId="58666"/>
    <cellStyle name="Обычный 19 5 3 2" xfId="58667"/>
    <cellStyle name="Обычный 19 5 3 3" xfId="61066"/>
    <cellStyle name="Обычный 19 5 4" xfId="58668"/>
    <cellStyle name="Обычный 19 5 5" xfId="58669"/>
    <cellStyle name="Обычный 19 6" xfId="58670"/>
    <cellStyle name="Обычный 19 6 2" xfId="58671"/>
    <cellStyle name="Обычный 19 6 3" xfId="58672"/>
    <cellStyle name="Обычный 19 7" xfId="58673"/>
    <cellStyle name="Обычный 19 7 2" xfId="58674"/>
    <cellStyle name="Обычный 19 7 3" xfId="61067"/>
    <cellStyle name="Обычный 19 8" xfId="58675"/>
    <cellStyle name="Обычный 19 9" xfId="58676"/>
    <cellStyle name="Обычный 19_объемы 2018г111" xfId="61068"/>
    <cellStyle name="Обычный 2" xfId="2"/>
    <cellStyle name="Обычный 2 10" xfId="16"/>
    <cellStyle name="Обычный 2 100" xfId="58677"/>
    <cellStyle name="Обычный 2 101" xfId="58678"/>
    <cellStyle name="Обычный 2 102" xfId="58679"/>
    <cellStyle name="Обычный 2 103" xfId="58680"/>
    <cellStyle name="Обычный 2 104" xfId="58681"/>
    <cellStyle name="Обычный 2 105" xfId="58682"/>
    <cellStyle name="Обычный 2 106" xfId="58683"/>
    <cellStyle name="Обычный 2 107" xfId="58684"/>
    <cellStyle name="Обычный 2 108" xfId="58685"/>
    <cellStyle name="Обычный 2 109" xfId="58686"/>
    <cellStyle name="Обычный 2 11" xfId="58687"/>
    <cellStyle name="Обычный 2 110" xfId="58688"/>
    <cellStyle name="Обычный 2 111" xfId="58689"/>
    <cellStyle name="Обычный 2 112" xfId="58690"/>
    <cellStyle name="Обычный 2 113" xfId="58691"/>
    <cellStyle name="Обычный 2 114" xfId="58692"/>
    <cellStyle name="Обычный 2 115" xfId="58693"/>
    <cellStyle name="Обычный 2 116" xfId="58694"/>
    <cellStyle name="Обычный 2 117" xfId="58695"/>
    <cellStyle name="Обычный 2 118" xfId="58696"/>
    <cellStyle name="Обычный 2 119" xfId="58697"/>
    <cellStyle name="Обычный 2 12" xfId="58698"/>
    <cellStyle name="Обычный 2 120" xfId="58699"/>
    <cellStyle name="Обычный 2 121" xfId="58700"/>
    <cellStyle name="Обычный 2 122" xfId="58701"/>
    <cellStyle name="Обычный 2 123" xfId="58702"/>
    <cellStyle name="Обычный 2 124" xfId="58703"/>
    <cellStyle name="Обычный 2 125" xfId="58704"/>
    <cellStyle name="Обычный 2 126" xfId="58705"/>
    <cellStyle name="Обычный 2 127" xfId="58706"/>
    <cellStyle name="Обычный 2 128" xfId="58707"/>
    <cellStyle name="Обычный 2 129" xfId="58708"/>
    <cellStyle name="Обычный 2 13" xfId="58709"/>
    <cellStyle name="Обычный 2 130" xfId="58710"/>
    <cellStyle name="Обычный 2 131" xfId="58711"/>
    <cellStyle name="Обычный 2 132" xfId="58712"/>
    <cellStyle name="Обычный 2 133" xfId="58713"/>
    <cellStyle name="Обычный 2 134" xfId="58714"/>
    <cellStyle name="Обычный 2 135" xfId="58715"/>
    <cellStyle name="Обычный 2 136" xfId="58716"/>
    <cellStyle name="Обычный 2 136 2" xfId="60883"/>
    <cellStyle name="Обычный 2 136 3" xfId="61192"/>
    <cellStyle name="Обычный 2 136 4" xfId="61195"/>
    <cellStyle name="Обычный 2 136 5" xfId="61213"/>
    <cellStyle name="Обычный 2 136 6" xfId="61217"/>
    <cellStyle name="Обычный 2 137" xfId="18"/>
    <cellStyle name="Обычный 2 138" xfId="58717"/>
    <cellStyle name="Обычный 2 139" xfId="58718"/>
    <cellStyle name="Обычный 2 14" xfId="58719"/>
    <cellStyle name="Обычный 2 140" xfId="58720"/>
    <cellStyle name="Обычный 2 141" xfId="61193"/>
    <cellStyle name="Обычный 2 142" xfId="61197"/>
    <cellStyle name="Обычный 2 143" xfId="61200"/>
    <cellStyle name="Обычный 2 144" xfId="61211"/>
    <cellStyle name="Обычный 2 145" xfId="61215"/>
    <cellStyle name="Обычный 2 15" xfId="58721"/>
    <cellStyle name="Обычный 2 16" xfId="58722"/>
    <cellStyle name="Обычный 2 17" xfId="58723"/>
    <cellStyle name="Обычный 2 18" xfId="58724"/>
    <cellStyle name="Обычный 2 19" xfId="58725"/>
    <cellStyle name="Обычный 2 2" xfId="7"/>
    <cellStyle name="Обычный 2 2 10" xfId="60885"/>
    <cellStyle name="Обычный 2 2 2" xfId="58726"/>
    <cellStyle name="Обычный 2 2 2 2" xfId="6"/>
    <cellStyle name="Обычный 2 2 2 2 2" xfId="58727"/>
    <cellStyle name="Обычный 2 2 2 3" xfId="58728"/>
    <cellStyle name="Обычный 2 2 2 3 2" xfId="58729"/>
    <cellStyle name="Обычный 2 2 3" xfId="58730"/>
    <cellStyle name="Обычный 2 2 3 2" xfId="58731"/>
    <cellStyle name="Обычный 2 2 3 3" xfId="58732"/>
    <cellStyle name="Обычный 2 2 4" xfId="58733"/>
    <cellStyle name="Обычный 2 2 4 2" xfId="58734"/>
    <cellStyle name="Обычный 2 2 4 3" xfId="58735"/>
    <cellStyle name="Обычный 2 2 5" xfId="8"/>
    <cellStyle name="Обычный 2 2 5 2" xfId="58736"/>
    <cellStyle name="Обычный 2 2 5 3" xfId="58737"/>
    <cellStyle name="Обычный 2 2 6" xfId="58738"/>
    <cellStyle name="Обычный 2 2 6 2" xfId="58739"/>
    <cellStyle name="Обычный 2 2 6 3" xfId="58740"/>
    <cellStyle name="Обычный 2 2 7" xfId="58741"/>
    <cellStyle name="Обычный 2 2 7 2" xfId="58742"/>
    <cellStyle name="Обычный 2 2 7 3" xfId="58743"/>
    <cellStyle name="Обычный 2 2 8" xfId="58744"/>
    <cellStyle name="Обычный 2 2 9" xfId="58745"/>
    <cellStyle name="Обычный 2 20" xfId="58746"/>
    <cellStyle name="Обычный 2 21" xfId="58747"/>
    <cellStyle name="Обычный 2 22" xfId="58748"/>
    <cellStyle name="Обычный 2 23" xfId="58749"/>
    <cellStyle name="Обычный 2 24" xfId="58750"/>
    <cellStyle name="Обычный 2 25" xfId="58751"/>
    <cellStyle name="Обычный 2 26" xfId="58752"/>
    <cellStyle name="Обычный 2 27" xfId="58753"/>
    <cellStyle name="Обычный 2 28" xfId="58754"/>
    <cellStyle name="Обычный 2 29" xfId="58755"/>
    <cellStyle name="Обычный 2 3" xfId="17"/>
    <cellStyle name="Обычный 2 3 2" xfId="58756"/>
    <cellStyle name="Обычный 2 3 3" xfId="58757"/>
    <cellStyle name="Обычный 2 30" xfId="58758"/>
    <cellStyle name="Обычный 2 31" xfId="58759"/>
    <cellStyle name="Обычный 2 32" xfId="58760"/>
    <cellStyle name="Обычный 2 33" xfId="58761"/>
    <cellStyle name="Обычный 2 34" xfId="58762"/>
    <cellStyle name="Обычный 2 35" xfId="58763"/>
    <cellStyle name="Обычный 2 36" xfId="58764"/>
    <cellStyle name="Обычный 2 37" xfId="58765"/>
    <cellStyle name="Обычный 2 38" xfId="58766"/>
    <cellStyle name="Обычный 2 39" xfId="58767"/>
    <cellStyle name="Обычный 2 4" xfId="58768"/>
    <cellStyle name="Обычный 2 4 2" xfId="61220"/>
    <cellStyle name="Обычный 2 40" xfId="58769"/>
    <cellStyle name="Обычный 2 41" xfId="58770"/>
    <cellStyle name="Обычный 2 42" xfId="58771"/>
    <cellStyle name="Обычный 2 43" xfId="58772"/>
    <cellStyle name="Обычный 2 44" xfId="58773"/>
    <cellStyle name="Обычный 2 45" xfId="58774"/>
    <cellStyle name="Обычный 2 46" xfId="58775"/>
    <cellStyle name="Обычный 2 47" xfId="58776"/>
    <cellStyle name="Обычный 2 48" xfId="58777"/>
    <cellStyle name="Обычный 2 49" xfId="58778"/>
    <cellStyle name="Обычный 2 5" xfId="58779"/>
    <cellStyle name="Обычный 2 5 2" xfId="58780"/>
    <cellStyle name="Обычный 2 50" xfId="58781"/>
    <cellStyle name="Обычный 2 51" xfId="58782"/>
    <cellStyle name="Обычный 2 52" xfId="58783"/>
    <cellStyle name="Обычный 2 53" xfId="58784"/>
    <cellStyle name="Обычный 2 54" xfId="58785"/>
    <cellStyle name="Обычный 2 55" xfId="58786"/>
    <cellStyle name="Обычный 2 56" xfId="58787"/>
    <cellStyle name="Обычный 2 57" xfId="58788"/>
    <cellStyle name="Обычный 2 58" xfId="58789"/>
    <cellStyle name="Обычный 2 59" xfId="58790"/>
    <cellStyle name="Обычный 2 6" xfId="58791"/>
    <cellStyle name="Обычный 2 6 2" xfId="58792"/>
    <cellStyle name="Обычный 2 6 3" xfId="61221"/>
    <cellStyle name="Обычный 2 60" xfId="58793"/>
    <cellStyle name="Обычный 2 61" xfId="58794"/>
    <cellStyle name="Обычный 2 62" xfId="58795"/>
    <cellStyle name="Обычный 2 63" xfId="58796"/>
    <cellStyle name="Обычный 2 64" xfId="58797"/>
    <cellStyle name="Обычный 2 65" xfId="58798"/>
    <cellStyle name="Обычный 2 66" xfId="58799"/>
    <cellStyle name="Обычный 2 67" xfId="58800"/>
    <cellStyle name="Обычный 2 68" xfId="58801"/>
    <cellStyle name="Обычный 2 69" xfId="58802"/>
    <cellStyle name="Обычный 2 7" xfId="58803"/>
    <cellStyle name="Обычный 2 7 2" xfId="61222"/>
    <cellStyle name="Обычный 2 70" xfId="58804"/>
    <cellStyle name="Обычный 2 71" xfId="58805"/>
    <cellStyle name="Обычный 2 72" xfId="58806"/>
    <cellStyle name="Обычный 2 73" xfId="58807"/>
    <cellStyle name="Обычный 2 74" xfId="58808"/>
    <cellStyle name="Обычный 2 75" xfId="58809"/>
    <cellStyle name="Обычный 2 76" xfId="58810"/>
    <cellStyle name="Обычный 2 77" xfId="58811"/>
    <cellStyle name="Обычный 2 78" xfId="58812"/>
    <cellStyle name="Обычный 2 79" xfId="58813"/>
    <cellStyle name="Обычный 2 8" xfId="58814"/>
    <cellStyle name="Обычный 2 80" xfId="58815"/>
    <cellStyle name="Обычный 2 81" xfId="58816"/>
    <cellStyle name="Обычный 2 82" xfId="58817"/>
    <cellStyle name="Обычный 2 83" xfId="58818"/>
    <cellStyle name="Обычный 2 84" xfId="58819"/>
    <cellStyle name="Обычный 2 85" xfId="58820"/>
    <cellStyle name="Обычный 2 86" xfId="58821"/>
    <cellStyle name="Обычный 2 87" xfId="58822"/>
    <cellStyle name="Обычный 2 88" xfId="58823"/>
    <cellStyle name="Обычный 2 89" xfId="58824"/>
    <cellStyle name="Обычный 2 9" xfId="58825"/>
    <cellStyle name="Обычный 2 90" xfId="58826"/>
    <cellStyle name="Обычный 2 91" xfId="58827"/>
    <cellStyle name="Обычный 2 92" xfId="58828"/>
    <cellStyle name="Обычный 2 93" xfId="58829"/>
    <cellStyle name="Обычный 2 94" xfId="58830"/>
    <cellStyle name="Обычный 2 95" xfId="58831"/>
    <cellStyle name="Обычный 2 96" xfId="58832"/>
    <cellStyle name="Обычный 2 97" xfId="58833"/>
    <cellStyle name="Обычный 2 98" xfId="58834"/>
    <cellStyle name="Обычный 2 99" xfId="58835"/>
    <cellStyle name="Обычный 2_npa105B" xfId="58836"/>
    <cellStyle name="Обычный 20" xfId="58837"/>
    <cellStyle name="Обычный 20 2" xfId="58838"/>
    <cellStyle name="Обычный 20 2 2" xfId="58839"/>
    <cellStyle name="Обычный 20 2 2 2" xfId="58840"/>
    <cellStyle name="Обычный 20 2 2 2 2" xfId="58841"/>
    <cellStyle name="Обычный 20 2 2 2 3" xfId="58842"/>
    <cellStyle name="Обычный 20 2 2 3" xfId="58843"/>
    <cellStyle name="Обычный 20 2 2 3 2" xfId="58844"/>
    <cellStyle name="Обычный 20 2 2 3 3" xfId="61069"/>
    <cellStyle name="Обычный 20 2 2 4" xfId="58845"/>
    <cellStyle name="Обычный 20 2 2 5" xfId="58846"/>
    <cellStyle name="Обычный 20 2 3" xfId="58847"/>
    <cellStyle name="Обычный 20 2 3 2" xfId="58848"/>
    <cellStyle name="Обычный 20 2 3 3" xfId="58849"/>
    <cellStyle name="Обычный 20 2 4" xfId="58850"/>
    <cellStyle name="Обычный 20 2 4 2" xfId="58851"/>
    <cellStyle name="Обычный 20 2 4 3" xfId="61070"/>
    <cellStyle name="Обычный 20 2 5" xfId="58852"/>
    <cellStyle name="Обычный 20 2 6" xfId="58853"/>
    <cellStyle name="Обычный 20 2_объемы 2018г111" xfId="61071"/>
    <cellStyle name="Обычный 20 3" xfId="58854"/>
    <cellStyle name="Обычный 20 3 2" xfId="58855"/>
    <cellStyle name="Обычный 20 3 2 2" xfId="58856"/>
    <cellStyle name="Обычный 20 3 2 3" xfId="58857"/>
    <cellStyle name="Обычный 20 3 3" xfId="58858"/>
    <cellStyle name="Обычный 20 3 3 2" xfId="58859"/>
    <cellStyle name="Обычный 20 3 3 3" xfId="61072"/>
    <cellStyle name="Обычный 20 3 4" xfId="58860"/>
    <cellStyle name="Обычный 20 3 5" xfId="58861"/>
    <cellStyle name="Обычный 20 4" xfId="58862"/>
    <cellStyle name="Обычный 20 4 2" xfId="58863"/>
    <cellStyle name="Обычный 20 4 2 2" xfId="58864"/>
    <cellStyle name="Обычный 20 4 2 3" xfId="58865"/>
    <cellStyle name="Обычный 20 4 3" xfId="58866"/>
    <cellStyle name="Обычный 20 4 3 2" xfId="58867"/>
    <cellStyle name="Обычный 20 4 4" xfId="58868"/>
    <cellStyle name="Обычный 20 4 5" xfId="15"/>
    <cellStyle name="Обычный 20 4 5 2" xfId="61208"/>
    <cellStyle name="Обычный 20 4 6" xfId="61073"/>
    <cellStyle name="Обычный 20 5" xfId="58869"/>
    <cellStyle name="Обычный 20 5 2" xfId="58870"/>
    <cellStyle name="Обычный 20 5 3" xfId="58871"/>
    <cellStyle name="Обычный 20 6" xfId="58872"/>
    <cellStyle name="Обычный 20 6 2" xfId="58873"/>
    <cellStyle name="Обычный 20 6 3" xfId="58874"/>
    <cellStyle name="Обычный 20 7" xfId="58875"/>
    <cellStyle name="Обычный 20 7 2" xfId="58876"/>
    <cellStyle name="Обычный 20 8" xfId="58877"/>
    <cellStyle name="Обычный 20 9" xfId="58878"/>
    <cellStyle name="Обычный 20_объемы 2018г111" xfId="61074"/>
    <cellStyle name="Обычный 21" xfId="58879"/>
    <cellStyle name="Обычный 21 2" xfId="58880"/>
    <cellStyle name="Обычный 21 2 2" xfId="58881"/>
    <cellStyle name="Обычный 21 2 2 2" xfId="58882"/>
    <cellStyle name="Обычный 21 2 2 2 2" xfId="58883"/>
    <cellStyle name="Обычный 21 2 2 2 3" xfId="58884"/>
    <cellStyle name="Обычный 21 2 2 3" xfId="58885"/>
    <cellStyle name="Обычный 21 2 2 3 2" xfId="58886"/>
    <cellStyle name="Обычный 21 2 2 3 3" xfId="61075"/>
    <cellStyle name="Обычный 21 2 2 4" xfId="58887"/>
    <cellStyle name="Обычный 21 2 2 5" xfId="58888"/>
    <cellStyle name="Обычный 21 2 3" xfId="58889"/>
    <cellStyle name="Обычный 21 2 3 2" xfId="58890"/>
    <cellStyle name="Обычный 21 2 3 3" xfId="58891"/>
    <cellStyle name="Обычный 21 2 4" xfId="58892"/>
    <cellStyle name="Обычный 21 2 4 2" xfId="58893"/>
    <cellStyle name="Обычный 21 2 4 3" xfId="61076"/>
    <cellStyle name="Обычный 21 2 5" xfId="58894"/>
    <cellStyle name="Обычный 21 2 6" xfId="58895"/>
    <cellStyle name="Обычный 21 2_объемы 2018г111" xfId="61077"/>
    <cellStyle name="Обычный 21 3" xfId="58896"/>
    <cellStyle name="Обычный 21 3 2" xfId="58897"/>
    <cellStyle name="Обычный 21 3 2 2" xfId="58898"/>
    <cellStyle name="Обычный 21 3 2 3" xfId="58899"/>
    <cellStyle name="Обычный 21 3 3" xfId="58900"/>
    <cellStyle name="Обычный 21 3 3 2" xfId="58901"/>
    <cellStyle name="Обычный 21 3 3 3" xfId="61078"/>
    <cellStyle name="Обычный 21 3 4" xfId="58902"/>
    <cellStyle name="Обычный 21 3 5" xfId="58903"/>
    <cellStyle name="Обычный 21 4" xfId="58904"/>
    <cellStyle name="Обычный 21 4 2" xfId="58905"/>
    <cellStyle name="Обычный 21 4 3" xfId="58906"/>
    <cellStyle name="Обычный 21 5" xfId="58907"/>
    <cellStyle name="Обычный 21 5 2" xfId="58908"/>
    <cellStyle name="Обычный 21 5 3" xfId="61079"/>
    <cellStyle name="Обычный 21 6" xfId="58909"/>
    <cellStyle name="Обычный 21 7" xfId="58910"/>
    <cellStyle name="Обычный 21_объемы 2018г111" xfId="61080"/>
    <cellStyle name="Обычный 22" xfId="58911"/>
    <cellStyle name="Обычный 22 2" xfId="58912"/>
    <cellStyle name="Обычный 22 2 2" xfId="58913"/>
    <cellStyle name="Обычный 22 2 2 2" xfId="58914"/>
    <cellStyle name="Обычный 22 2 2 3" xfId="58915"/>
    <cellStyle name="Обычный 22 2 3" xfId="58916"/>
    <cellStyle name="Обычный 22 2 3 2" xfId="58917"/>
    <cellStyle name="Обычный 22 2 3 3" xfId="61081"/>
    <cellStyle name="Обычный 22 2 4" xfId="58918"/>
    <cellStyle name="Обычный 22 2 5" xfId="58919"/>
    <cellStyle name="Обычный 22 3" xfId="58920"/>
    <cellStyle name="Обычный 22 3 2" xfId="58921"/>
    <cellStyle name="Обычный 22 3 2 2" xfId="58922"/>
    <cellStyle name="Обычный 22 3 2 3" xfId="58923"/>
    <cellStyle name="Обычный 22 3 3" xfId="58924"/>
    <cellStyle name="Обычный 22 3 3 2" xfId="58925"/>
    <cellStyle name="Обычный 22 3 3 3" xfId="61082"/>
    <cellStyle name="Обычный 22 3 4" xfId="58926"/>
    <cellStyle name="Обычный 22 3 5" xfId="58927"/>
    <cellStyle name="Обычный 22 4" xfId="58928"/>
    <cellStyle name="Обычный 22 4 2" xfId="58929"/>
    <cellStyle name="Обычный 22 4 3" xfId="58930"/>
    <cellStyle name="Обычный 22 5" xfId="58931"/>
    <cellStyle name="Обычный 22 5 2" xfId="58932"/>
    <cellStyle name="Обычный 22 5 3" xfId="61083"/>
    <cellStyle name="Обычный 22 6" xfId="58933"/>
    <cellStyle name="Обычный 22 7" xfId="58934"/>
    <cellStyle name="Обычный 22_объемы 2018г111" xfId="61084"/>
    <cellStyle name="Обычный 23" xfId="58935"/>
    <cellStyle name="Обычный 23 2" xfId="58936"/>
    <cellStyle name="Обычный 23 3" xfId="58937"/>
    <cellStyle name="Обычный 23 3 2" xfId="58938"/>
    <cellStyle name="Обычный 23 3 3" xfId="58939"/>
    <cellStyle name="Обычный 23 4" xfId="58940"/>
    <cellStyle name="Обычный 23 4 2" xfId="58941"/>
    <cellStyle name="Обычный 23 4 3" xfId="61085"/>
    <cellStyle name="Обычный 23 5" xfId="58942"/>
    <cellStyle name="Обычный 23 6" xfId="58943"/>
    <cellStyle name="Обычный 23_объемы 2018г111" xfId="61086"/>
    <cellStyle name="Обычный 24" xfId="58944"/>
    <cellStyle name="Обычный 24 2" xfId="58945"/>
    <cellStyle name="Обычный 24 3" xfId="58946"/>
    <cellStyle name="Обычный 24 3 2" xfId="58947"/>
    <cellStyle name="Обычный 24 3 3" xfId="58948"/>
    <cellStyle name="Обычный 24 4" xfId="58949"/>
    <cellStyle name="Обычный 24 4 2" xfId="58950"/>
    <cellStyle name="Обычный 24 4 3" xfId="61087"/>
    <cellStyle name="Обычный 24 5" xfId="58951"/>
    <cellStyle name="Обычный 24 6" xfId="58952"/>
    <cellStyle name="Обычный 24_объемы 2018г111" xfId="61088"/>
    <cellStyle name="Обычный 25" xfId="58953"/>
    <cellStyle name="Обычный 25 2" xfId="58954"/>
    <cellStyle name="Обычный 25 2 2" xfId="58955"/>
    <cellStyle name="Обычный 25 2 3" xfId="58956"/>
    <cellStyle name="Обычный 25 3" xfId="58957"/>
    <cellStyle name="Обычный 25 3 2" xfId="58958"/>
    <cellStyle name="Обычный 25 3 3" xfId="61089"/>
    <cellStyle name="Обычный 25 4" xfId="58959"/>
    <cellStyle name="Обычный 25 5" xfId="58960"/>
    <cellStyle name="Обычный 26" xfId="58961"/>
    <cellStyle name="Обычный 26 10" xfId="58962"/>
    <cellStyle name="Обычный 26 11" xfId="58963"/>
    <cellStyle name="Обычный 26 12" xfId="58964"/>
    <cellStyle name="Обычный 26 13" xfId="58965"/>
    <cellStyle name="Обычный 26 14" xfId="58966"/>
    <cellStyle name="Обычный 26 15" xfId="58967"/>
    <cellStyle name="Обычный 26 2" xfId="58968"/>
    <cellStyle name="Обычный 26 2 2" xfId="58969"/>
    <cellStyle name="Обычный 26 2 2 2" xfId="58970"/>
    <cellStyle name="Обычный 26 2 3" xfId="58971"/>
    <cellStyle name="Обычный 26 3" xfId="58972"/>
    <cellStyle name="Обычный 26 3 2" xfId="58973"/>
    <cellStyle name="Обычный 26 3 3" xfId="61090"/>
    <cellStyle name="Обычный 26 4" xfId="58974"/>
    <cellStyle name="Обычный 26 4 2" xfId="58975"/>
    <cellStyle name="Обычный 26 4 2 2" xfId="58976"/>
    <cellStyle name="Обычный 26 4 3" xfId="58977"/>
    <cellStyle name="Обычный 26 5" xfId="58978"/>
    <cellStyle name="Обычный 26 5 2" xfId="58979"/>
    <cellStyle name="Обычный 26 6" xfId="58980"/>
    <cellStyle name="Обычный 26 6 2" xfId="58981"/>
    <cellStyle name="Обычный 26 7" xfId="58982"/>
    <cellStyle name="Обычный 26 8" xfId="58983"/>
    <cellStyle name="Обычный 26 9" xfId="58984"/>
    <cellStyle name="Обычный 27" xfId="58985"/>
    <cellStyle name="Обычный 27 2" xfId="58986"/>
    <cellStyle name="Обычный 27 2 2" xfId="58987"/>
    <cellStyle name="Обычный 27 2 2 2" xfId="58988"/>
    <cellStyle name="Обычный 27 2 3" xfId="58989"/>
    <cellStyle name="Обычный 27 3" xfId="58990"/>
    <cellStyle name="Обычный 27 3 2" xfId="58991"/>
    <cellStyle name="Обычный 27 3 3" xfId="61091"/>
    <cellStyle name="Обычный 27 4" xfId="58992"/>
    <cellStyle name="Обычный 27 4 2" xfId="58993"/>
    <cellStyle name="Обычный 27 5" xfId="58994"/>
    <cellStyle name="Обычный 27 6" xfId="58995"/>
    <cellStyle name="Обычный 27 7" xfId="58996"/>
    <cellStyle name="Обычный 27 8" xfId="58997"/>
    <cellStyle name="Обычный 27 9" xfId="58998"/>
    <cellStyle name="Обычный 28" xfId="58999"/>
    <cellStyle name="Обычный 28 2" xfId="59000"/>
    <cellStyle name="Обычный 28 2 2" xfId="59001"/>
    <cellStyle name="Обычный 28 2 2 2" xfId="59002"/>
    <cellStyle name="Обычный 28 2 3" xfId="59003"/>
    <cellStyle name="Обычный 28 3" xfId="59004"/>
    <cellStyle name="Обычный 28 3 2" xfId="59005"/>
    <cellStyle name="Обычный 28 3 3" xfId="61092"/>
    <cellStyle name="Обычный 28 4" xfId="59006"/>
    <cellStyle name="Обычный 28 4 2" xfId="59007"/>
    <cellStyle name="Обычный 28 5" xfId="59008"/>
    <cellStyle name="Обычный 28 6" xfId="59009"/>
    <cellStyle name="Обычный 28 7" xfId="59010"/>
    <cellStyle name="Обычный 28 8" xfId="59011"/>
    <cellStyle name="Обычный 28 9" xfId="59012"/>
    <cellStyle name="Обычный 29" xfId="59013"/>
    <cellStyle name="Обычный 29 2" xfId="59014"/>
    <cellStyle name="Обычный 29 2 2" xfId="59015"/>
    <cellStyle name="Обычный 29 2 2 2" xfId="59016"/>
    <cellStyle name="Обычный 29 2 3" xfId="59017"/>
    <cellStyle name="Обычный 29 3" xfId="59018"/>
    <cellStyle name="Обычный 29 3 2" xfId="59019"/>
    <cellStyle name="Обычный 29 3 3" xfId="61093"/>
    <cellStyle name="Обычный 29 4" xfId="59020"/>
    <cellStyle name="Обычный 29 4 2" xfId="59021"/>
    <cellStyle name="Обычный 29 5" xfId="59022"/>
    <cellStyle name="Обычный 29 6" xfId="59023"/>
    <cellStyle name="Обычный 29 7" xfId="59024"/>
    <cellStyle name="Обычный 29 8" xfId="59025"/>
    <cellStyle name="Обычный 29 9" xfId="59026"/>
    <cellStyle name="Обычный 3" xfId="4"/>
    <cellStyle name="Обычный 3 10" xfId="59027"/>
    <cellStyle name="Обычный 3 10 2" xfId="59028"/>
    <cellStyle name="Обычный 3 10 2 2" xfId="59029"/>
    <cellStyle name="Обычный 3 10 2 3" xfId="59030"/>
    <cellStyle name="Обычный 3 10 3" xfId="59031"/>
    <cellStyle name="Обычный 3 10 3 2" xfId="59032"/>
    <cellStyle name="Обычный 3 10 3 3" xfId="61094"/>
    <cellStyle name="Обычный 3 10 4" xfId="59033"/>
    <cellStyle name="Обычный 3 10 5" xfId="59034"/>
    <cellStyle name="Обычный 3 11" xfId="59035"/>
    <cellStyle name="Обычный 3 11 2" xfId="59036"/>
    <cellStyle name="Обычный 3 11 2 2" xfId="59037"/>
    <cellStyle name="Обычный 3 11 2 3" xfId="59038"/>
    <cellStyle name="Обычный 3 11 3" xfId="59039"/>
    <cellStyle name="Обычный 3 11 3 2" xfId="59040"/>
    <cellStyle name="Обычный 3 11 3 3" xfId="61095"/>
    <cellStyle name="Обычный 3 11 4" xfId="59041"/>
    <cellStyle name="Обычный 3 11 5" xfId="59042"/>
    <cellStyle name="Обычный 3 12" xfId="59043"/>
    <cellStyle name="Обычный 3 12 2" xfId="59044"/>
    <cellStyle name="Обычный 3 12 2 2" xfId="59045"/>
    <cellStyle name="Обычный 3 12 2 3" xfId="59046"/>
    <cellStyle name="Обычный 3 12 3" xfId="59047"/>
    <cellStyle name="Обычный 3 12 3 2" xfId="59048"/>
    <cellStyle name="Обычный 3 12 3 3" xfId="61096"/>
    <cellStyle name="Обычный 3 12 4" xfId="59049"/>
    <cellStyle name="Обычный 3 12 5" xfId="59050"/>
    <cellStyle name="Обычный 3 13" xfId="59051"/>
    <cellStyle name="Обычный 3 13 2" xfId="59052"/>
    <cellStyle name="Обычный 3 13 2 2" xfId="59053"/>
    <cellStyle name="Обычный 3 13 2 3" xfId="59054"/>
    <cellStyle name="Обычный 3 13 3" xfId="59055"/>
    <cellStyle name="Обычный 3 13 3 2" xfId="59056"/>
    <cellStyle name="Обычный 3 13 3 3" xfId="61097"/>
    <cellStyle name="Обычный 3 13 4" xfId="59057"/>
    <cellStyle name="Обычный 3 13 5" xfId="59058"/>
    <cellStyle name="Обычный 3 14" xfId="59059"/>
    <cellStyle name="Обычный 3 14 2" xfId="59060"/>
    <cellStyle name="Обычный 3 14 2 2" xfId="59061"/>
    <cellStyle name="Обычный 3 14 2 3" xfId="59062"/>
    <cellStyle name="Обычный 3 14 3" xfId="59063"/>
    <cellStyle name="Обычный 3 14 3 2" xfId="59064"/>
    <cellStyle name="Обычный 3 14 3 3" xfId="61098"/>
    <cellStyle name="Обычный 3 14 4" xfId="59065"/>
    <cellStyle name="Обычный 3 14 5" xfId="59066"/>
    <cellStyle name="Обычный 3 15" xfId="59067"/>
    <cellStyle name="Обычный 3 15 2" xfId="59068"/>
    <cellStyle name="Обычный 3 15 2 2" xfId="59069"/>
    <cellStyle name="Обычный 3 15 2 3" xfId="59070"/>
    <cellStyle name="Обычный 3 15 3" xfId="59071"/>
    <cellStyle name="Обычный 3 15 3 2" xfId="59072"/>
    <cellStyle name="Обычный 3 15 3 3" xfId="61099"/>
    <cellStyle name="Обычный 3 15 4" xfId="59073"/>
    <cellStyle name="Обычный 3 15 5" xfId="59074"/>
    <cellStyle name="Обычный 3 16" xfId="59075"/>
    <cellStyle name="Обычный 3 16 2" xfId="59076"/>
    <cellStyle name="Обычный 3 16 2 2" xfId="59077"/>
    <cellStyle name="Обычный 3 16 2 3" xfId="59078"/>
    <cellStyle name="Обычный 3 16 3" xfId="59079"/>
    <cellStyle name="Обычный 3 16 3 2" xfId="59080"/>
    <cellStyle name="Обычный 3 16 3 3" xfId="61100"/>
    <cellStyle name="Обычный 3 16 4" xfId="59081"/>
    <cellStyle name="Обычный 3 16 5" xfId="59082"/>
    <cellStyle name="Обычный 3 17" xfId="59083"/>
    <cellStyle name="Обычный 3 17 2" xfId="59084"/>
    <cellStyle name="Обычный 3 17 2 2" xfId="59085"/>
    <cellStyle name="Обычный 3 17 2 3" xfId="59086"/>
    <cellStyle name="Обычный 3 17 3" xfId="59087"/>
    <cellStyle name="Обычный 3 17 3 2" xfId="59088"/>
    <cellStyle name="Обычный 3 17 3 3" xfId="61101"/>
    <cellStyle name="Обычный 3 17 4" xfId="59089"/>
    <cellStyle name="Обычный 3 17 5" xfId="59090"/>
    <cellStyle name="Обычный 3 18" xfId="59091"/>
    <cellStyle name="Обычный 3 18 2" xfId="59092"/>
    <cellStyle name="Обычный 3 18 2 2" xfId="59093"/>
    <cellStyle name="Обычный 3 18 2 3" xfId="59094"/>
    <cellStyle name="Обычный 3 18 3" xfId="59095"/>
    <cellStyle name="Обычный 3 18 3 2" xfId="59096"/>
    <cellStyle name="Обычный 3 18 3 3" xfId="61102"/>
    <cellStyle name="Обычный 3 18 4" xfId="59097"/>
    <cellStyle name="Обычный 3 18 5" xfId="59098"/>
    <cellStyle name="Обычный 3 19" xfId="59099"/>
    <cellStyle name="Обычный 3 19 2" xfId="59100"/>
    <cellStyle name="Обычный 3 19 3" xfId="59101"/>
    <cellStyle name="Обычный 3 2" xfId="59102"/>
    <cellStyle name="Обычный 3 20" xfId="59103"/>
    <cellStyle name="Обычный 3 20 2" xfId="59104"/>
    <cellStyle name="Обычный 3 20 3" xfId="61103"/>
    <cellStyle name="Обычный 3 21" xfId="59105"/>
    <cellStyle name="Обычный 3 22" xfId="59106"/>
    <cellStyle name="Обычный 3 23" xfId="59107"/>
    <cellStyle name="Обычный 3 3" xfId="59108"/>
    <cellStyle name="Обычный 3 3 2" xfId="59109"/>
    <cellStyle name="Обычный 3 3 3" xfId="61223"/>
    <cellStyle name="Обычный 3 4" xfId="59110"/>
    <cellStyle name="Обычный 3 4 2" xfId="59111"/>
    <cellStyle name="Обычный 3 4 2 2" xfId="59112"/>
    <cellStyle name="Обычный 3 4 2 2 2" xfId="59113"/>
    <cellStyle name="Обычный 3 4 2 2 2 2" xfId="59114"/>
    <cellStyle name="Обычный 3 4 2 2 2 3" xfId="59115"/>
    <cellStyle name="Обычный 3 4 2 2 3" xfId="59116"/>
    <cellStyle name="Обычный 3 4 2 2 3 2" xfId="59117"/>
    <cellStyle name="Обычный 3 4 2 2 3 3" xfId="61104"/>
    <cellStyle name="Обычный 3 4 2 2 4" xfId="59118"/>
    <cellStyle name="Обычный 3 4 2 2 5" xfId="59119"/>
    <cellStyle name="Обычный 3 4 2 3" xfId="59120"/>
    <cellStyle name="Обычный 3 4 2 3 2" xfId="59121"/>
    <cellStyle name="Обычный 3 4 2 3 3" xfId="59122"/>
    <cellStyle name="Обычный 3 4 2 4" xfId="59123"/>
    <cellStyle name="Обычный 3 4 2 4 2" xfId="59124"/>
    <cellStyle name="Обычный 3 4 2 4 3" xfId="61105"/>
    <cellStyle name="Обычный 3 4 2 5" xfId="59125"/>
    <cellStyle name="Обычный 3 4 2 6" xfId="59126"/>
    <cellStyle name="Обычный 3 4 2_объемы 2018г111" xfId="61106"/>
    <cellStyle name="Обычный 3 4 3" xfId="59127"/>
    <cellStyle name="Обычный 3 4 3 2" xfId="59128"/>
    <cellStyle name="Обычный 3 4 3 2 2" xfId="59129"/>
    <cellStyle name="Обычный 3 4 3 2 3" xfId="59130"/>
    <cellStyle name="Обычный 3 4 3 3" xfId="59131"/>
    <cellStyle name="Обычный 3 4 3 3 2" xfId="59132"/>
    <cellStyle name="Обычный 3 4 3 3 3" xfId="61107"/>
    <cellStyle name="Обычный 3 4 3 4" xfId="59133"/>
    <cellStyle name="Обычный 3 4 3 5" xfId="59134"/>
    <cellStyle name="Обычный 3 4 4" xfId="59135"/>
    <cellStyle name="Обычный 3 4 4 2" xfId="59136"/>
    <cellStyle name="Обычный 3 4 4 3" xfId="59137"/>
    <cellStyle name="Обычный 3 4 5" xfId="59138"/>
    <cellStyle name="Обычный 3 4 5 2" xfId="59139"/>
    <cellStyle name="Обычный 3 4 5 3" xfId="61108"/>
    <cellStyle name="Обычный 3 4 6" xfId="59140"/>
    <cellStyle name="Обычный 3 4 7" xfId="59141"/>
    <cellStyle name="Обычный 3 4_объемы 2018г111" xfId="61109"/>
    <cellStyle name="Обычный 3 5" xfId="59142"/>
    <cellStyle name="Обычный 3 5 2" xfId="59143"/>
    <cellStyle name="Обычный 3 5 2 2" xfId="59144"/>
    <cellStyle name="Обычный 3 5 2 2 2" xfId="59145"/>
    <cellStyle name="Обычный 3 5 2 2 2 2" xfId="59146"/>
    <cellStyle name="Обычный 3 5 2 2 2 3" xfId="59147"/>
    <cellStyle name="Обычный 3 5 2 2 3" xfId="59148"/>
    <cellStyle name="Обычный 3 5 2 2 3 2" xfId="59149"/>
    <cellStyle name="Обычный 3 5 2 2 3 3" xfId="61110"/>
    <cellStyle name="Обычный 3 5 2 2 4" xfId="59150"/>
    <cellStyle name="Обычный 3 5 2 2 5" xfId="59151"/>
    <cellStyle name="Обычный 3 5 2 3" xfId="59152"/>
    <cellStyle name="Обычный 3 5 2 3 2" xfId="59153"/>
    <cellStyle name="Обычный 3 5 2 3 3" xfId="59154"/>
    <cellStyle name="Обычный 3 5 2 4" xfId="59155"/>
    <cellStyle name="Обычный 3 5 2 4 2" xfId="59156"/>
    <cellStyle name="Обычный 3 5 2 4 3" xfId="61111"/>
    <cellStyle name="Обычный 3 5 2 5" xfId="59157"/>
    <cellStyle name="Обычный 3 5 2 6" xfId="59158"/>
    <cellStyle name="Обычный 3 5 2_объемы 2018г111" xfId="61112"/>
    <cellStyle name="Обычный 3 5 3" xfId="59159"/>
    <cellStyle name="Обычный 3 5 3 2" xfId="59160"/>
    <cellStyle name="Обычный 3 5 3 2 2" xfId="59161"/>
    <cellStyle name="Обычный 3 5 3 2 3" xfId="59162"/>
    <cellStyle name="Обычный 3 5 3 3" xfId="59163"/>
    <cellStyle name="Обычный 3 5 3 3 2" xfId="59164"/>
    <cellStyle name="Обычный 3 5 3 3 3" xfId="61113"/>
    <cellStyle name="Обычный 3 5 3 4" xfId="59165"/>
    <cellStyle name="Обычный 3 5 3 5" xfId="59166"/>
    <cellStyle name="Обычный 3 5 4" xfId="59167"/>
    <cellStyle name="Обычный 3 5 4 2" xfId="59168"/>
    <cellStyle name="Обычный 3 5 4 3" xfId="59169"/>
    <cellStyle name="Обычный 3 5 5" xfId="59170"/>
    <cellStyle name="Обычный 3 5 5 2" xfId="59171"/>
    <cellStyle name="Обычный 3 5 5 3" xfId="61114"/>
    <cellStyle name="Обычный 3 5 6" xfId="59172"/>
    <cellStyle name="Обычный 3 5 7" xfId="59173"/>
    <cellStyle name="Обычный 3 5_объемы 2018г111" xfId="61115"/>
    <cellStyle name="Обычный 3 6" xfId="59174"/>
    <cellStyle name="Обычный 3 6 2" xfId="59175"/>
    <cellStyle name="Обычный 3 6 2 2" xfId="59176"/>
    <cellStyle name="Обычный 3 6 2 2 2" xfId="59177"/>
    <cellStyle name="Обычный 3 6 2 2 3" xfId="59178"/>
    <cellStyle name="Обычный 3 6 2 3" xfId="59179"/>
    <cellStyle name="Обычный 3 6 2 3 2" xfId="59180"/>
    <cellStyle name="Обычный 3 6 2 3 3" xfId="61116"/>
    <cellStyle name="Обычный 3 6 2 4" xfId="59181"/>
    <cellStyle name="Обычный 3 6 2 5" xfId="59182"/>
    <cellStyle name="Обычный 3 6 3" xfId="59183"/>
    <cellStyle name="Обычный 3 6 3 2" xfId="59184"/>
    <cellStyle name="Обычный 3 6 3 3" xfId="59185"/>
    <cellStyle name="Обычный 3 6 4" xfId="59186"/>
    <cellStyle name="Обычный 3 6 4 2" xfId="59187"/>
    <cellStyle name="Обычный 3 6 4 3" xfId="61117"/>
    <cellStyle name="Обычный 3 6 5" xfId="59188"/>
    <cellStyle name="Обычный 3 6 6" xfId="59189"/>
    <cellStyle name="Обычный 3 6_объемы 2018г111" xfId="61118"/>
    <cellStyle name="Обычный 3 7" xfId="59190"/>
    <cellStyle name="Обычный 3 7 2" xfId="59191"/>
    <cellStyle name="Обычный 3 7 2 2" xfId="59192"/>
    <cellStyle name="Обычный 3 7 2 3" xfId="59193"/>
    <cellStyle name="Обычный 3 7 3" xfId="59194"/>
    <cellStyle name="Обычный 3 7 3 2" xfId="59195"/>
    <cellStyle name="Обычный 3 7 3 3" xfId="61119"/>
    <cellStyle name="Обычный 3 7 4" xfId="59196"/>
    <cellStyle name="Обычный 3 7 5" xfId="59197"/>
    <cellStyle name="Обычный 3 8" xfId="59198"/>
    <cellStyle name="Обычный 3 8 2" xfId="59199"/>
    <cellStyle name="Обычный 3 8 2 2" xfId="59200"/>
    <cellStyle name="Обычный 3 8 2 3" xfId="59201"/>
    <cellStyle name="Обычный 3 8 3" xfId="59202"/>
    <cellStyle name="Обычный 3 8 3 2" xfId="59203"/>
    <cellStyle name="Обычный 3 8 3 3" xfId="61120"/>
    <cellStyle name="Обычный 3 8 4" xfId="59204"/>
    <cellStyle name="Обычный 3 8 5" xfId="59205"/>
    <cellStyle name="Обычный 3 9" xfId="59206"/>
    <cellStyle name="Обычный 3 9 2" xfId="59207"/>
    <cellStyle name="Обычный 3 9 2 2" xfId="59208"/>
    <cellStyle name="Обычный 3 9 2 3" xfId="59209"/>
    <cellStyle name="Обычный 3 9 3" xfId="59210"/>
    <cellStyle name="Обычный 3 9 3 2" xfId="59211"/>
    <cellStyle name="Обычный 3 9 3 3" xfId="61121"/>
    <cellStyle name="Обычный 3 9 4" xfId="59212"/>
    <cellStyle name="Обычный 3 9 5" xfId="59213"/>
    <cellStyle name="Обычный 3_объемы 2018г111" xfId="61122"/>
    <cellStyle name="Обычный 30" xfId="59214"/>
    <cellStyle name="Обычный 30 2" xfId="59215"/>
    <cellStyle name="Обычный 30 2 2" xfId="59216"/>
    <cellStyle name="Обычный 30 3" xfId="59217"/>
    <cellStyle name="Обычный 30 3 2" xfId="59218"/>
    <cellStyle name="Обычный 30 4" xfId="59219"/>
    <cellStyle name="Обычный 30 5" xfId="59220"/>
    <cellStyle name="Обычный 30 6" xfId="59221"/>
    <cellStyle name="Обычный 30 7" xfId="59222"/>
    <cellStyle name="Обычный 30 8" xfId="59223"/>
    <cellStyle name="Обычный 31" xfId="59224"/>
    <cellStyle name="Обычный 31 2" xfId="59225"/>
    <cellStyle name="Обычный 31 2 2" xfId="59226"/>
    <cellStyle name="Обычный 31 2 3" xfId="59227"/>
    <cellStyle name="Обычный 31 3" xfId="59228"/>
    <cellStyle name="Обычный 31 3 2" xfId="59229"/>
    <cellStyle name="Обычный 31 3 3" xfId="61123"/>
    <cellStyle name="Обычный 31 4" xfId="59230"/>
    <cellStyle name="Обычный 31 5" xfId="59231"/>
    <cellStyle name="Обычный 32" xfId="59232"/>
    <cellStyle name="Обычный 32 2" xfId="59233"/>
    <cellStyle name="Обычный 32 2 2" xfId="59234"/>
    <cellStyle name="Обычный 32 2 3" xfId="59235"/>
    <cellStyle name="Обычный 32 3" xfId="59236"/>
    <cellStyle name="Обычный 32 3 2" xfId="59237"/>
    <cellStyle name="Обычный 32 3 3" xfId="61124"/>
    <cellStyle name="Обычный 32 4" xfId="59238"/>
    <cellStyle name="Обычный 32 5" xfId="59239"/>
    <cellStyle name="Обычный 33" xfId="59240"/>
    <cellStyle name="Обычный 33 2" xfId="59241"/>
    <cellStyle name="Обычный 33 2 2" xfId="59242"/>
    <cellStyle name="Обычный 33 2 3" xfId="59243"/>
    <cellStyle name="Обычный 33 3" xfId="59244"/>
    <cellStyle name="Обычный 33 3 2" xfId="59245"/>
    <cellStyle name="Обычный 33 3 3" xfId="61125"/>
    <cellStyle name="Обычный 33 4" xfId="59246"/>
    <cellStyle name="Обычный 33 5" xfId="59247"/>
    <cellStyle name="Обычный 34" xfId="59248"/>
    <cellStyle name="Обычный 34 2" xfId="59249"/>
    <cellStyle name="Обычный 34 2 2" xfId="59250"/>
    <cellStyle name="Обычный 34 2 3" xfId="59251"/>
    <cellStyle name="Обычный 34 3" xfId="59252"/>
    <cellStyle name="Обычный 34 3 2" xfId="59253"/>
    <cellStyle name="Обычный 34 3 3" xfId="61126"/>
    <cellStyle name="Обычный 34 4" xfId="59254"/>
    <cellStyle name="Обычный 34 5" xfId="59255"/>
    <cellStyle name="Обычный 35" xfId="59256"/>
    <cellStyle name="Обычный 35 2" xfId="59257"/>
    <cellStyle name="Обычный 35 2 2" xfId="59258"/>
    <cellStyle name="Обычный 35 2 3" xfId="59259"/>
    <cellStyle name="Обычный 35 3" xfId="59260"/>
    <cellStyle name="Обычный 35 3 2" xfId="59261"/>
    <cellStyle name="Обычный 35 3 3" xfId="61127"/>
    <cellStyle name="Обычный 35 4" xfId="59262"/>
    <cellStyle name="Обычный 35 5" xfId="59263"/>
    <cellStyle name="Обычный 36" xfId="59264"/>
    <cellStyle name="Обычный 36 2" xfId="59265"/>
    <cellStyle name="Обычный 36 2 2" xfId="59266"/>
    <cellStyle name="Обычный 36 2 3" xfId="59267"/>
    <cellStyle name="Обычный 36 3" xfId="59268"/>
    <cellStyle name="Обычный 36 3 2" xfId="59269"/>
    <cellStyle name="Обычный 36 3 3" xfId="61128"/>
    <cellStyle name="Обычный 36 4" xfId="59270"/>
    <cellStyle name="Обычный 36 5" xfId="59271"/>
    <cellStyle name="Обычный 37" xfId="59272"/>
    <cellStyle name="Обычный 37 2" xfId="59273"/>
    <cellStyle name="Обычный 37 2 2" xfId="59274"/>
    <cellStyle name="Обычный 37 2 3" xfId="59275"/>
    <cellStyle name="Обычный 37 3" xfId="59276"/>
    <cellStyle name="Обычный 37 3 2" xfId="59277"/>
    <cellStyle name="Обычный 37 3 3" xfId="61129"/>
    <cellStyle name="Обычный 37 4" xfId="59278"/>
    <cellStyle name="Обычный 37 5" xfId="59279"/>
    <cellStyle name="Обычный 38" xfId="59280"/>
    <cellStyle name="Обычный 38 2" xfId="59281"/>
    <cellStyle name="Обычный 38 2 2" xfId="59282"/>
    <cellStyle name="Обычный 38 2 3" xfId="59283"/>
    <cellStyle name="Обычный 38 3" xfId="59284"/>
    <cellStyle name="Обычный 38 3 2" xfId="59285"/>
    <cellStyle name="Обычный 38 3 3" xfId="61130"/>
    <cellStyle name="Обычный 38 4" xfId="59286"/>
    <cellStyle name="Обычный 38 5" xfId="59287"/>
    <cellStyle name="Обычный 39" xfId="59288"/>
    <cellStyle name="Обычный 39 2" xfId="59289"/>
    <cellStyle name="Обычный 39 2 2" xfId="59290"/>
    <cellStyle name="Обычный 39 2 3" xfId="59291"/>
    <cellStyle name="Обычный 39 3" xfId="59292"/>
    <cellStyle name="Обычный 39 3 2" xfId="59293"/>
    <cellStyle name="Обычный 39 3 3" xfId="61131"/>
    <cellStyle name="Обычный 39 4" xfId="59294"/>
    <cellStyle name="Обычный 39 5" xfId="59295"/>
    <cellStyle name="Обычный 4" xfId="1"/>
    <cellStyle name="Обычный 4 10" xfId="59296"/>
    <cellStyle name="Обычный 4 10 2" xfId="9"/>
    <cellStyle name="Обычный 4 10 2 2" xfId="11"/>
    <cellStyle name="Обычный 4 10 2 2 2" xfId="61210"/>
    <cellStyle name="Обычный 4 10 2 3" xfId="59297"/>
    <cellStyle name="Обычный 4 10 3" xfId="59298"/>
    <cellStyle name="Обычный 4 10 3 2" xfId="59299"/>
    <cellStyle name="Обычный 4 10 3 3" xfId="61132"/>
    <cellStyle name="Обычный 4 10 4" xfId="59300"/>
    <cellStyle name="Обычный 4 10 5" xfId="59301"/>
    <cellStyle name="Обычный 4 11" xfId="59302"/>
    <cellStyle name="Обычный 4 11 2" xfId="59303"/>
    <cellStyle name="Обычный 4 11 2 2" xfId="59304"/>
    <cellStyle name="Обычный 4 11 2 3" xfId="59305"/>
    <cellStyle name="Обычный 4 11 3" xfId="59306"/>
    <cellStyle name="Обычный 4 11 3 2" xfId="59307"/>
    <cellStyle name="Обычный 4 11 3 3" xfId="61133"/>
    <cellStyle name="Обычный 4 11 4" xfId="59308"/>
    <cellStyle name="Обычный 4 11 5" xfId="59309"/>
    <cellStyle name="Обычный 4 12" xfId="59310"/>
    <cellStyle name="Обычный 4 12 2" xfId="59311"/>
    <cellStyle name="Обычный 4 12 2 2" xfId="59312"/>
    <cellStyle name="Обычный 4 12 2 3" xfId="59313"/>
    <cellStyle name="Обычный 4 12 3" xfId="59314"/>
    <cellStyle name="Обычный 4 12 3 2" xfId="59315"/>
    <cellStyle name="Обычный 4 12 3 3" xfId="61134"/>
    <cellStyle name="Обычный 4 12 4" xfId="59316"/>
    <cellStyle name="Обычный 4 12 5" xfId="59317"/>
    <cellStyle name="Обычный 4 13" xfId="59318"/>
    <cellStyle name="Обычный 4 13 2" xfId="59319"/>
    <cellStyle name="Обычный 4 13 2 2" xfId="59320"/>
    <cellStyle name="Обычный 4 13 2 3" xfId="59321"/>
    <cellStyle name="Обычный 4 13 3" xfId="59322"/>
    <cellStyle name="Обычный 4 13 3 2" xfId="59323"/>
    <cellStyle name="Обычный 4 13 3 3" xfId="61135"/>
    <cellStyle name="Обычный 4 13 4" xfId="59324"/>
    <cellStyle name="Обычный 4 13 5" xfId="59325"/>
    <cellStyle name="Обычный 4 14" xfId="59326"/>
    <cellStyle name="Обычный 4 14 2" xfId="59327"/>
    <cellStyle name="Обычный 4 14 2 2" xfId="59328"/>
    <cellStyle name="Обычный 4 14 2 3" xfId="59329"/>
    <cellStyle name="Обычный 4 14 3" xfId="59330"/>
    <cellStyle name="Обычный 4 14 3 2" xfId="59331"/>
    <cellStyle name="Обычный 4 14 3 3" xfId="61136"/>
    <cellStyle name="Обычный 4 14 4" xfId="59332"/>
    <cellStyle name="Обычный 4 14 5" xfId="59333"/>
    <cellStyle name="Обычный 4 15" xfId="59334"/>
    <cellStyle name="Обычный 4 15 2" xfId="59335"/>
    <cellStyle name="Обычный 4 15 2 2" xfId="59336"/>
    <cellStyle name="Обычный 4 15 2 3" xfId="59337"/>
    <cellStyle name="Обычный 4 15 3" xfId="59338"/>
    <cellStyle name="Обычный 4 15 3 2" xfId="59339"/>
    <cellStyle name="Обычный 4 15 3 3" xfId="61137"/>
    <cellStyle name="Обычный 4 15 4" xfId="59340"/>
    <cellStyle name="Обычный 4 15 5" xfId="59341"/>
    <cellStyle name="Обычный 4 16" xfId="59342"/>
    <cellStyle name="Обычный 4 16 2" xfId="59343"/>
    <cellStyle name="Обычный 4 16 2 2" xfId="59344"/>
    <cellStyle name="Обычный 4 16 2 3" xfId="59345"/>
    <cellStyle name="Обычный 4 16 3" xfId="59346"/>
    <cellStyle name="Обычный 4 16 3 2" xfId="59347"/>
    <cellStyle name="Обычный 4 16 3 3" xfId="61138"/>
    <cellStyle name="Обычный 4 16 4" xfId="59348"/>
    <cellStyle name="Обычный 4 16 5" xfId="59349"/>
    <cellStyle name="Обычный 4 17" xfId="59350"/>
    <cellStyle name="Обычный 4 17 2" xfId="59351"/>
    <cellStyle name="Обычный 4 17 2 2" xfId="59352"/>
    <cellStyle name="Обычный 4 17 2 3" xfId="59353"/>
    <cellStyle name="Обычный 4 17 3" xfId="59354"/>
    <cellStyle name="Обычный 4 17 3 2" xfId="59355"/>
    <cellStyle name="Обычный 4 17 3 3" xfId="61139"/>
    <cellStyle name="Обычный 4 17 4" xfId="59356"/>
    <cellStyle name="Обычный 4 17 5" xfId="59357"/>
    <cellStyle name="Обычный 4 18" xfId="59358"/>
    <cellStyle name="Обычный 4 18 2" xfId="59359"/>
    <cellStyle name="Обычный 4 18 2 2" xfId="59360"/>
    <cellStyle name="Обычный 4 18 2 3" xfId="59361"/>
    <cellStyle name="Обычный 4 18 3" xfId="59362"/>
    <cellStyle name="Обычный 4 18 3 2" xfId="59363"/>
    <cellStyle name="Обычный 4 18 3 3" xfId="61140"/>
    <cellStyle name="Обычный 4 18 4" xfId="59364"/>
    <cellStyle name="Обычный 4 18 5" xfId="59365"/>
    <cellStyle name="Обычный 4 19" xfId="59366"/>
    <cellStyle name="Обычный 4 19 2" xfId="59367"/>
    <cellStyle name="Обычный 4 19 3" xfId="59368"/>
    <cellStyle name="Обычный 4 2" xfId="59369"/>
    <cellStyle name="Обычный 4 2 2" xfId="59370"/>
    <cellStyle name="Обычный 4 20" xfId="59371"/>
    <cellStyle name="Обычный 4 20 2" xfId="59372"/>
    <cellStyle name="Обычный 4 20 3" xfId="61141"/>
    <cellStyle name="Обычный 4 21" xfId="59373"/>
    <cellStyle name="Обычный 4 21 2" xfId="59374"/>
    <cellStyle name="Обычный 4 22" xfId="59375"/>
    <cellStyle name="Обычный 4 23" xfId="59376"/>
    <cellStyle name="Обычный 4 24" xfId="59377"/>
    <cellStyle name="Обычный 4 25" xfId="59378"/>
    <cellStyle name="Обычный 4 26" xfId="59379"/>
    <cellStyle name="Обычный 4 27" xfId="59380"/>
    <cellStyle name="Обычный 4 28" xfId="59381"/>
    <cellStyle name="Обычный 4 29" xfId="59382"/>
    <cellStyle name="Обычный 4 3" xfId="59383"/>
    <cellStyle name="Обычный 4 3 2" xfId="59384"/>
    <cellStyle name="Обычный 4 3 2 2" xfId="59385"/>
    <cellStyle name="Обычный 4 3 2 2 2" xfId="59386"/>
    <cellStyle name="Обычный 4 3 2 2 2 2" xfId="59387"/>
    <cellStyle name="Обычный 4 3 2 2 2 3" xfId="59388"/>
    <cellStyle name="Обычный 4 3 2 2 3" xfId="59389"/>
    <cellStyle name="Обычный 4 3 2 2 3 2" xfId="59390"/>
    <cellStyle name="Обычный 4 3 2 2 3 3" xfId="61142"/>
    <cellStyle name="Обычный 4 3 2 2 4" xfId="59391"/>
    <cellStyle name="Обычный 4 3 2 2 5" xfId="59392"/>
    <cellStyle name="Обычный 4 3 2 3" xfId="59393"/>
    <cellStyle name="Обычный 4 3 2 3 2" xfId="59394"/>
    <cellStyle name="Обычный 4 3 2 3 3" xfId="59395"/>
    <cellStyle name="Обычный 4 3 2 4" xfId="59396"/>
    <cellStyle name="Обычный 4 3 2 4 2" xfId="59397"/>
    <cellStyle name="Обычный 4 3 2 4 3" xfId="61143"/>
    <cellStyle name="Обычный 4 3 2 5" xfId="59398"/>
    <cellStyle name="Обычный 4 3 2 6" xfId="59399"/>
    <cellStyle name="Обычный 4 3 2_объемы 2018г111" xfId="61144"/>
    <cellStyle name="Обычный 4 3 3" xfId="59400"/>
    <cellStyle name="Обычный 4 3 3 2" xfId="59401"/>
    <cellStyle name="Обычный 4 3 3 2 2" xfId="59402"/>
    <cellStyle name="Обычный 4 3 3 2 3" xfId="59403"/>
    <cellStyle name="Обычный 4 3 3 3" xfId="59404"/>
    <cellStyle name="Обычный 4 3 3 3 2" xfId="59405"/>
    <cellStyle name="Обычный 4 3 3 3 3" xfId="61145"/>
    <cellStyle name="Обычный 4 3 3 4" xfId="59406"/>
    <cellStyle name="Обычный 4 3 3 5" xfId="59407"/>
    <cellStyle name="Обычный 4 3 4" xfId="59408"/>
    <cellStyle name="Обычный 4 3 4 2" xfId="59409"/>
    <cellStyle name="Обычный 4 3 4 3" xfId="59410"/>
    <cellStyle name="Обычный 4 3 5" xfId="59411"/>
    <cellStyle name="Обычный 4 3 5 2" xfId="59412"/>
    <cellStyle name="Обычный 4 3 5 3" xfId="61146"/>
    <cellStyle name="Обычный 4 3 6" xfId="59413"/>
    <cellStyle name="Обычный 4 3 7" xfId="59414"/>
    <cellStyle name="Обычный 4 3_объемы 2018г111" xfId="61147"/>
    <cellStyle name="Обычный 4 30" xfId="59415"/>
    <cellStyle name="Обычный 4 31" xfId="59416"/>
    <cellStyle name="Обычный 4 32" xfId="59417"/>
    <cellStyle name="Обычный 4 4" xfId="59418"/>
    <cellStyle name="Обычный 4 4 2" xfId="59419"/>
    <cellStyle name="Обычный 4 4 2 2" xfId="59420"/>
    <cellStyle name="Обычный 4 4 2 2 2" xfId="59421"/>
    <cellStyle name="Обычный 4 4 2 2 2 2" xfId="59422"/>
    <cellStyle name="Обычный 4 4 2 2 2 3" xfId="59423"/>
    <cellStyle name="Обычный 4 4 2 2 3" xfId="59424"/>
    <cellStyle name="Обычный 4 4 2 2 3 2" xfId="59425"/>
    <cellStyle name="Обычный 4 4 2 2 3 3" xfId="61148"/>
    <cellStyle name="Обычный 4 4 2 2 4" xfId="59426"/>
    <cellStyle name="Обычный 4 4 2 2 5" xfId="59427"/>
    <cellStyle name="Обычный 4 4 2 3" xfId="59428"/>
    <cellStyle name="Обычный 4 4 2 3 2" xfId="59429"/>
    <cellStyle name="Обычный 4 4 2 3 3" xfId="59430"/>
    <cellStyle name="Обычный 4 4 2 4" xfId="59431"/>
    <cellStyle name="Обычный 4 4 2 4 2" xfId="59432"/>
    <cellStyle name="Обычный 4 4 2 4 3" xfId="61149"/>
    <cellStyle name="Обычный 4 4 2 5" xfId="59433"/>
    <cellStyle name="Обычный 4 4 2 6" xfId="59434"/>
    <cellStyle name="Обычный 4 4 2_объемы 2018г111" xfId="61150"/>
    <cellStyle name="Обычный 4 4 3" xfId="59435"/>
    <cellStyle name="Обычный 4 4 3 2" xfId="59436"/>
    <cellStyle name="Обычный 4 4 3 2 2" xfId="59437"/>
    <cellStyle name="Обычный 4 4 3 2 3" xfId="59438"/>
    <cellStyle name="Обычный 4 4 3 3" xfId="59439"/>
    <cellStyle name="Обычный 4 4 3 3 2" xfId="59440"/>
    <cellStyle name="Обычный 4 4 3 3 3" xfId="61151"/>
    <cellStyle name="Обычный 4 4 3 4" xfId="59441"/>
    <cellStyle name="Обычный 4 4 3 5" xfId="59442"/>
    <cellStyle name="Обычный 4 4 4" xfId="59443"/>
    <cellStyle name="Обычный 4 4 4 2" xfId="59444"/>
    <cellStyle name="Обычный 4 4 4 3" xfId="59445"/>
    <cellStyle name="Обычный 4 4 5" xfId="59446"/>
    <cellStyle name="Обычный 4 4 5 2" xfId="59447"/>
    <cellStyle name="Обычный 4 4 5 3" xfId="61152"/>
    <cellStyle name="Обычный 4 4 6" xfId="59448"/>
    <cellStyle name="Обычный 4 4 7" xfId="59449"/>
    <cellStyle name="Обычный 4 4_объемы 2018г111" xfId="61153"/>
    <cellStyle name="Обычный 4 5" xfId="59450"/>
    <cellStyle name="Обычный 4 5 2" xfId="59451"/>
    <cellStyle name="Обычный 4 5 2 2" xfId="59452"/>
    <cellStyle name="Обычный 4 5 2 2 2" xfId="59453"/>
    <cellStyle name="Обычный 4 5 2 2 3" xfId="59454"/>
    <cellStyle name="Обычный 4 5 2 3" xfId="59455"/>
    <cellStyle name="Обычный 4 5 2 3 2" xfId="59456"/>
    <cellStyle name="Обычный 4 5 2 3 3" xfId="61154"/>
    <cellStyle name="Обычный 4 5 2 4" xfId="59457"/>
    <cellStyle name="Обычный 4 5 2 5" xfId="59458"/>
    <cellStyle name="Обычный 4 5 3" xfId="59459"/>
    <cellStyle name="Обычный 4 5 3 2" xfId="59460"/>
    <cellStyle name="Обычный 4 5 3 3" xfId="59461"/>
    <cellStyle name="Обычный 4 5 4" xfId="59462"/>
    <cellStyle name="Обычный 4 5 4 2" xfId="59463"/>
    <cellStyle name="Обычный 4 5 4 3" xfId="61155"/>
    <cellStyle name="Обычный 4 5 5" xfId="59464"/>
    <cellStyle name="Обычный 4 5 6" xfId="59465"/>
    <cellStyle name="Обычный 4 5_объемы 2018г111" xfId="61156"/>
    <cellStyle name="Обычный 4 6" xfId="59466"/>
    <cellStyle name="Обычный 4 6 2" xfId="59467"/>
    <cellStyle name="Обычный 4 6 2 2" xfId="59468"/>
    <cellStyle name="Обычный 4 6 2 3" xfId="59469"/>
    <cellStyle name="Обычный 4 6 3" xfId="59470"/>
    <cellStyle name="Обычный 4 6 3 2" xfId="59471"/>
    <cellStyle name="Обычный 4 6 3 3" xfId="61157"/>
    <cellStyle name="Обычный 4 6 4" xfId="59472"/>
    <cellStyle name="Обычный 4 6 5" xfId="59473"/>
    <cellStyle name="Обычный 4 7" xfId="59474"/>
    <cellStyle name="Обычный 4 7 2" xfId="59475"/>
    <cellStyle name="Обычный 4 7 2 2" xfId="59476"/>
    <cellStyle name="Обычный 4 7 2 3" xfId="59477"/>
    <cellStyle name="Обычный 4 7 3" xfId="59478"/>
    <cellStyle name="Обычный 4 7 3 2" xfId="59479"/>
    <cellStyle name="Обычный 4 7 3 3" xfId="61158"/>
    <cellStyle name="Обычный 4 7 4" xfId="59480"/>
    <cellStyle name="Обычный 4 7 5" xfId="59481"/>
    <cellStyle name="Обычный 4 8" xfId="59482"/>
    <cellStyle name="Обычный 4 8 2" xfId="59483"/>
    <cellStyle name="Обычный 4 8 2 2" xfId="59484"/>
    <cellStyle name="Обычный 4 8 2 3" xfId="59485"/>
    <cellStyle name="Обычный 4 8 3" xfId="59486"/>
    <cellStyle name="Обычный 4 8 3 2" xfId="59487"/>
    <cellStyle name="Обычный 4 8 3 3" xfId="61159"/>
    <cellStyle name="Обычный 4 8 4" xfId="59488"/>
    <cellStyle name="Обычный 4 8 5" xfId="59489"/>
    <cellStyle name="Обычный 4 9" xfId="59490"/>
    <cellStyle name="Обычный 4 9 2" xfId="59491"/>
    <cellStyle name="Обычный 4 9 2 2" xfId="59492"/>
    <cellStyle name="Обычный 4 9 2 3" xfId="59493"/>
    <cellStyle name="Обычный 4 9 3" xfId="59494"/>
    <cellStyle name="Обычный 4 9 3 2" xfId="59495"/>
    <cellStyle name="Обычный 4 9 3 3" xfId="61160"/>
    <cellStyle name="Обычный 4 9 4" xfId="59496"/>
    <cellStyle name="Обычный 4 9 5" xfId="59497"/>
    <cellStyle name="Обычный 4_объемы 2018г111" xfId="61161"/>
    <cellStyle name="Обычный 40" xfId="59498"/>
    <cellStyle name="Обычный 40 2" xfId="59499"/>
    <cellStyle name="Обычный 40 2 2" xfId="59500"/>
    <cellStyle name="Обычный 40 2 3" xfId="59501"/>
    <cellStyle name="Обычный 40 3" xfId="59502"/>
    <cellStyle name="Обычный 40 3 2" xfId="59503"/>
    <cellStyle name="Обычный 40 3 3" xfId="61162"/>
    <cellStyle name="Обычный 40 4" xfId="59504"/>
    <cellStyle name="Обычный 40 5" xfId="59505"/>
    <cellStyle name="Обычный 41" xfId="59506"/>
    <cellStyle name="Обычный 41 2" xfId="59507"/>
    <cellStyle name="Обычный 41 2 2" xfId="59508"/>
    <cellStyle name="Обычный 41 2 3" xfId="59509"/>
    <cellStyle name="Обычный 41 3" xfId="59510"/>
    <cellStyle name="Обычный 41 3 2" xfId="59511"/>
    <cellStyle name="Обычный 41 3 3" xfId="61163"/>
    <cellStyle name="Обычный 41 4" xfId="59512"/>
    <cellStyle name="Обычный 41 5" xfId="59513"/>
    <cellStyle name="Обычный 42" xfId="59514"/>
    <cellStyle name="Обычный 42 2" xfId="59515"/>
    <cellStyle name="Обычный 42 2 2" xfId="59516"/>
    <cellStyle name="Обычный 42 2 3" xfId="59517"/>
    <cellStyle name="Обычный 42 3" xfId="59518"/>
    <cellStyle name="Обычный 42 3 2" xfId="59519"/>
    <cellStyle name="Обычный 42 3 3" xfId="61164"/>
    <cellStyle name="Обычный 42 4" xfId="59520"/>
    <cellStyle name="Обычный 42 5" xfId="59521"/>
    <cellStyle name="Обычный 43" xfId="59522"/>
    <cellStyle name="Обычный 43 2" xfId="59523"/>
    <cellStyle name="Обычный 43 2 2" xfId="59524"/>
    <cellStyle name="Обычный 43 2 3" xfId="59525"/>
    <cellStyle name="Обычный 43 3" xfId="59526"/>
    <cellStyle name="Обычный 43 3 2" xfId="59527"/>
    <cellStyle name="Обычный 43 3 3" xfId="61165"/>
    <cellStyle name="Обычный 43 4" xfId="59528"/>
    <cellStyle name="Обычный 43 5" xfId="59529"/>
    <cellStyle name="Обычный 44" xfId="59530"/>
    <cellStyle name="Обычный 44 2" xfId="59531"/>
    <cellStyle name="Обычный 44 2 2" xfId="59532"/>
    <cellStyle name="Обычный 44 2 3" xfId="59533"/>
    <cellStyle name="Обычный 44 3" xfId="59534"/>
    <cellStyle name="Обычный 44 3 2" xfId="59535"/>
    <cellStyle name="Обычный 44 3 3" xfId="61166"/>
    <cellStyle name="Обычный 44 4" xfId="59536"/>
    <cellStyle name="Обычный 44 5" xfId="59537"/>
    <cellStyle name="Обычный 45" xfId="59538"/>
    <cellStyle name="Обычный 45 2" xfId="59539"/>
    <cellStyle name="Обычный 45 2 2" xfId="59540"/>
    <cellStyle name="Обычный 45 2 3" xfId="59541"/>
    <cellStyle name="Обычный 45 3" xfId="59542"/>
    <cellStyle name="Обычный 45 3 2" xfId="59543"/>
    <cellStyle name="Обычный 45 3 3" xfId="61167"/>
    <cellStyle name="Обычный 45 4" xfId="59544"/>
    <cellStyle name="Обычный 45 5" xfId="59545"/>
    <cellStyle name="Обычный 46" xfId="59546"/>
    <cellStyle name="Обычный 46 2" xfId="59547"/>
    <cellStyle name="Обычный 46 2 2" xfId="59548"/>
    <cellStyle name="Обычный 46 2 3" xfId="59549"/>
    <cellStyle name="Обычный 46 3" xfId="59550"/>
    <cellStyle name="Обычный 46 3 2" xfId="59551"/>
    <cellStyle name="Обычный 46 3 3" xfId="61168"/>
    <cellStyle name="Обычный 46 4" xfId="59552"/>
    <cellStyle name="Обычный 46 5" xfId="59553"/>
    <cellStyle name="Обычный 47" xfId="59554"/>
    <cellStyle name="Обычный 47 2" xfId="59555"/>
    <cellStyle name="Обычный 47 2 2" xfId="59556"/>
    <cellStyle name="Обычный 47 2 3" xfId="59557"/>
    <cellStyle name="Обычный 47 3" xfId="59558"/>
    <cellStyle name="Обычный 47 3 2" xfId="59559"/>
    <cellStyle name="Обычный 47 3 3" xfId="61169"/>
    <cellStyle name="Обычный 47 4" xfId="59560"/>
    <cellStyle name="Обычный 47 5" xfId="59561"/>
    <cellStyle name="Обычный 48" xfId="59562"/>
    <cellStyle name="Обычный 48 2" xfId="59563"/>
    <cellStyle name="Обычный 48 2 2" xfId="59564"/>
    <cellStyle name="Обычный 48 2 3" xfId="59565"/>
    <cellStyle name="Обычный 48 3" xfId="59566"/>
    <cellStyle name="Обычный 48 3 2" xfId="59567"/>
    <cellStyle name="Обычный 48 3 3" xfId="61170"/>
    <cellStyle name="Обычный 48 4" xfId="59568"/>
    <cellStyle name="Обычный 48 5" xfId="59569"/>
    <cellStyle name="Обычный 49" xfId="59570"/>
    <cellStyle name="Обычный 49 2" xfId="59571"/>
    <cellStyle name="Обычный 49 2 2" xfId="59572"/>
    <cellStyle name="Обычный 49 2 3" xfId="59573"/>
    <cellStyle name="Обычный 49 3" xfId="59574"/>
    <cellStyle name="Обычный 49 3 2" xfId="59575"/>
    <cellStyle name="Обычный 49 3 3" xfId="61171"/>
    <cellStyle name="Обычный 49 4" xfId="59576"/>
    <cellStyle name="Обычный 49 5" xfId="59577"/>
    <cellStyle name="Обычный 5" xfId="59578"/>
    <cellStyle name="Обычный 5 2" xfId="59579"/>
    <cellStyle name="Обычный 5 3" xfId="59580"/>
    <cellStyle name="Обычный 50" xfId="59581"/>
    <cellStyle name="Обычный 50 2" xfId="59582"/>
    <cellStyle name="Обычный 50 2 2" xfId="59583"/>
    <cellStyle name="Обычный 50 2 3" xfId="59584"/>
    <cellStyle name="Обычный 50 3" xfId="59585"/>
    <cellStyle name="Обычный 50 3 2" xfId="59586"/>
    <cellStyle name="Обычный 50 3 3" xfId="61172"/>
    <cellStyle name="Обычный 50 4" xfId="59587"/>
    <cellStyle name="Обычный 50 5" xfId="59588"/>
    <cellStyle name="Обычный 51" xfId="59589"/>
    <cellStyle name="Обычный 51 2" xfId="59590"/>
    <cellStyle name="Обычный 51 2 2" xfId="59591"/>
    <cellStyle name="Обычный 51 2 3" xfId="59592"/>
    <cellStyle name="Обычный 51 3" xfId="59593"/>
    <cellStyle name="Обычный 51 3 2" xfId="59594"/>
    <cellStyle name="Обычный 51 3 3" xfId="61173"/>
    <cellStyle name="Обычный 51 4" xfId="59595"/>
    <cellStyle name="Обычный 51 5" xfId="59596"/>
    <cellStyle name="Обычный 52" xfId="59597"/>
    <cellStyle name="Обычный 52 2" xfId="59598"/>
    <cellStyle name="Обычный 52 2 2" xfId="59599"/>
    <cellStyle name="Обычный 52 2 3" xfId="59600"/>
    <cellStyle name="Обычный 52 3" xfId="59601"/>
    <cellStyle name="Обычный 52 3 2" xfId="59602"/>
    <cellStyle name="Обычный 52 3 3" xfId="61174"/>
    <cellStyle name="Обычный 52 4" xfId="59603"/>
    <cellStyle name="Обычный 52 5" xfId="59604"/>
    <cellStyle name="Обычный 53" xfId="59605"/>
    <cellStyle name="Обычный 53 2" xfId="59606"/>
    <cellStyle name="Обычный 53 2 2" xfId="59607"/>
    <cellStyle name="Обычный 53 2 3" xfId="59608"/>
    <cellStyle name="Обычный 53 3" xfId="59609"/>
    <cellStyle name="Обычный 53 3 2" xfId="59610"/>
    <cellStyle name="Обычный 53 3 3" xfId="61175"/>
    <cellStyle name="Обычный 53 4" xfId="59611"/>
    <cellStyle name="Обычный 53 5" xfId="59612"/>
    <cellStyle name="Обычный 54" xfId="59613"/>
    <cellStyle name="Обычный 54 2" xfId="59614"/>
    <cellStyle name="Обычный 54 2 2" xfId="59615"/>
    <cellStyle name="Обычный 54 2 3" xfId="59616"/>
    <cellStyle name="Обычный 54 3" xfId="59617"/>
    <cellStyle name="Обычный 54 3 2" xfId="59618"/>
    <cellStyle name="Обычный 54 3 3" xfId="61176"/>
    <cellStyle name="Обычный 54 4" xfId="59619"/>
    <cellStyle name="Обычный 54 5" xfId="59620"/>
    <cellStyle name="Обычный 55" xfId="59621"/>
    <cellStyle name="Обычный 55 2" xfId="59622"/>
    <cellStyle name="Обычный 55 2 2" xfId="59623"/>
    <cellStyle name="Обычный 55 2 3" xfId="59624"/>
    <cellStyle name="Обычный 55 3" xfId="59625"/>
    <cellStyle name="Обычный 55 3 2" xfId="59626"/>
    <cellStyle name="Обычный 55 3 3" xfId="61177"/>
    <cellStyle name="Обычный 55 4" xfId="59627"/>
    <cellStyle name="Обычный 55 5" xfId="59628"/>
    <cellStyle name="Обычный 56" xfId="59629"/>
    <cellStyle name="Обычный 56 2" xfId="59630"/>
    <cellStyle name="Обычный 56 2 2" xfId="59631"/>
    <cellStyle name="Обычный 56 2 3" xfId="59632"/>
    <cellStyle name="Обычный 56 3" xfId="59633"/>
    <cellStyle name="Обычный 56 3 2" xfId="59634"/>
    <cellStyle name="Обычный 56 3 3" xfId="61178"/>
    <cellStyle name="Обычный 56 4" xfId="59635"/>
    <cellStyle name="Обычный 56 5" xfId="59636"/>
    <cellStyle name="Обычный 57" xfId="59637"/>
    <cellStyle name="Обычный 57 2" xfId="59638"/>
    <cellStyle name="Обычный 57 2 2" xfId="59639"/>
    <cellStyle name="Обычный 57 2 3" xfId="59640"/>
    <cellStyle name="Обычный 57 3" xfId="59641"/>
    <cellStyle name="Обычный 57 3 2" xfId="59642"/>
    <cellStyle name="Обычный 57 3 3" xfId="61179"/>
    <cellStyle name="Обычный 57 4" xfId="59643"/>
    <cellStyle name="Обычный 57 5" xfId="59644"/>
    <cellStyle name="Обычный 58" xfId="59645"/>
    <cellStyle name="Обычный 58 2" xfId="59646"/>
    <cellStyle name="Обычный 58 2 2" xfId="59647"/>
    <cellStyle name="Обычный 58 2 3" xfId="59648"/>
    <cellStyle name="Обычный 58 3" xfId="59649"/>
    <cellStyle name="Обычный 58 3 2" xfId="59650"/>
    <cellStyle name="Обычный 58 3 3" xfId="61180"/>
    <cellStyle name="Обычный 58 4" xfId="59651"/>
    <cellStyle name="Обычный 58 5" xfId="59652"/>
    <cellStyle name="Обычный 59" xfId="59653"/>
    <cellStyle name="Обычный 59 2" xfId="59654"/>
    <cellStyle name="Обычный 59 2 2" xfId="59655"/>
    <cellStyle name="Обычный 59 2 3" xfId="59656"/>
    <cellStyle name="Обычный 59 3" xfId="59657"/>
    <cellStyle name="Обычный 59 3 2" xfId="59658"/>
    <cellStyle name="Обычный 59 3 3" xfId="61181"/>
    <cellStyle name="Обычный 59 4" xfId="59659"/>
    <cellStyle name="Обычный 59 5" xfId="59660"/>
    <cellStyle name="Обычный 6" xfId="59661"/>
    <cellStyle name="Обычный 6 10" xfId="59662"/>
    <cellStyle name="Обычный 6 11" xfId="59663"/>
    <cellStyle name="Обычный 6 12" xfId="59664"/>
    <cellStyle name="Обычный 6 13" xfId="59665"/>
    <cellStyle name="Обычный 6 14" xfId="59666"/>
    <cellStyle name="Обычный 6 15" xfId="59667"/>
    <cellStyle name="Обычный 6 16" xfId="59668"/>
    <cellStyle name="Обычный 6 17" xfId="59669"/>
    <cellStyle name="Обычный 6 18" xfId="59670"/>
    <cellStyle name="Обычный 6 19" xfId="59671"/>
    <cellStyle name="Обычный 6 19 2" xfId="61190"/>
    <cellStyle name="Обычный 6 19 3" xfId="61204"/>
    <cellStyle name="Обычный 6 2" xfId="59672"/>
    <cellStyle name="Обычный 6 2 2" xfId="59673"/>
    <cellStyle name="Обычный 6 2 2 2" xfId="59674"/>
    <cellStyle name="Обычный 6 2 3" xfId="59675"/>
    <cellStyle name="Обычный 6 3" xfId="59676"/>
    <cellStyle name="Обычный 6 3 2" xfId="59677"/>
    <cellStyle name="Обычный 6 3 2 2" xfId="59678"/>
    <cellStyle name="Обычный 6 3 3" xfId="59679"/>
    <cellStyle name="Обычный 6 4" xfId="59680"/>
    <cellStyle name="Обычный 6 4 2" xfId="59681"/>
    <cellStyle name="Обычный 6 4 2 2" xfId="59682"/>
    <cellStyle name="Обычный 6 4 3" xfId="59683"/>
    <cellStyle name="Обычный 6 5" xfId="59684"/>
    <cellStyle name="Обычный 6 5 2" xfId="59685"/>
    <cellStyle name="Обычный 6 6" xfId="59686"/>
    <cellStyle name="Обычный 6 6 2" xfId="59687"/>
    <cellStyle name="Обычный 6 7" xfId="59688"/>
    <cellStyle name="Обычный 6 7 2" xfId="59689"/>
    <cellStyle name="Обычный 6 8" xfId="59690"/>
    <cellStyle name="Обычный 6 9" xfId="59691"/>
    <cellStyle name="Обычный 60" xfId="59692"/>
    <cellStyle name="Обычный 60 2" xfId="59693"/>
    <cellStyle name="Обычный 60 2 2" xfId="59694"/>
    <cellStyle name="Обычный 60 2 3" xfId="59695"/>
    <cellStyle name="Обычный 60 3" xfId="59696"/>
    <cellStyle name="Обычный 60 3 2" xfId="59697"/>
    <cellStyle name="Обычный 60 3 3" xfId="61182"/>
    <cellStyle name="Обычный 60 4" xfId="59698"/>
    <cellStyle name="Обычный 60 5" xfId="59699"/>
    <cellStyle name="Обычный 61" xfId="59700"/>
    <cellStyle name="Обычный 61 2" xfId="59701"/>
    <cellStyle name="Обычный 61 2 2" xfId="59702"/>
    <cellStyle name="Обычный 61 2 3" xfId="59703"/>
    <cellStyle name="Обычный 61 3" xfId="59704"/>
    <cellStyle name="Обычный 61 3 2" xfId="59705"/>
    <cellStyle name="Обычный 61 3 3" xfId="61183"/>
    <cellStyle name="Обычный 61 4" xfId="59706"/>
    <cellStyle name="Обычный 61 5" xfId="59707"/>
    <cellStyle name="Обычный 62" xfId="59708"/>
    <cellStyle name="Обычный 62 2" xfId="59709"/>
    <cellStyle name="Обычный 62 2 2" xfId="59710"/>
    <cellStyle name="Обычный 62 2 3" xfId="59711"/>
    <cellStyle name="Обычный 62 3" xfId="59712"/>
    <cellStyle name="Обычный 62 3 2" xfId="59713"/>
    <cellStyle name="Обычный 62 3 3" xfId="61184"/>
    <cellStyle name="Обычный 62 4" xfId="59714"/>
    <cellStyle name="Обычный 62 5" xfId="59715"/>
    <cellStyle name="Обычный 63" xfId="59716"/>
    <cellStyle name="Обычный 63 2" xfId="59717"/>
    <cellStyle name="Обычный 63 2 2" xfId="59718"/>
    <cellStyle name="Обычный 63 2 3" xfId="59719"/>
    <cellStyle name="Обычный 63 3" xfId="59720"/>
    <cellStyle name="Обычный 63 3 2" xfId="59721"/>
    <cellStyle name="Обычный 63 3 3" xfId="61185"/>
    <cellStyle name="Обычный 63 4" xfId="59722"/>
    <cellStyle name="Обычный 63 5" xfId="59723"/>
    <cellStyle name="Обычный 64" xfId="59724"/>
    <cellStyle name="Обычный 64 2" xfId="59725"/>
    <cellStyle name="Обычный 64 2 2" xfId="59726"/>
    <cellStyle name="Обычный 64 2 3" xfId="59727"/>
    <cellStyle name="Обычный 64 3" xfId="59728"/>
    <cellStyle name="Обычный 64 3 2" xfId="59729"/>
    <cellStyle name="Обычный 64 3 3" xfId="61186"/>
    <cellStyle name="Обычный 64 4" xfId="59730"/>
    <cellStyle name="Обычный 64 5" xfId="59731"/>
    <cellStyle name="Обычный 65" xfId="59732"/>
    <cellStyle name="Обычный 65 2" xfId="59733"/>
    <cellStyle name="Обычный 65 2 2" xfId="59734"/>
    <cellStyle name="Обычный 65 2 3" xfId="59735"/>
    <cellStyle name="Обычный 65 3" xfId="59736"/>
    <cellStyle name="Обычный 65 3 2" xfId="59737"/>
    <cellStyle name="Обычный 65 3 3" xfId="61187"/>
    <cellStyle name="Обычный 65 4" xfId="59738"/>
    <cellStyle name="Обычный 65 5" xfId="59739"/>
    <cellStyle name="Обычный 66" xfId="59740"/>
    <cellStyle name="Обычный 66 2" xfId="59741"/>
    <cellStyle name="Обычный 66 2 2" xfId="59742"/>
    <cellStyle name="Обычный 66 2 3" xfId="59743"/>
    <cellStyle name="Обычный 66 3" xfId="59744"/>
    <cellStyle name="Обычный 66 3 2" xfId="59745"/>
    <cellStyle name="Обычный 66 3 3" xfId="61188"/>
    <cellStyle name="Обычный 66 4" xfId="59746"/>
    <cellStyle name="Обычный 66 5" xfId="59747"/>
    <cellStyle name="Обычный 67" xfId="59748"/>
    <cellStyle name="Обычный 67 2" xfId="59749"/>
    <cellStyle name="Обычный 67 3" xfId="59750"/>
    <cellStyle name="Обычный 68" xfId="59751"/>
    <cellStyle name="Обычный 69" xfId="3"/>
    <cellStyle name="Обычный 69 2" xfId="59752"/>
    <cellStyle name="Обычный 7" xfId="59753"/>
    <cellStyle name="Обычный 7 2" xfId="59754"/>
    <cellStyle name="Обычный 7 2 2" xfId="59755"/>
    <cellStyle name="Обычный 7 2 2 2" xfId="59756"/>
    <cellStyle name="Обычный 7 2 3" xfId="59757"/>
    <cellStyle name="Обычный 7 3" xfId="59758"/>
    <cellStyle name="Обычный 7 4" xfId="59759"/>
    <cellStyle name="Обычный 7 5" xfId="61224"/>
    <cellStyle name="Обычный 70" xfId="59760"/>
    <cellStyle name="Обычный 71" xfId="59761"/>
    <cellStyle name="Обычный 72" xfId="59762"/>
    <cellStyle name="Обычный 73" xfId="59763"/>
    <cellStyle name="Обычный 74" xfId="59764"/>
    <cellStyle name="Обычный 75" xfId="59765"/>
    <cellStyle name="Обычный 76" xfId="59766"/>
    <cellStyle name="Обычный 77" xfId="59767"/>
    <cellStyle name="Обычный 78" xfId="59768"/>
    <cellStyle name="Обычный 79" xfId="59769"/>
    <cellStyle name="Обычный 79 2" xfId="59770"/>
    <cellStyle name="Обычный 8" xfId="59771"/>
    <cellStyle name="Обычный 8 2" xfId="59772"/>
    <cellStyle name="Обычный 8 2 2" xfId="59773"/>
    <cellStyle name="Обычный 8 2 2 2" xfId="59774"/>
    <cellStyle name="Обычный 8 2 3" xfId="59775"/>
    <cellStyle name="Обычный 8 3" xfId="59776"/>
    <cellStyle name="Обычный 8 4" xfId="59777"/>
    <cellStyle name="Обычный 8 5" xfId="61225"/>
    <cellStyle name="Обычный 80" xfId="59778"/>
    <cellStyle name="Обычный 81" xfId="59779"/>
    <cellStyle name="Обычный 82" xfId="59780"/>
    <cellStyle name="Обычный 83" xfId="61189"/>
    <cellStyle name="Обычный 84" xfId="10"/>
    <cellStyle name="Обычный 84 10" xfId="61214"/>
    <cellStyle name="Обычный 84 2" xfId="12"/>
    <cellStyle name="Обычный 84 3" xfId="14"/>
    <cellStyle name="Обычный 84 4" xfId="60884"/>
    <cellStyle name="Обычный 84 5" xfId="61196"/>
    <cellStyle name="Обычный 84 6" xfId="61198"/>
    <cellStyle name="Обычный 84 7" xfId="61202"/>
    <cellStyle name="Обычный 84 8" xfId="61205"/>
    <cellStyle name="Обычный 84 9" xfId="61207"/>
    <cellStyle name="Обычный 85" xfId="61191"/>
    <cellStyle name="Обычный 85 2" xfId="61218"/>
    <cellStyle name="Обычный 86" xfId="61199"/>
    <cellStyle name="Обычный 87" xfId="61203"/>
    <cellStyle name="Обычный 88" xfId="61216"/>
    <cellStyle name="Обычный 9" xfId="59781"/>
    <cellStyle name="Обычный 9 2" xfId="59782"/>
    <cellStyle name="Обычный 9 2 2" xfId="59783"/>
    <cellStyle name="Обычный 9 2 2 2" xfId="59784"/>
    <cellStyle name="Обычный 9 2 3" xfId="59785"/>
    <cellStyle name="Обычный 9 3" xfId="59786"/>
    <cellStyle name="Обычный 9 4" xfId="59787"/>
    <cellStyle name="Обычный 9 5" xfId="61226"/>
    <cellStyle name="Обычный 91" xfId="59788"/>
    <cellStyle name="Обычный 92" xfId="59789"/>
    <cellStyle name="Обычный 93" xfId="59790"/>
    <cellStyle name="Обычный 94" xfId="59791"/>
    <cellStyle name="Обычный 95" xfId="59792"/>
    <cellStyle name="Обычный 96" xfId="59793"/>
    <cellStyle name="Обычный 97" xfId="59794"/>
    <cellStyle name="Обычный 98" xfId="59795"/>
    <cellStyle name="Обычный 99" xfId="59796"/>
    <cellStyle name="Обычный_Ежемесячный отчет 2004 г." xfId="61209"/>
    <cellStyle name="Плохой 10" xfId="59797"/>
    <cellStyle name="Плохой 100" xfId="59798"/>
    <cellStyle name="Плохой 101" xfId="59799"/>
    <cellStyle name="Плохой 102" xfId="59800"/>
    <cellStyle name="Плохой 103" xfId="59801"/>
    <cellStyle name="Плохой 104" xfId="59802"/>
    <cellStyle name="Плохой 105" xfId="59803"/>
    <cellStyle name="Плохой 106" xfId="59804"/>
    <cellStyle name="Плохой 107" xfId="59805"/>
    <cellStyle name="Плохой 108" xfId="59806"/>
    <cellStyle name="Плохой 109" xfId="59807"/>
    <cellStyle name="Плохой 11" xfId="59808"/>
    <cellStyle name="Плохой 110" xfId="59809"/>
    <cellStyle name="Плохой 111" xfId="59810"/>
    <cellStyle name="Плохой 112" xfId="59811"/>
    <cellStyle name="Плохой 113" xfId="59812"/>
    <cellStyle name="Плохой 114" xfId="59813"/>
    <cellStyle name="Плохой 115" xfId="59814"/>
    <cellStyle name="Плохой 116" xfId="59815"/>
    <cellStyle name="Плохой 117" xfId="59816"/>
    <cellStyle name="Плохой 118" xfId="59817"/>
    <cellStyle name="Плохой 119" xfId="59818"/>
    <cellStyle name="Плохой 12" xfId="59819"/>
    <cellStyle name="Плохой 120" xfId="59820"/>
    <cellStyle name="Плохой 121" xfId="59821"/>
    <cellStyle name="Плохой 122" xfId="59822"/>
    <cellStyle name="Плохой 123" xfId="59823"/>
    <cellStyle name="Плохой 124" xfId="59824"/>
    <cellStyle name="Плохой 125" xfId="59825"/>
    <cellStyle name="Плохой 126" xfId="59826"/>
    <cellStyle name="Плохой 127" xfId="59827"/>
    <cellStyle name="Плохой 128" xfId="59828"/>
    <cellStyle name="Плохой 129" xfId="59829"/>
    <cellStyle name="Плохой 13" xfId="59830"/>
    <cellStyle name="Плохой 130" xfId="59831"/>
    <cellStyle name="Плохой 131" xfId="59832"/>
    <cellStyle name="Плохой 132" xfId="59833"/>
    <cellStyle name="Плохой 133" xfId="59834"/>
    <cellStyle name="Плохой 134" xfId="59835"/>
    <cellStyle name="Плохой 135" xfId="59836"/>
    <cellStyle name="Плохой 136" xfId="59837"/>
    <cellStyle name="Плохой 137" xfId="59838"/>
    <cellStyle name="Плохой 138" xfId="59839"/>
    <cellStyle name="Плохой 139" xfId="59840"/>
    <cellStyle name="Плохой 14" xfId="59841"/>
    <cellStyle name="Плохой 140" xfId="59842"/>
    <cellStyle name="Плохой 141" xfId="59843"/>
    <cellStyle name="Плохой 142" xfId="59844"/>
    <cellStyle name="Плохой 143" xfId="59845"/>
    <cellStyle name="Плохой 144" xfId="59846"/>
    <cellStyle name="Плохой 145" xfId="59847"/>
    <cellStyle name="Плохой 146" xfId="59848"/>
    <cellStyle name="Плохой 147" xfId="59849"/>
    <cellStyle name="Плохой 148" xfId="59850"/>
    <cellStyle name="Плохой 149" xfId="59851"/>
    <cellStyle name="Плохой 15" xfId="59852"/>
    <cellStyle name="Плохой 150" xfId="59853"/>
    <cellStyle name="Плохой 151" xfId="59854"/>
    <cellStyle name="Плохой 152" xfId="59855"/>
    <cellStyle name="Плохой 153" xfId="59856"/>
    <cellStyle name="Плохой 16" xfId="59857"/>
    <cellStyle name="Плохой 17" xfId="59858"/>
    <cellStyle name="Плохой 18" xfId="59859"/>
    <cellStyle name="Плохой 19" xfId="59860"/>
    <cellStyle name="Плохой 2" xfId="59861"/>
    <cellStyle name="Плохой 2 2" xfId="59862"/>
    <cellStyle name="Плохой 2 2 10" xfId="59863"/>
    <cellStyle name="Плохой 2 2 11" xfId="59864"/>
    <cellStyle name="Плохой 2 2 12" xfId="59865"/>
    <cellStyle name="Плохой 2 2 13" xfId="59866"/>
    <cellStyle name="Плохой 2 2 2" xfId="59867"/>
    <cellStyle name="Плохой 2 2 3" xfId="59868"/>
    <cellStyle name="Плохой 2 2 4" xfId="59869"/>
    <cellStyle name="Плохой 2 2 5" xfId="59870"/>
    <cellStyle name="Плохой 2 2 6" xfId="59871"/>
    <cellStyle name="Плохой 2 2 7" xfId="59872"/>
    <cellStyle name="Плохой 2 2 8" xfId="59873"/>
    <cellStyle name="Плохой 2 2 9" xfId="59874"/>
    <cellStyle name="Плохой 2 3" xfId="59875"/>
    <cellStyle name="Плохой 20" xfId="59876"/>
    <cellStyle name="Плохой 21" xfId="59877"/>
    <cellStyle name="Плохой 22" xfId="59878"/>
    <cellStyle name="Плохой 23" xfId="59879"/>
    <cellStyle name="Плохой 24" xfId="59880"/>
    <cellStyle name="Плохой 25" xfId="59881"/>
    <cellStyle name="Плохой 26" xfId="59882"/>
    <cellStyle name="Плохой 27" xfId="59883"/>
    <cellStyle name="Плохой 28" xfId="59884"/>
    <cellStyle name="Плохой 29" xfId="59885"/>
    <cellStyle name="Плохой 3" xfId="59886"/>
    <cellStyle name="Плохой 30" xfId="59887"/>
    <cellStyle name="Плохой 31" xfId="59888"/>
    <cellStyle name="Плохой 32" xfId="59889"/>
    <cellStyle name="Плохой 33" xfId="59890"/>
    <cellStyle name="Плохой 34" xfId="59891"/>
    <cellStyle name="Плохой 35" xfId="59892"/>
    <cellStyle name="Плохой 36" xfId="59893"/>
    <cellStyle name="Плохой 37" xfId="59894"/>
    <cellStyle name="Плохой 38" xfId="59895"/>
    <cellStyle name="Плохой 39" xfId="59896"/>
    <cellStyle name="Плохой 4" xfId="59897"/>
    <cellStyle name="Плохой 40" xfId="59898"/>
    <cellStyle name="Плохой 41" xfId="59899"/>
    <cellStyle name="Плохой 42" xfId="59900"/>
    <cellStyle name="Плохой 43" xfId="59901"/>
    <cellStyle name="Плохой 44" xfId="59902"/>
    <cellStyle name="Плохой 45" xfId="59903"/>
    <cellStyle name="Плохой 46" xfId="59904"/>
    <cellStyle name="Плохой 47" xfId="59905"/>
    <cellStyle name="Плохой 48" xfId="59906"/>
    <cellStyle name="Плохой 49" xfId="59907"/>
    <cellStyle name="Плохой 5" xfId="59908"/>
    <cellStyle name="Плохой 50" xfId="59909"/>
    <cellStyle name="Плохой 51" xfId="59910"/>
    <cellStyle name="Плохой 52" xfId="59911"/>
    <cellStyle name="Плохой 53" xfId="59912"/>
    <cellStyle name="Плохой 54" xfId="59913"/>
    <cellStyle name="Плохой 55" xfId="59914"/>
    <cellStyle name="Плохой 56" xfId="59915"/>
    <cellStyle name="Плохой 57" xfId="59916"/>
    <cellStyle name="Плохой 58" xfId="59917"/>
    <cellStyle name="Плохой 59" xfId="59918"/>
    <cellStyle name="Плохой 6" xfId="59919"/>
    <cellStyle name="Плохой 60" xfId="59920"/>
    <cellStyle name="Плохой 61" xfId="59921"/>
    <cellStyle name="Плохой 62" xfId="59922"/>
    <cellStyle name="Плохой 63" xfId="59923"/>
    <cellStyle name="Плохой 64" xfId="59924"/>
    <cellStyle name="Плохой 65" xfId="59925"/>
    <cellStyle name="Плохой 66" xfId="59926"/>
    <cellStyle name="Плохой 67" xfId="59927"/>
    <cellStyle name="Плохой 68" xfId="59928"/>
    <cellStyle name="Плохой 69" xfId="59929"/>
    <cellStyle name="Плохой 7" xfId="59930"/>
    <cellStyle name="Плохой 70" xfId="59931"/>
    <cellStyle name="Плохой 71" xfId="59932"/>
    <cellStyle name="Плохой 72" xfId="59933"/>
    <cellStyle name="Плохой 73" xfId="59934"/>
    <cellStyle name="Плохой 74" xfId="59935"/>
    <cellStyle name="Плохой 75" xfId="59936"/>
    <cellStyle name="Плохой 76" xfId="59937"/>
    <cellStyle name="Плохой 77" xfId="59938"/>
    <cellStyle name="Плохой 78" xfId="59939"/>
    <cellStyle name="Плохой 79" xfId="59940"/>
    <cellStyle name="Плохой 8" xfId="59941"/>
    <cellStyle name="Плохой 80" xfId="59942"/>
    <cellStyle name="Плохой 81" xfId="59943"/>
    <cellStyle name="Плохой 82" xfId="59944"/>
    <cellStyle name="Плохой 83" xfId="59945"/>
    <cellStyle name="Плохой 84" xfId="59946"/>
    <cellStyle name="Плохой 85" xfId="59947"/>
    <cellStyle name="Плохой 86" xfId="59948"/>
    <cellStyle name="Плохой 87" xfId="59949"/>
    <cellStyle name="Плохой 88" xfId="59950"/>
    <cellStyle name="Плохой 89" xfId="59951"/>
    <cellStyle name="Плохой 9" xfId="59952"/>
    <cellStyle name="Плохой 90" xfId="59953"/>
    <cellStyle name="Плохой 91" xfId="59954"/>
    <cellStyle name="Плохой 92" xfId="59955"/>
    <cellStyle name="Плохой 93" xfId="59956"/>
    <cellStyle name="Плохой 94" xfId="59957"/>
    <cellStyle name="Плохой 95" xfId="59958"/>
    <cellStyle name="Плохой 96" xfId="59959"/>
    <cellStyle name="Плохой 97" xfId="59960"/>
    <cellStyle name="Плохой 98" xfId="59961"/>
    <cellStyle name="Плохой 99" xfId="59962"/>
    <cellStyle name="Пояснение 10" xfId="59963"/>
    <cellStyle name="Пояснение 100" xfId="59964"/>
    <cellStyle name="Пояснение 101" xfId="59965"/>
    <cellStyle name="Пояснение 102" xfId="59966"/>
    <cellStyle name="Пояснение 103" xfId="59967"/>
    <cellStyle name="Пояснение 104" xfId="59968"/>
    <cellStyle name="Пояснение 105" xfId="59969"/>
    <cellStyle name="Пояснение 106" xfId="59970"/>
    <cellStyle name="Пояснение 107" xfId="59971"/>
    <cellStyle name="Пояснение 108" xfId="59972"/>
    <cellStyle name="Пояснение 109" xfId="59973"/>
    <cellStyle name="Пояснение 11" xfId="59974"/>
    <cellStyle name="Пояснение 110" xfId="59975"/>
    <cellStyle name="Пояснение 111" xfId="59976"/>
    <cellStyle name="Пояснение 112" xfId="59977"/>
    <cellStyle name="Пояснение 113" xfId="59978"/>
    <cellStyle name="Пояснение 114" xfId="59979"/>
    <cellStyle name="Пояснение 115" xfId="59980"/>
    <cellStyle name="Пояснение 116" xfId="59981"/>
    <cellStyle name="Пояснение 117" xfId="59982"/>
    <cellStyle name="Пояснение 118" xfId="59983"/>
    <cellStyle name="Пояснение 119" xfId="59984"/>
    <cellStyle name="Пояснение 12" xfId="59985"/>
    <cellStyle name="Пояснение 120" xfId="59986"/>
    <cellStyle name="Пояснение 121" xfId="59987"/>
    <cellStyle name="Пояснение 122" xfId="59988"/>
    <cellStyle name="Пояснение 123" xfId="59989"/>
    <cellStyle name="Пояснение 124" xfId="59990"/>
    <cellStyle name="Пояснение 125" xfId="59991"/>
    <cellStyle name="Пояснение 126" xfId="59992"/>
    <cellStyle name="Пояснение 127" xfId="59993"/>
    <cellStyle name="Пояснение 128" xfId="59994"/>
    <cellStyle name="Пояснение 129" xfId="59995"/>
    <cellStyle name="Пояснение 13" xfId="59996"/>
    <cellStyle name="Пояснение 130" xfId="59997"/>
    <cellStyle name="Пояснение 131" xfId="59998"/>
    <cellStyle name="Пояснение 132" xfId="59999"/>
    <cellStyle name="Пояснение 133" xfId="60000"/>
    <cellStyle name="Пояснение 134" xfId="60001"/>
    <cellStyle name="Пояснение 135" xfId="60002"/>
    <cellStyle name="Пояснение 136" xfId="60003"/>
    <cellStyle name="Пояснение 137" xfId="60004"/>
    <cellStyle name="Пояснение 138" xfId="60005"/>
    <cellStyle name="Пояснение 139" xfId="60006"/>
    <cellStyle name="Пояснение 14" xfId="60007"/>
    <cellStyle name="Пояснение 140" xfId="60008"/>
    <cellStyle name="Пояснение 141" xfId="60009"/>
    <cellStyle name="Пояснение 142" xfId="60010"/>
    <cellStyle name="Пояснение 143" xfId="60011"/>
    <cellStyle name="Пояснение 144" xfId="60012"/>
    <cellStyle name="Пояснение 145" xfId="60013"/>
    <cellStyle name="Пояснение 146" xfId="60014"/>
    <cellStyle name="Пояснение 147" xfId="60015"/>
    <cellStyle name="Пояснение 148" xfId="60016"/>
    <cellStyle name="Пояснение 149" xfId="60017"/>
    <cellStyle name="Пояснение 15" xfId="60018"/>
    <cellStyle name="Пояснение 150" xfId="60019"/>
    <cellStyle name="Пояснение 151" xfId="60020"/>
    <cellStyle name="Пояснение 152" xfId="60021"/>
    <cellStyle name="Пояснение 153" xfId="60022"/>
    <cellStyle name="Пояснение 16" xfId="60023"/>
    <cellStyle name="Пояснение 17" xfId="60024"/>
    <cellStyle name="Пояснение 18" xfId="60025"/>
    <cellStyle name="Пояснение 19" xfId="60026"/>
    <cellStyle name="Пояснение 2" xfId="60027"/>
    <cellStyle name="Пояснение 2 2" xfId="60028"/>
    <cellStyle name="Пояснение 2 2 10" xfId="60029"/>
    <cellStyle name="Пояснение 2 2 11" xfId="60030"/>
    <cellStyle name="Пояснение 2 2 12" xfId="60031"/>
    <cellStyle name="Пояснение 2 2 13" xfId="60032"/>
    <cellStyle name="Пояснение 2 2 2" xfId="60033"/>
    <cellStyle name="Пояснение 2 2 3" xfId="60034"/>
    <cellStyle name="Пояснение 2 2 4" xfId="60035"/>
    <cellStyle name="Пояснение 2 2 5" xfId="60036"/>
    <cellStyle name="Пояснение 2 2 6" xfId="60037"/>
    <cellStyle name="Пояснение 2 2 7" xfId="60038"/>
    <cellStyle name="Пояснение 2 2 8" xfId="60039"/>
    <cellStyle name="Пояснение 2 2 9" xfId="60040"/>
    <cellStyle name="Пояснение 2 3" xfId="60041"/>
    <cellStyle name="Пояснение 20" xfId="60042"/>
    <cellStyle name="Пояснение 21" xfId="60043"/>
    <cellStyle name="Пояснение 22" xfId="60044"/>
    <cellStyle name="Пояснение 23" xfId="60045"/>
    <cellStyle name="Пояснение 24" xfId="60046"/>
    <cellStyle name="Пояснение 25" xfId="60047"/>
    <cellStyle name="Пояснение 26" xfId="60048"/>
    <cellStyle name="Пояснение 27" xfId="60049"/>
    <cellStyle name="Пояснение 28" xfId="60050"/>
    <cellStyle name="Пояснение 29" xfId="60051"/>
    <cellStyle name="Пояснение 3" xfId="60052"/>
    <cellStyle name="Пояснение 30" xfId="60053"/>
    <cellStyle name="Пояснение 31" xfId="60054"/>
    <cellStyle name="Пояснение 32" xfId="60055"/>
    <cellStyle name="Пояснение 33" xfId="60056"/>
    <cellStyle name="Пояснение 34" xfId="60057"/>
    <cellStyle name="Пояснение 35" xfId="60058"/>
    <cellStyle name="Пояснение 36" xfId="60059"/>
    <cellStyle name="Пояснение 37" xfId="60060"/>
    <cellStyle name="Пояснение 38" xfId="60061"/>
    <cellStyle name="Пояснение 39" xfId="60062"/>
    <cellStyle name="Пояснение 4" xfId="60063"/>
    <cellStyle name="Пояснение 40" xfId="60064"/>
    <cellStyle name="Пояснение 41" xfId="60065"/>
    <cellStyle name="Пояснение 42" xfId="60066"/>
    <cellStyle name="Пояснение 43" xfId="60067"/>
    <cellStyle name="Пояснение 44" xfId="60068"/>
    <cellStyle name="Пояснение 45" xfId="60069"/>
    <cellStyle name="Пояснение 46" xfId="60070"/>
    <cellStyle name="Пояснение 47" xfId="60071"/>
    <cellStyle name="Пояснение 48" xfId="60072"/>
    <cellStyle name="Пояснение 49" xfId="60073"/>
    <cellStyle name="Пояснение 5" xfId="60074"/>
    <cellStyle name="Пояснение 50" xfId="60075"/>
    <cellStyle name="Пояснение 51" xfId="60076"/>
    <cellStyle name="Пояснение 52" xfId="60077"/>
    <cellStyle name="Пояснение 53" xfId="60078"/>
    <cellStyle name="Пояснение 54" xfId="60079"/>
    <cellStyle name="Пояснение 55" xfId="60080"/>
    <cellStyle name="Пояснение 56" xfId="60081"/>
    <cellStyle name="Пояснение 57" xfId="60082"/>
    <cellStyle name="Пояснение 58" xfId="60083"/>
    <cellStyle name="Пояснение 59" xfId="60084"/>
    <cellStyle name="Пояснение 6" xfId="60085"/>
    <cellStyle name="Пояснение 60" xfId="60086"/>
    <cellStyle name="Пояснение 61" xfId="60087"/>
    <cellStyle name="Пояснение 62" xfId="60088"/>
    <cellStyle name="Пояснение 63" xfId="60089"/>
    <cellStyle name="Пояснение 64" xfId="60090"/>
    <cellStyle name="Пояснение 65" xfId="60091"/>
    <cellStyle name="Пояснение 66" xfId="60092"/>
    <cellStyle name="Пояснение 67" xfId="60093"/>
    <cellStyle name="Пояснение 68" xfId="60094"/>
    <cellStyle name="Пояснение 69" xfId="60095"/>
    <cellStyle name="Пояснение 7" xfId="60096"/>
    <cellStyle name="Пояснение 70" xfId="60097"/>
    <cellStyle name="Пояснение 71" xfId="60098"/>
    <cellStyle name="Пояснение 72" xfId="60099"/>
    <cellStyle name="Пояснение 73" xfId="60100"/>
    <cellStyle name="Пояснение 74" xfId="60101"/>
    <cellStyle name="Пояснение 75" xfId="60102"/>
    <cellStyle name="Пояснение 76" xfId="60103"/>
    <cellStyle name="Пояснение 77" xfId="60104"/>
    <cellStyle name="Пояснение 78" xfId="60105"/>
    <cellStyle name="Пояснение 79" xfId="60106"/>
    <cellStyle name="Пояснение 8" xfId="60107"/>
    <cellStyle name="Пояснение 80" xfId="60108"/>
    <cellStyle name="Пояснение 81" xfId="60109"/>
    <cellStyle name="Пояснение 82" xfId="60110"/>
    <cellStyle name="Пояснение 83" xfId="60111"/>
    <cellStyle name="Пояснение 84" xfId="60112"/>
    <cellStyle name="Пояснение 85" xfId="60113"/>
    <cellStyle name="Пояснение 86" xfId="60114"/>
    <cellStyle name="Пояснение 87" xfId="60115"/>
    <cellStyle name="Пояснение 88" xfId="60116"/>
    <cellStyle name="Пояснение 89" xfId="60117"/>
    <cellStyle name="Пояснение 9" xfId="60118"/>
    <cellStyle name="Пояснение 90" xfId="60119"/>
    <cellStyle name="Пояснение 91" xfId="60120"/>
    <cellStyle name="Пояснение 92" xfId="60121"/>
    <cellStyle name="Пояснение 93" xfId="60122"/>
    <cellStyle name="Пояснение 94" xfId="60123"/>
    <cellStyle name="Пояснение 95" xfId="60124"/>
    <cellStyle name="Пояснение 96" xfId="60125"/>
    <cellStyle name="Пояснение 97" xfId="60126"/>
    <cellStyle name="Пояснение 98" xfId="60127"/>
    <cellStyle name="Пояснение 99" xfId="60128"/>
    <cellStyle name="Примечание 10" xfId="60129"/>
    <cellStyle name="Примечание 10 2" xfId="60130"/>
    <cellStyle name="Примечание 10 3" xfId="60131"/>
    <cellStyle name="Примечание 100" xfId="60132"/>
    <cellStyle name="Примечание 101" xfId="60133"/>
    <cellStyle name="Примечание 102" xfId="60134"/>
    <cellStyle name="Примечание 103" xfId="60135"/>
    <cellStyle name="Примечание 104" xfId="60136"/>
    <cellStyle name="Примечание 105" xfId="60137"/>
    <cellStyle name="Примечание 106" xfId="60138"/>
    <cellStyle name="Примечание 107" xfId="60139"/>
    <cellStyle name="Примечание 108" xfId="60140"/>
    <cellStyle name="Примечание 109" xfId="60141"/>
    <cellStyle name="Примечание 11" xfId="60142"/>
    <cellStyle name="Примечание 11 2" xfId="60143"/>
    <cellStyle name="Примечание 11 3" xfId="60144"/>
    <cellStyle name="Примечание 110" xfId="60145"/>
    <cellStyle name="Примечание 111" xfId="60146"/>
    <cellStyle name="Примечание 112" xfId="60147"/>
    <cellStyle name="Примечание 113" xfId="60148"/>
    <cellStyle name="Примечание 114" xfId="60149"/>
    <cellStyle name="Примечание 115" xfId="60150"/>
    <cellStyle name="Примечание 116" xfId="60151"/>
    <cellStyle name="Примечание 117" xfId="60152"/>
    <cellStyle name="Примечание 118" xfId="60153"/>
    <cellStyle name="Примечание 119" xfId="60154"/>
    <cellStyle name="Примечание 12" xfId="60155"/>
    <cellStyle name="Примечание 12 2" xfId="60156"/>
    <cellStyle name="Примечание 12 3" xfId="60157"/>
    <cellStyle name="Примечание 120" xfId="60158"/>
    <cellStyle name="Примечание 121" xfId="60159"/>
    <cellStyle name="Примечание 122" xfId="60160"/>
    <cellStyle name="Примечание 123" xfId="60161"/>
    <cellStyle name="Примечание 124" xfId="60162"/>
    <cellStyle name="Примечание 125" xfId="60163"/>
    <cellStyle name="Примечание 126" xfId="60164"/>
    <cellStyle name="Примечание 127" xfId="60165"/>
    <cellStyle name="Примечание 128" xfId="60166"/>
    <cellStyle name="Примечание 129" xfId="60167"/>
    <cellStyle name="Примечание 13" xfId="60168"/>
    <cellStyle name="Примечание 13 2" xfId="60169"/>
    <cellStyle name="Примечание 13 3" xfId="60170"/>
    <cellStyle name="Примечание 130" xfId="60171"/>
    <cellStyle name="Примечание 131" xfId="60172"/>
    <cellStyle name="Примечание 132" xfId="60173"/>
    <cellStyle name="Примечание 133" xfId="60174"/>
    <cellStyle name="Примечание 134" xfId="60175"/>
    <cellStyle name="Примечание 135" xfId="60176"/>
    <cellStyle name="Примечание 136" xfId="60177"/>
    <cellStyle name="Примечание 137" xfId="60178"/>
    <cellStyle name="Примечание 138" xfId="60179"/>
    <cellStyle name="Примечание 139" xfId="60180"/>
    <cellStyle name="Примечание 14" xfId="60181"/>
    <cellStyle name="Примечание 140" xfId="60182"/>
    <cellStyle name="Примечание 141" xfId="60183"/>
    <cellStyle name="Примечание 142" xfId="60184"/>
    <cellStyle name="Примечание 143" xfId="60185"/>
    <cellStyle name="Примечание 144" xfId="60186"/>
    <cellStyle name="Примечание 145" xfId="60187"/>
    <cellStyle name="Примечание 146" xfId="60188"/>
    <cellStyle name="Примечание 147" xfId="60189"/>
    <cellStyle name="Примечание 148" xfId="60190"/>
    <cellStyle name="Примечание 149" xfId="60191"/>
    <cellStyle name="Примечание 15" xfId="60192"/>
    <cellStyle name="Примечание 150" xfId="60193"/>
    <cellStyle name="Примечание 151" xfId="60194"/>
    <cellStyle name="Примечание 152" xfId="60195"/>
    <cellStyle name="Примечание 153" xfId="60196"/>
    <cellStyle name="Примечание 154" xfId="60197"/>
    <cellStyle name="Примечание 155" xfId="60198"/>
    <cellStyle name="Примечание 156" xfId="60199"/>
    <cellStyle name="Примечание 157" xfId="60200"/>
    <cellStyle name="Примечание 158" xfId="60201"/>
    <cellStyle name="Примечание 159" xfId="60202"/>
    <cellStyle name="Примечание 16" xfId="60203"/>
    <cellStyle name="Примечание 160" xfId="60204"/>
    <cellStyle name="Примечание 161" xfId="60205"/>
    <cellStyle name="Примечание 162" xfId="60206"/>
    <cellStyle name="Примечание 163" xfId="60207"/>
    <cellStyle name="Примечание 164" xfId="60208"/>
    <cellStyle name="Примечание 17" xfId="60209"/>
    <cellStyle name="Примечание 18" xfId="60210"/>
    <cellStyle name="Примечание 19" xfId="60211"/>
    <cellStyle name="Примечание 2" xfId="60212"/>
    <cellStyle name="Примечание 2 2" xfId="60213"/>
    <cellStyle name="Примечание 2 3" xfId="60214"/>
    <cellStyle name="Примечание 2 4" xfId="60215"/>
    <cellStyle name="Примечание 20" xfId="60216"/>
    <cellStyle name="Примечание 21" xfId="60217"/>
    <cellStyle name="Примечание 22" xfId="60218"/>
    <cellStyle name="Примечание 23" xfId="60219"/>
    <cellStyle name="Примечание 24" xfId="60220"/>
    <cellStyle name="Примечание 25" xfId="60221"/>
    <cellStyle name="Примечание 26" xfId="60222"/>
    <cellStyle name="Примечание 27" xfId="60223"/>
    <cellStyle name="Примечание 28" xfId="60224"/>
    <cellStyle name="Примечание 29" xfId="60225"/>
    <cellStyle name="Примечание 3" xfId="60226"/>
    <cellStyle name="Примечание 3 2" xfId="60227"/>
    <cellStyle name="Примечание 3 3" xfId="60228"/>
    <cellStyle name="Примечание 30" xfId="60229"/>
    <cellStyle name="Примечание 31" xfId="60230"/>
    <cellStyle name="Примечание 32" xfId="60231"/>
    <cellStyle name="Примечание 33" xfId="60232"/>
    <cellStyle name="Примечание 34" xfId="60233"/>
    <cellStyle name="Примечание 35" xfId="60234"/>
    <cellStyle name="Примечание 36" xfId="60235"/>
    <cellStyle name="Примечание 37" xfId="60236"/>
    <cellStyle name="Примечание 38" xfId="60237"/>
    <cellStyle name="Примечание 39" xfId="60238"/>
    <cellStyle name="Примечание 4" xfId="60239"/>
    <cellStyle name="Примечание 4 2" xfId="60240"/>
    <cellStyle name="Примечание 4 3" xfId="60241"/>
    <cellStyle name="Примечание 40" xfId="60242"/>
    <cellStyle name="Примечание 41" xfId="60243"/>
    <cellStyle name="Примечание 42" xfId="60244"/>
    <cellStyle name="Примечание 43" xfId="60245"/>
    <cellStyle name="Примечание 44" xfId="60246"/>
    <cellStyle name="Примечание 45" xfId="60247"/>
    <cellStyle name="Примечание 46" xfId="60248"/>
    <cellStyle name="Примечание 47" xfId="60249"/>
    <cellStyle name="Примечание 48" xfId="60250"/>
    <cellStyle name="Примечание 49" xfId="60251"/>
    <cellStyle name="Примечание 5" xfId="60252"/>
    <cellStyle name="Примечание 5 2" xfId="60253"/>
    <cellStyle name="Примечание 5 3" xfId="60254"/>
    <cellStyle name="Примечание 50" xfId="60255"/>
    <cellStyle name="Примечание 51" xfId="60256"/>
    <cellStyle name="Примечание 52" xfId="60257"/>
    <cellStyle name="Примечание 53" xfId="60258"/>
    <cellStyle name="Примечание 54" xfId="60259"/>
    <cellStyle name="Примечание 55" xfId="60260"/>
    <cellStyle name="Примечание 56" xfId="60261"/>
    <cellStyle name="Примечание 57" xfId="60262"/>
    <cellStyle name="Примечание 58" xfId="60263"/>
    <cellStyle name="Примечание 59" xfId="60264"/>
    <cellStyle name="Примечание 6" xfId="60265"/>
    <cellStyle name="Примечание 6 2" xfId="60266"/>
    <cellStyle name="Примечание 6 3" xfId="60267"/>
    <cellStyle name="Примечание 60" xfId="60268"/>
    <cellStyle name="Примечание 61" xfId="60269"/>
    <cellStyle name="Примечание 62" xfId="60270"/>
    <cellStyle name="Примечание 63" xfId="60271"/>
    <cellStyle name="Примечание 64" xfId="60272"/>
    <cellStyle name="Примечание 65" xfId="60273"/>
    <cellStyle name="Примечание 66" xfId="60274"/>
    <cellStyle name="Примечание 67" xfId="60275"/>
    <cellStyle name="Примечание 68" xfId="60276"/>
    <cellStyle name="Примечание 69" xfId="60277"/>
    <cellStyle name="Примечание 7" xfId="60278"/>
    <cellStyle name="Примечание 7 2" xfId="60279"/>
    <cellStyle name="Примечание 7 3" xfId="60280"/>
    <cellStyle name="Примечание 70" xfId="60281"/>
    <cellStyle name="Примечание 71" xfId="60282"/>
    <cellStyle name="Примечание 72" xfId="60283"/>
    <cellStyle name="Примечание 73" xfId="60284"/>
    <cellStyle name="Примечание 74" xfId="60285"/>
    <cellStyle name="Примечание 75" xfId="60286"/>
    <cellStyle name="Примечание 76" xfId="60287"/>
    <cellStyle name="Примечание 77" xfId="60288"/>
    <cellStyle name="Примечание 78" xfId="60289"/>
    <cellStyle name="Примечание 79" xfId="60290"/>
    <cellStyle name="Примечание 8" xfId="60291"/>
    <cellStyle name="Примечание 8 2" xfId="60292"/>
    <cellStyle name="Примечание 8 3" xfId="60293"/>
    <cellStyle name="Примечание 80" xfId="60294"/>
    <cellStyle name="Примечание 81" xfId="60295"/>
    <cellStyle name="Примечание 82" xfId="60296"/>
    <cellStyle name="Примечание 83" xfId="60297"/>
    <cellStyle name="Примечание 84" xfId="60298"/>
    <cellStyle name="Примечание 85" xfId="60299"/>
    <cellStyle name="Примечание 86" xfId="60300"/>
    <cellStyle name="Примечание 87" xfId="60301"/>
    <cellStyle name="Примечание 88" xfId="60302"/>
    <cellStyle name="Примечание 89" xfId="60303"/>
    <cellStyle name="Примечание 9" xfId="60304"/>
    <cellStyle name="Примечание 9 2" xfId="60305"/>
    <cellStyle name="Примечание 9 3" xfId="60306"/>
    <cellStyle name="Примечание 90" xfId="60307"/>
    <cellStyle name="Примечание 91" xfId="60308"/>
    <cellStyle name="Примечание 92" xfId="60309"/>
    <cellStyle name="Примечание 93" xfId="60310"/>
    <cellStyle name="Примечание 94" xfId="60311"/>
    <cellStyle name="Примечание 95" xfId="60312"/>
    <cellStyle name="Примечание 96" xfId="60313"/>
    <cellStyle name="Примечание 97" xfId="60314"/>
    <cellStyle name="Примечание 98" xfId="60315"/>
    <cellStyle name="Примечание 99" xfId="60316"/>
    <cellStyle name="Процентный 2" xfId="60317"/>
    <cellStyle name="Процентный 2 2" xfId="60318"/>
    <cellStyle name="Процентный 3" xfId="60319"/>
    <cellStyle name="Процентный 4" xfId="60320"/>
    <cellStyle name="Процентный 4 2" xfId="60321"/>
    <cellStyle name="Процентный 4 2 2" xfId="60322"/>
    <cellStyle name="Процентный 4 2 3" xfId="60323"/>
    <cellStyle name="Процентный 4 3" xfId="60324"/>
    <cellStyle name="Процентный 4 3 2" xfId="60325"/>
    <cellStyle name="Процентный 4 4" xfId="60326"/>
    <cellStyle name="Процентный 4 5" xfId="60327"/>
    <cellStyle name="Процентный 5" xfId="60328"/>
    <cellStyle name="Процентный 6" xfId="60329"/>
    <cellStyle name="Процентный 7" xfId="60330"/>
    <cellStyle name="Процентный 8" xfId="60331"/>
    <cellStyle name="Процентный 9" xfId="60332"/>
    <cellStyle name="Связанная ячейка 10" xfId="60333"/>
    <cellStyle name="Связанная ячейка 100" xfId="60334"/>
    <cellStyle name="Связанная ячейка 101" xfId="60335"/>
    <cellStyle name="Связанная ячейка 102" xfId="60336"/>
    <cellStyle name="Связанная ячейка 103" xfId="60337"/>
    <cellStyle name="Связанная ячейка 104" xfId="60338"/>
    <cellStyle name="Связанная ячейка 105" xfId="60339"/>
    <cellStyle name="Связанная ячейка 106" xfId="60340"/>
    <cellStyle name="Связанная ячейка 107" xfId="60341"/>
    <cellStyle name="Связанная ячейка 108" xfId="60342"/>
    <cellStyle name="Связанная ячейка 109" xfId="60343"/>
    <cellStyle name="Связанная ячейка 11" xfId="60344"/>
    <cellStyle name="Связанная ячейка 110" xfId="60345"/>
    <cellStyle name="Связанная ячейка 111" xfId="60346"/>
    <cellStyle name="Связанная ячейка 112" xfId="60347"/>
    <cellStyle name="Связанная ячейка 113" xfId="60348"/>
    <cellStyle name="Связанная ячейка 114" xfId="60349"/>
    <cellStyle name="Связанная ячейка 115" xfId="60350"/>
    <cellStyle name="Связанная ячейка 116" xfId="60351"/>
    <cellStyle name="Связанная ячейка 117" xfId="60352"/>
    <cellStyle name="Связанная ячейка 118" xfId="60353"/>
    <cellStyle name="Связанная ячейка 119" xfId="60354"/>
    <cellStyle name="Связанная ячейка 12" xfId="60355"/>
    <cellStyle name="Связанная ячейка 120" xfId="60356"/>
    <cellStyle name="Связанная ячейка 121" xfId="60357"/>
    <cellStyle name="Связанная ячейка 122" xfId="60358"/>
    <cellStyle name="Связанная ячейка 123" xfId="60359"/>
    <cellStyle name="Связанная ячейка 124" xfId="60360"/>
    <cellStyle name="Связанная ячейка 125" xfId="60361"/>
    <cellStyle name="Связанная ячейка 126" xfId="60362"/>
    <cellStyle name="Связанная ячейка 127" xfId="60363"/>
    <cellStyle name="Связанная ячейка 128" xfId="60364"/>
    <cellStyle name="Связанная ячейка 129" xfId="60365"/>
    <cellStyle name="Связанная ячейка 13" xfId="60366"/>
    <cellStyle name="Связанная ячейка 130" xfId="60367"/>
    <cellStyle name="Связанная ячейка 131" xfId="60368"/>
    <cellStyle name="Связанная ячейка 132" xfId="60369"/>
    <cellStyle name="Связанная ячейка 133" xfId="60370"/>
    <cellStyle name="Связанная ячейка 134" xfId="60371"/>
    <cellStyle name="Связанная ячейка 135" xfId="60372"/>
    <cellStyle name="Связанная ячейка 136" xfId="60373"/>
    <cellStyle name="Связанная ячейка 137" xfId="60374"/>
    <cellStyle name="Связанная ячейка 138" xfId="60375"/>
    <cellStyle name="Связанная ячейка 139" xfId="60376"/>
    <cellStyle name="Связанная ячейка 14" xfId="60377"/>
    <cellStyle name="Связанная ячейка 140" xfId="60378"/>
    <cellStyle name="Связанная ячейка 141" xfId="60379"/>
    <cellStyle name="Связанная ячейка 142" xfId="60380"/>
    <cellStyle name="Связанная ячейка 143" xfId="60381"/>
    <cellStyle name="Связанная ячейка 144" xfId="60382"/>
    <cellStyle name="Связанная ячейка 145" xfId="60383"/>
    <cellStyle name="Связанная ячейка 146" xfId="60384"/>
    <cellStyle name="Связанная ячейка 147" xfId="60385"/>
    <cellStyle name="Связанная ячейка 148" xfId="60386"/>
    <cellStyle name="Связанная ячейка 149" xfId="60387"/>
    <cellStyle name="Связанная ячейка 15" xfId="60388"/>
    <cellStyle name="Связанная ячейка 150" xfId="60389"/>
    <cellStyle name="Связанная ячейка 151" xfId="60390"/>
    <cellStyle name="Связанная ячейка 152" xfId="60391"/>
    <cellStyle name="Связанная ячейка 153" xfId="60392"/>
    <cellStyle name="Связанная ячейка 16" xfId="60393"/>
    <cellStyle name="Связанная ячейка 17" xfId="60394"/>
    <cellStyle name="Связанная ячейка 18" xfId="60395"/>
    <cellStyle name="Связанная ячейка 19" xfId="60396"/>
    <cellStyle name="Связанная ячейка 2" xfId="60397"/>
    <cellStyle name="Связанная ячейка 2 2" xfId="60398"/>
    <cellStyle name="Связанная ячейка 2 2 10" xfId="60399"/>
    <cellStyle name="Связанная ячейка 2 2 11" xfId="60400"/>
    <cellStyle name="Связанная ячейка 2 2 12" xfId="60401"/>
    <cellStyle name="Связанная ячейка 2 2 13" xfId="60402"/>
    <cellStyle name="Связанная ячейка 2 2 2" xfId="60403"/>
    <cellStyle name="Связанная ячейка 2 2 3" xfId="60404"/>
    <cellStyle name="Связанная ячейка 2 2 4" xfId="60405"/>
    <cellStyle name="Связанная ячейка 2 2 5" xfId="60406"/>
    <cellStyle name="Связанная ячейка 2 2 6" xfId="60407"/>
    <cellStyle name="Связанная ячейка 2 2 7" xfId="60408"/>
    <cellStyle name="Связанная ячейка 2 2 8" xfId="60409"/>
    <cellStyle name="Связанная ячейка 2 2 9" xfId="60410"/>
    <cellStyle name="Связанная ячейка 2 3" xfId="60411"/>
    <cellStyle name="Связанная ячейка 20" xfId="60412"/>
    <cellStyle name="Связанная ячейка 21" xfId="60413"/>
    <cellStyle name="Связанная ячейка 22" xfId="60414"/>
    <cellStyle name="Связанная ячейка 23" xfId="60415"/>
    <cellStyle name="Связанная ячейка 24" xfId="60416"/>
    <cellStyle name="Связанная ячейка 25" xfId="60417"/>
    <cellStyle name="Связанная ячейка 26" xfId="60418"/>
    <cellStyle name="Связанная ячейка 27" xfId="60419"/>
    <cellStyle name="Связанная ячейка 28" xfId="60420"/>
    <cellStyle name="Связанная ячейка 29" xfId="60421"/>
    <cellStyle name="Связанная ячейка 3" xfId="60422"/>
    <cellStyle name="Связанная ячейка 30" xfId="60423"/>
    <cellStyle name="Связанная ячейка 31" xfId="60424"/>
    <cellStyle name="Связанная ячейка 32" xfId="60425"/>
    <cellStyle name="Связанная ячейка 33" xfId="60426"/>
    <cellStyle name="Связанная ячейка 34" xfId="60427"/>
    <cellStyle name="Связанная ячейка 35" xfId="60428"/>
    <cellStyle name="Связанная ячейка 36" xfId="60429"/>
    <cellStyle name="Связанная ячейка 37" xfId="60430"/>
    <cellStyle name="Связанная ячейка 38" xfId="60431"/>
    <cellStyle name="Связанная ячейка 39" xfId="60432"/>
    <cellStyle name="Связанная ячейка 4" xfId="60433"/>
    <cellStyle name="Связанная ячейка 40" xfId="60434"/>
    <cellStyle name="Связанная ячейка 41" xfId="60435"/>
    <cellStyle name="Связанная ячейка 42" xfId="60436"/>
    <cellStyle name="Связанная ячейка 43" xfId="60437"/>
    <cellStyle name="Связанная ячейка 44" xfId="60438"/>
    <cellStyle name="Связанная ячейка 45" xfId="60439"/>
    <cellStyle name="Связанная ячейка 46" xfId="60440"/>
    <cellStyle name="Связанная ячейка 47" xfId="60441"/>
    <cellStyle name="Связанная ячейка 48" xfId="60442"/>
    <cellStyle name="Связанная ячейка 49" xfId="60443"/>
    <cellStyle name="Связанная ячейка 5" xfId="60444"/>
    <cellStyle name="Связанная ячейка 50" xfId="60445"/>
    <cellStyle name="Связанная ячейка 51" xfId="60446"/>
    <cellStyle name="Связанная ячейка 52" xfId="60447"/>
    <cellStyle name="Связанная ячейка 53" xfId="60448"/>
    <cellStyle name="Связанная ячейка 54" xfId="60449"/>
    <cellStyle name="Связанная ячейка 55" xfId="60450"/>
    <cellStyle name="Связанная ячейка 56" xfId="60451"/>
    <cellStyle name="Связанная ячейка 57" xfId="60452"/>
    <cellStyle name="Связанная ячейка 58" xfId="60453"/>
    <cellStyle name="Связанная ячейка 59" xfId="60454"/>
    <cellStyle name="Связанная ячейка 6" xfId="60455"/>
    <cellStyle name="Связанная ячейка 60" xfId="60456"/>
    <cellStyle name="Связанная ячейка 61" xfId="60457"/>
    <cellStyle name="Связанная ячейка 62" xfId="60458"/>
    <cellStyle name="Связанная ячейка 63" xfId="60459"/>
    <cellStyle name="Связанная ячейка 64" xfId="60460"/>
    <cellStyle name="Связанная ячейка 65" xfId="60461"/>
    <cellStyle name="Связанная ячейка 66" xfId="60462"/>
    <cellStyle name="Связанная ячейка 67" xfId="60463"/>
    <cellStyle name="Связанная ячейка 68" xfId="60464"/>
    <cellStyle name="Связанная ячейка 69" xfId="60465"/>
    <cellStyle name="Связанная ячейка 7" xfId="60466"/>
    <cellStyle name="Связанная ячейка 70" xfId="60467"/>
    <cellStyle name="Связанная ячейка 71" xfId="60468"/>
    <cellStyle name="Связанная ячейка 72" xfId="60469"/>
    <cellStyle name="Связанная ячейка 73" xfId="60470"/>
    <cellStyle name="Связанная ячейка 74" xfId="60471"/>
    <cellStyle name="Связанная ячейка 75" xfId="60472"/>
    <cellStyle name="Связанная ячейка 76" xfId="60473"/>
    <cellStyle name="Связанная ячейка 77" xfId="60474"/>
    <cellStyle name="Связанная ячейка 78" xfId="60475"/>
    <cellStyle name="Связанная ячейка 79" xfId="60476"/>
    <cellStyle name="Связанная ячейка 8" xfId="60477"/>
    <cellStyle name="Связанная ячейка 80" xfId="60478"/>
    <cellStyle name="Связанная ячейка 81" xfId="60479"/>
    <cellStyle name="Связанная ячейка 82" xfId="60480"/>
    <cellStyle name="Связанная ячейка 83" xfId="60481"/>
    <cellStyle name="Связанная ячейка 84" xfId="60482"/>
    <cellStyle name="Связанная ячейка 85" xfId="60483"/>
    <cellStyle name="Связанная ячейка 86" xfId="60484"/>
    <cellStyle name="Связанная ячейка 87" xfId="60485"/>
    <cellStyle name="Связанная ячейка 88" xfId="60486"/>
    <cellStyle name="Связанная ячейка 89" xfId="60487"/>
    <cellStyle name="Связанная ячейка 9" xfId="60488"/>
    <cellStyle name="Связанная ячейка 90" xfId="60489"/>
    <cellStyle name="Связанная ячейка 91" xfId="60490"/>
    <cellStyle name="Связанная ячейка 92" xfId="60491"/>
    <cellStyle name="Связанная ячейка 93" xfId="60492"/>
    <cellStyle name="Связанная ячейка 94" xfId="60493"/>
    <cellStyle name="Связанная ячейка 95" xfId="60494"/>
    <cellStyle name="Связанная ячейка 96" xfId="60495"/>
    <cellStyle name="Связанная ячейка 97" xfId="60496"/>
    <cellStyle name="Связанная ячейка 98" xfId="60497"/>
    <cellStyle name="Связанная ячейка 99" xfId="60498"/>
    <cellStyle name="Стиль 1" xfId="60499"/>
    <cellStyle name="Текст предупреждения 10" xfId="60500"/>
    <cellStyle name="Текст предупреждения 100" xfId="60501"/>
    <cellStyle name="Текст предупреждения 101" xfId="60502"/>
    <cellStyle name="Текст предупреждения 102" xfId="60503"/>
    <cellStyle name="Текст предупреждения 103" xfId="60504"/>
    <cellStyle name="Текст предупреждения 104" xfId="60505"/>
    <cellStyle name="Текст предупреждения 105" xfId="60506"/>
    <cellStyle name="Текст предупреждения 106" xfId="60507"/>
    <cellStyle name="Текст предупреждения 107" xfId="60508"/>
    <cellStyle name="Текст предупреждения 108" xfId="60509"/>
    <cellStyle name="Текст предупреждения 109" xfId="60510"/>
    <cellStyle name="Текст предупреждения 11" xfId="60511"/>
    <cellStyle name="Текст предупреждения 110" xfId="60512"/>
    <cellStyle name="Текст предупреждения 111" xfId="60513"/>
    <cellStyle name="Текст предупреждения 112" xfId="60514"/>
    <cellStyle name="Текст предупреждения 113" xfId="60515"/>
    <cellStyle name="Текст предупреждения 114" xfId="60516"/>
    <cellStyle name="Текст предупреждения 115" xfId="60517"/>
    <cellStyle name="Текст предупреждения 116" xfId="60518"/>
    <cellStyle name="Текст предупреждения 117" xfId="60519"/>
    <cellStyle name="Текст предупреждения 118" xfId="60520"/>
    <cellStyle name="Текст предупреждения 119" xfId="60521"/>
    <cellStyle name="Текст предупреждения 12" xfId="60522"/>
    <cellStyle name="Текст предупреждения 120" xfId="60523"/>
    <cellStyle name="Текст предупреждения 121" xfId="60524"/>
    <cellStyle name="Текст предупреждения 122" xfId="60525"/>
    <cellStyle name="Текст предупреждения 123" xfId="60526"/>
    <cellStyle name="Текст предупреждения 124" xfId="60527"/>
    <cellStyle name="Текст предупреждения 125" xfId="60528"/>
    <cellStyle name="Текст предупреждения 126" xfId="60529"/>
    <cellStyle name="Текст предупреждения 127" xfId="60530"/>
    <cellStyle name="Текст предупреждения 128" xfId="60531"/>
    <cellStyle name="Текст предупреждения 129" xfId="60532"/>
    <cellStyle name="Текст предупреждения 13" xfId="60533"/>
    <cellStyle name="Текст предупреждения 130" xfId="60534"/>
    <cellStyle name="Текст предупреждения 131" xfId="60535"/>
    <cellStyle name="Текст предупреждения 132" xfId="60536"/>
    <cellStyle name="Текст предупреждения 133" xfId="60537"/>
    <cellStyle name="Текст предупреждения 134" xfId="60538"/>
    <cellStyle name="Текст предупреждения 135" xfId="60539"/>
    <cellStyle name="Текст предупреждения 136" xfId="60540"/>
    <cellStyle name="Текст предупреждения 137" xfId="60541"/>
    <cellStyle name="Текст предупреждения 138" xfId="60542"/>
    <cellStyle name="Текст предупреждения 139" xfId="60543"/>
    <cellStyle name="Текст предупреждения 14" xfId="60544"/>
    <cellStyle name="Текст предупреждения 140" xfId="60545"/>
    <cellStyle name="Текст предупреждения 141" xfId="60546"/>
    <cellStyle name="Текст предупреждения 142" xfId="60547"/>
    <cellStyle name="Текст предупреждения 143" xfId="60548"/>
    <cellStyle name="Текст предупреждения 144" xfId="60549"/>
    <cellStyle name="Текст предупреждения 145" xfId="60550"/>
    <cellStyle name="Текст предупреждения 146" xfId="60551"/>
    <cellStyle name="Текст предупреждения 147" xfId="60552"/>
    <cellStyle name="Текст предупреждения 148" xfId="60553"/>
    <cellStyle name="Текст предупреждения 149" xfId="60554"/>
    <cellStyle name="Текст предупреждения 15" xfId="60555"/>
    <cellStyle name="Текст предупреждения 150" xfId="60556"/>
    <cellStyle name="Текст предупреждения 151" xfId="60557"/>
    <cellStyle name="Текст предупреждения 152" xfId="60558"/>
    <cellStyle name="Текст предупреждения 153" xfId="60559"/>
    <cellStyle name="Текст предупреждения 16" xfId="60560"/>
    <cellStyle name="Текст предупреждения 17" xfId="60561"/>
    <cellStyle name="Текст предупреждения 18" xfId="60562"/>
    <cellStyle name="Текст предупреждения 19" xfId="60563"/>
    <cellStyle name="Текст предупреждения 2" xfId="60564"/>
    <cellStyle name="Текст предупреждения 2 2" xfId="60565"/>
    <cellStyle name="Текст предупреждения 2 2 10" xfId="60566"/>
    <cellStyle name="Текст предупреждения 2 2 11" xfId="60567"/>
    <cellStyle name="Текст предупреждения 2 2 12" xfId="60568"/>
    <cellStyle name="Текст предупреждения 2 2 13" xfId="60569"/>
    <cellStyle name="Текст предупреждения 2 2 2" xfId="60570"/>
    <cellStyle name="Текст предупреждения 2 2 3" xfId="60571"/>
    <cellStyle name="Текст предупреждения 2 2 4" xfId="60572"/>
    <cellStyle name="Текст предупреждения 2 2 5" xfId="60573"/>
    <cellStyle name="Текст предупреждения 2 2 6" xfId="60574"/>
    <cellStyle name="Текст предупреждения 2 2 7" xfId="60575"/>
    <cellStyle name="Текст предупреждения 2 2 8" xfId="60576"/>
    <cellStyle name="Текст предупреждения 2 2 9" xfId="60577"/>
    <cellStyle name="Текст предупреждения 2 3" xfId="60578"/>
    <cellStyle name="Текст предупреждения 20" xfId="60579"/>
    <cellStyle name="Текст предупреждения 21" xfId="60580"/>
    <cellStyle name="Текст предупреждения 22" xfId="60581"/>
    <cellStyle name="Текст предупреждения 23" xfId="60582"/>
    <cellStyle name="Текст предупреждения 24" xfId="60583"/>
    <cellStyle name="Текст предупреждения 25" xfId="60584"/>
    <cellStyle name="Текст предупреждения 26" xfId="60585"/>
    <cellStyle name="Текст предупреждения 27" xfId="60586"/>
    <cellStyle name="Текст предупреждения 28" xfId="60587"/>
    <cellStyle name="Текст предупреждения 29" xfId="60588"/>
    <cellStyle name="Текст предупреждения 3" xfId="60589"/>
    <cellStyle name="Текст предупреждения 30" xfId="60590"/>
    <cellStyle name="Текст предупреждения 31" xfId="60591"/>
    <cellStyle name="Текст предупреждения 32" xfId="60592"/>
    <cellStyle name="Текст предупреждения 33" xfId="60593"/>
    <cellStyle name="Текст предупреждения 34" xfId="60594"/>
    <cellStyle name="Текст предупреждения 35" xfId="60595"/>
    <cellStyle name="Текст предупреждения 36" xfId="60596"/>
    <cellStyle name="Текст предупреждения 37" xfId="60597"/>
    <cellStyle name="Текст предупреждения 38" xfId="60598"/>
    <cellStyle name="Текст предупреждения 39" xfId="60599"/>
    <cellStyle name="Текст предупреждения 4" xfId="60600"/>
    <cellStyle name="Текст предупреждения 40" xfId="60601"/>
    <cellStyle name="Текст предупреждения 41" xfId="60602"/>
    <cellStyle name="Текст предупреждения 42" xfId="60603"/>
    <cellStyle name="Текст предупреждения 43" xfId="60604"/>
    <cellStyle name="Текст предупреждения 44" xfId="60605"/>
    <cellStyle name="Текст предупреждения 45" xfId="60606"/>
    <cellStyle name="Текст предупреждения 46" xfId="60607"/>
    <cellStyle name="Текст предупреждения 47" xfId="60608"/>
    <cellStyle name="Текст предупреждения 48" xfId="60609"/>
    <cellStyle name="Текст предупреждения 49" xfId="60610"/>
    <cellStyle name="Текст предупреждения 5" xfId="60611"/>
    <cellStyle name="Текст предупреждения 50" xfId="60612"/>
    <cellStyle name="Текст предупреждения 51" xfId="60613"/>
    <cellStyle name="Текст предупреждения 52" xfId="60614"/>
    <cellStyle name="Текст предупреждения 53" xfId="60615"/>
    <cellStyle name="Текст предупреждения 54" xfId="60616"/>
    <cellStyle name="Текст предупреждения 55" xfId="60617"/>
    <cellStyle name="Текст предупреждения 56" xfId="60618"/>
    <cellStyle name="Текст предупреждения 57" xfId="60619"/>
    <cellStyle name="Текст предупреждения 58" xfId="60620"/>
    <cellStyle name="Текст предупреждения 59" xfId="60621"/>
    <cellStyle name="Текст предупреждения 6" xfId="60622"/>
    <cellStyle name="Текст предупреждения 60" xfId="60623"/>
    <cellStyle name="Текст предупреждения 61" xfId="60624"/>
    <cellStyle name="Текст предупреждения 62" xfId="60625"/>
    <cellStyle name="Текст предупреждения 63" xfId="60626"/>
    <cellStyle name="Текст предупреждения 64" xfId="60627"/>
    <cellStyle name="Текст предупреждения 65" xfId="60628"/>
    <cellStyle name="Текст предупреждения 66" xfId="60629"/>
    <cellStyle name="Текст предупреждения 67" xfId="60630"/>
    <cellStyle name="Текст предупреждения 68" xfId="60631"/>
    <cellStyle name="Текст предупреждения 69" xfId="60632"/>
    <cellStyle name="Текст предупреждения 7" xfId="60633"/>
    <cellStyle name="Текст предупреждения 70" xfId="60634"/>
    <cellStyle name="Текст предупреждения 71" xfId="60635"/>
    <cellStyle name="Текст предупреждения 72" xfId="60636"/>
    <cellStyle name="Текст предупреждения 73" xfId="60637"/>
    <cellStyle name="Текст предупреждения 74" xfId="60638"/>
    <cellStyle name="Текст предупреждения 75" xfId="60639"/>
    <cellStyle name="Текст предупреждения 76" xfId="60640"/>
    <cellStyle name="Текст предупреждения 77" xfId="60641"/>
    <cellStyle name="Текст предупреждения 78" xfId="60642"/>
    <cellStyle name="Текст предупреждения 79" xfId="60643"/>
    <cellStyle name="Текст предупреждения 8" xfId="60644"/>
    <cellStyle name="Текст предупреждения 80" xfId="60645"/>
    <cellStyle name="Текст предупреждения 81" xfId="60646"/>
    <cellStyle name="Текст предупреждения 82" xfId="60647"/>
    <cellStyle name="Текст предупреждения 83" xfId="60648"/>
    <cellStyle name="Текст предупреждения 84" xfId="60649"/>
    <cellStyle name="Текст предупреждения 85" xfId="60650"/>
    <cellStyle name="Текст предупреждения 86" xfId="60651"/>
    <cellStyle name="Текст предупреждения 87" xfId="60652"/>
    <cellStyle name="Текст предупреждения 88" xfId="60653"/>
    <cellStyle name="Текст предупреждения 89" xfId="60654"/>
    <cellStyle name="Текст предупреждения 9" xfId="60655"/>
    <cellStyle name="Текст предупреждения 90" xfId="60656"/>
    <cellStyle name="Текст предупреждения 91" xfId="60657"/>
    <cellStyle name="Текст предупреждения 92" xfId="60658"/>
    <cellStyle name="Текст предупреждения 93" xfId="60659"/>
    <cellStyle name="Текст предупреждения 94" xfId="60660"/>
    <cellStyle name="Текст предупреждения 95" xfId="60661"/>
    <cellStyle name="Текст предупреждения 96" xfId="60662"/>
    <cellStyle name="Текст предупреждения 97" xfId="60663"/>
    <cellStyle name="Текст предупреждения 98" xfId="60664"/>
    <cellStyle name="Текст предупреждения 99" xfId="60665"/>
    <cellStyle name="Финансовый 10" xfId="60666"/>
    <cellStyle name="Финансовый 11" xfId="60667"/>
    <cellStyle name="Финансовый 11 2" xfId="60668"/>
    <cellStyle name="Финансовый 2" xfId="5"/>
    <cellStyle name="Финансовый 2 10" xfId="60669"/>
    <cellStyle name="Финансовый 2 11" xfId="60670"/>
    <cellStyle name="Финансовый 2 12" xfId="60671"/>
    <cellStyle name="Финансовый 2 13" xfId="60672"/>
    <cellStyle name="Финансовый 2 14" xfId="60673"/>
    <cellStyle name="Финансовый 2 15" xfId="60674"/>
    <cellStyle name="Финансовый 2 16" xfId="60675"/>
    <cellStyle name="Финансовый 2 17" xfId="60676"/>
    <cellStyle name="Финансовый 2 2" xfId="60677"/>
    <cellStyle name="Финансовый 2 2 2" xfId="60678"/>
    <cellStyle name="Финансовый 2 2 2 2" xfId="60679"/>
    <cellStyle name="Финансовый 2 2 3" xfId="60680"/>
    <cellStyle name="Финансовый 2 3" xfId="60681"/>
    <cellStyle name="Финансовый 2 3 2" xfId="60682"/>
    <cellStyle name="Финансовый 2 3 2 2" xfId="60683"/>
    <cellStyle name="Финансовый 2 3 3" xfId="60684"/>
    <cellStyle name="Финансовый 2 4" xfId="60685"/>
    <cellStyle name="Финансовый 2 4 2" xfId="60686"/>
    <cellStyle name="Финансовый 2 4 2 2" xfId="60687"/>
    <cellStyle name="Финансовый 2 4 3" xfId="60688"/>
    <cellStyle name="Финансовый 2 5" xfId="60689"/>
    <cellStyle name="Финансовый 2 5 2" xfId="60690"/>
    <cellStyle name="Финансовый 2 6" xfId="60691"/>
    <cellStyle name="Финансовый 2 6 2" xfId="60692"/>
    <cellStyle name="Финансовый 2 7" xfId="60693"/>
    <cellStyle name="Финансовый 2 7 2" xfId="60694"/>
    <cellStyle name="Финансовый 2 8" xfId="60695"/>
    <cellStyle name="Финансовый 2 9" xfId="60696"/>
    <cellStyle name="Финансовый 3" xfId="60697"/>
    <cellStyle name="Финансовый 3 2" xfId="60698"/>
    <cellStyle name="Финансовый 3 2 2" xfId="60699"/>
    <cellStyle name="Финансовый 3 3" xfId="60700"/>
    <cellStyle name="Финансовый 3 4" xfId="60701"/>
    <cellStyle name="Финансовый 3 5" xfId="60702"/>
    <cellStyle name="Финансовый 3 6" xfId="60703"/>
    <cellStyle name="Финансовый 3 7" xfId="60704"/>
    <cellStyle name="Финансовый 3 8" xfId="60705"/>
    <cellStyle name="Финансовый 3 9" xfId="60706"/>
    <cellStyle name="Финансовый 4" xfId="60707"/>
    <cellStyle name="Финансовый 4 2" xfId="60708"/>
    <cellStyle name="Финансовый 4 3" xfId="60709"/>
    <cellStyle name="Финансовый 5" xfId="60710"/>
    <cellStyle name="Финансовый 5 2" xfId="60711"/>
    <cellStyle name="Финансовый 5 3" xfId="61227"/>
    <cellStyle name="Финансовый 6" xfId="60712"/>
    <cellStyle name="Финансовый 6 2" xfId="60713"/>
    <cellStyle name="Финансовый 7" xfId="60714"/>
    <cellStyle name="Финансовый 8" xfId="60715"/>
    <cellStyle name="Финансовый 9" xfId="60716"/>
    <cellStyle name="Хороший 10" xfId="60717"/>
    <cellStyle name="Хороший 100" xfId="60718"/>
    <cellStyle name="Хороший 101" xfId="60719"/>
    <cellStyle name="Хороший 102" xfId="60720"/>
    <cellStyle name="Хороший 103" xfId="60721"/>
    <cellStyle name="Хороший 104" xfId="60722"/>
    <cellStyle name="Хороший 105" xfId="60723"/>
    <cellStyle name="Хороший 106" xfId="60724"/>
    <cellStyle name="Хороший 107" xfId="60725"/>
    <cellStyle name="Хороший 108" xfId="60726"/>
    <cellStyle name="Хороший 109" xfId="60727"/>
    <cellStyle name="Хороший 11" xfId="60728"/>
    <cellStyle name="Хороший 110" xfId="60729"/>
    <cellStyle name="Хороший 111" xfId="60730"/>
    <cellStyle name="Хороший 112" xfId="60731"/>
    <cellStyle name="Хороший 113" xfId="60732"/>
    <cellStyle name="Хороший 114" xfId="60733"/>
    <cellStyle name="Хороший 115" xfId="60734"/>
    <cellStyle name="Хороший 116" xfId="60735"/>
    <cellStyle name="Хороший 117" xfId="60736"/>
    <cellStyle name="Хороший 118" xfId="60737"/>
    <cellStyle name="Хороший 119" xfId="60738"/>
    <cellStyle name="Хороший 12" xfId="60739"/>
    <cellStyle name="Хороший 120" xfId="60740"/>
    <cellStyle name="Хороший 121" xfId="60741"/>
    <cellStyle name="Хороший 122" xfId="60742"/>
    <cellStyle name="Хороший 123" xfId="60743"/>
    <cellStyle name="Хороший 124" xfId="60744"/>
    <cellStyle name="Хороший 125" xfId="60745"/>
    <cellStyle name="Хороший 126" xfId="60746"/>
    <cellStyle name="Хороший 127" xfId="60747"/>
    <cellStyle name="Хороший 128" xfId="60748"/>
    <cellStyle name="Хороший 129" xfId="60749"/>
    <cellStyle name="Хороший 13" xfId="60750"/>
    <cellStyle name="Хороший 130" xfId="60751"/>
    <cellStyle name="Хороший 131" xfId="60752"/>
    <cellStyle name="Хороший 132" xfId="60753"/>
    <cellStyle name="Хороший 133" xfId="60754"/>
    <cellStyle name="Хороший 134" xfId="60755"/>
    <cellStyle name="Хороший 135" xfId="60756"/>
    <cellStyle name="Хороший 136" xfId="60757"/>
    <cellStyle name="Хороший 137" xfId="60758"/>
    <cellStyle name="Хороший 138" xfId="60759"/>
    <cellStyle name="Хороший 139" xfId="60760"/>
    <cellStyle name="Хороший 14" xfId="60761"/>
    <cellStyle name="Хороший 140" xfId="60762"/>
    <cellStyle name="Хороший 141" xfId="60763"/>
    <cellStyle name="Хороший 142" xfId="60764"/>
    <cellStyle name="Хороший 143" xfId="60765"/>
    <cellStyle name="Хороший 144" xfId="60766"/>
    <cellStyle name="Хороший 145" xfId="60767"/>
    <cellStyle name="Хороший 146" xfId="60768"/>
    <cellStyle name="Хороший 147" xfId="60769"/>
    <cellStyle name="Хороший 148" xfId="60770"/>
    <cellStyle name="Хороший 149" xfId="60771"/>
    <cellStyle name="Хороший 15" xfId="60772"/>
    <cellStyle name="Хороший 150" xfId="60773"/>
    <cellStyle name="Хороший 151" xfId="60774"/>
    <cellStyle name="Хороший 152" xfId="60775"/>
    <cellStyle name="Хороший 153" xfId="60776"/>
    <cellStyle name="Хороший 16" xfId="60777"/>
    <cellStyle name="Хороший 17" xfId="60778"/>
    <cellStyle name="Хороший 18" xfId="60779"/>
    <cellStyle name="Хороший 19" xfId="60780"/>
    <cellStyle name="Хороший 2" xfId="60781"/>
    <cellStyle name="Хороший 2 2" xfId="60782"/>
    <cellStyle name="Хороший 2 2 10" xfId="60783"/>
    <cellStyle name="Хороший 2 2 11" xfId="60784"/>
    <cellStyle name="Хороший 2 2 12" xfId="60785"/>
    <cellStyle name="Хороший 2 2 13" xfId="60786"/>
    <cellStyle name="Хороший 2 2 2" xfId="60787"/>
    <cellStyle name="Хороший 2 2 3" xfId="60788"/>
    <cellStyle name="Хороший 2 2 4" xfId="60789"/>
    <cellStyle name="Хороший 2 2 5" xfId="60790"/>
    <cellStyle name="Хороший 2 2 6" xfId="60791"/>
    <cellStyle name="Хороший 2 2 7" xfId="60792"/>
    <cellStyle name="Хороший 2 2 8" xfId="60793"/>
    <cellStyle name="Хороший 2 2 9" xfId="60794"/>
    <cellStyle name="Хороший 2 3" xfId="60795"/>
    <cellStyle name="Хороший 20" xfId="60796"/>
    <cellStyle name="Хороший 21" xfId="60797"/>
    <cellStyle name="Хороший 22" xfId="60798"/>
    <cellStyle name="Хороший 23" xfId="60799"/>
    <cellStyle name="Хороший 24" xfId="60800"/>
    <cellStyle name="Хороший 25" xfId="60801"/>
    <cellStyle name="Хороший 26" xfId="60802"/>
    <cellStyle name="Хороший 27" xfId="60803"/>
    <cellStyle name="Хороший 28" xfId="60804"/>
    <cellStyle name="Хороший 29" xfId="60805"/>
    <cellStyle name="Хороший 3" xfId="60806"/>
    <cellStyle name="Хороший 30" xfId="60807"/>
    <cellStyle name="Хороший 31" xfId="60808"/>
    <cellStyle name="Хороший 32" xfId="60809"/>
    <cellStyle name="Хороший 33" xfId="60810"/>
    <cellStyle name="Хороший 34" xfId="60811"/>
    <cellStyle name="Хороший 35" xfId="60812"/>
    <cellStyle name="Хороший 36" xfId="60813"/>
    <cellStyle name="Хороший 37" xfId="60814"/>
    <cellStyle name="Хороший 38" xfId="60815"/>
    <cellStyle name="Хороший 39" xfId="60816"/>
    <cellStyle name="Хороший 4" xfId="60817"/>
    <cellStyle name="Хороший 40" xfId="60818"/>
    <cellStyle name="Хороший 41" xfId="60819"/>
    <cellStyle name="Хороший 42" xfId="60820"/>
    <cellStyle name="Хороший 43" xfId="60821"/>
    <cellStyle name="Хороший 44" xfId="60822"/>
    <cellStyle name="Хороший 45" xfId="60823"/>
    <cellStyle name="Хороший 46" xfId="60824"/>
    <cellStyle name="Хороший 47" xfId="60825"/>
    <cellStyle name="Хороший 48" xfId="60826"/>
    <cellStyle name="Хороший 49" xfId="60827"/>
    <cellStyle name="Хороший 5" xfId="60828"/>
    <cellStyle name="Хороший 50" xfId="60829"/>
    <cellStyle name="Хороший 51" xfId="60830"/>
    <cellStyle name="Хороший 52" xfId="60831"/>
    <cellStyle name="Хороший 53" xfId="60832"/>
    <cellStyle name="Хороший 54" xfId="60833"/>
    <cellStyle name="Хороший 55" xfId="60834"/>
    <cellStyle name="Хороший 56" xfId="60835"/>
    <cellStyle name="Хороший 57" xfId="60836"/>
    <cellStyle name="Хороший 58" xfId="60837"/>
    <cellStyle name="Хороший 59" xfId="60838"/>
    <cellStyle name="Хороший 6" xfId="60839"/>
    <cellStyle name="Хороший 60" xfId="60840"/>
    <cellStyle name="Хороший 61" xfId="60841"/>
    <cellStyle name="Хороший 62" xfId="60842"/>
    <cellStyle name="Хороший 63" xfId="60843"/>
    <cellStyle name="Хороший 64" xfId="60844"/>
    <cellStyle name="Хороший 65" xfId="60845"/>
    <cellStyle name="Хороший 66" xfId="60846"/>
    <cellStyle name="Хороший 67" xfId="60847"/>
    <cellStyle name="Хороший 68" xfId="60848"/>
    <cellStyle name="Хороший 69" xfId="60849"/>
    <cellStyle name="Хороший 7" xfId="60850"/>
    <cellStyle name="Хороший 70" xfId="60851"/>
    <cellStyle name="Хороший 71" xfId="60852"/>
    <cellStyle name="Хороший 72" xfId="60853"/>
    <cellStyle name="Хороший 73" xfId="60854"/>
    <cellStyle name="Хороший 74" xfId="60855"/>
    <cellStyle name="Хороший 75" xfId="60856"/>
    <cellStyle name="Хороший 76" xfId="60857"/>
    <cellStyle name="Хороший 77" xfId="60858"/>
    <cellStyle name="Хороший 78" xfId="60859"/>
    <cellStyle name="Хороший 79" xfId="60860"/>
    <cellStyle name="Хороший 8" xfId="60861"/>
    <cellStyle name="Хороший 80" xfId="60862"/>
    <cellStyle name="Хороший 81" xfId="60863"/>
    <cellStyle name="Хороший 82" xfId="60864"/>
    <cellStyle name="Хороший 83" xfId="60865"/>
    <cellStyle name="Хороший 84" xfId="60866"/>
    <cellStyle name="Хороший 85" xfId="60867"/>
    <cellStyle name="Хороший 86" xfId="60868"/>
    <cellStyle name="Хороший 87" xfId="60869"/>
    <cellStyle name="Хороший 88" xfId="60870"/>
    <cellStyle name="Хороший 89" xfId="60871"/>
    <cellStyle name="Хороший 9" xfId="60872"/>
    <cellStyle name="Хороший 90" xfId="60873"/>
    <cellStyle name="Хороший 91" xfId="60874"/>
    <cellStyle name="Хороший 92" xfId="60875"/>
    <cellStyle name="Хороший 93" xfId="60876"/>
    <cellStyle name="Хороший 94" xfId="60877"/>
    <cellStyle name="Хороший 95" xfId="60878"/>
    <cellStyle name="Хороший 96" xfId="60879"/>
    <cellStyle name="Хороший 97" xfId="60880"/>
    <cellStyle name="Хороший 98" xfId="60881"/>
    <cellStyle name="Хороший 99" xfId="60882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1%20&#1075;\&#1055;&#1088;&#1086;&#1092;&#1080;&#1083;&#1072;&#1082;&#1090;&#1080;&#1082;&#1072;\&#1055;&#1088;&#1086;&#1092;&#1080;&#1083;&#1072;&#1082;&#1090;&#1080;&#1082;&#1072;%202021%20&#1086;&#1073;&#1098;&#1077;&#1084;&#1099;\&#1040;&#1055;&#1059;%20&#1055;&#1088;&#1086;&#1092;&#1080;&#1083;&#1072;&#1082;&#1090;&#1080;&#1082;&#1072;%20&#1088;&#1072;&#1079;&#1086;&#1074;&#1086;&#1077;%20&#1087;&#1086;&#1089;.%20&#1087;&#1086;%20&#1079;&#1072;&#1073;.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1%20&#1075;\&#1042;&#1052;&#1055;\!!!!&#1050;&#1055;%20&#1042;&#1052;&#1055;%20&#1085;&#1072;%202021%20&#1075;&#1086;&#1076;%20&#1076;&#1083;&#1103;%20&#1056;&#1052;&#1048;&#1040;&#1057;%20&#1080;%20&#1052;&#1048;&#1040;&#106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89;&#1095;&#1077;&#1090;&#1099;%20&#1085;&#1072;%202021%20&#1075;&#1086;&#1076;\&#1054;&#1073;&#1088;&#1072;&#1097;&#1077;&#1085;&#1080;&#1103;\&#1063;&#1077;&#1088;&#1085;&#1086;&#1074;&#1080;&#1082;%20&#1076;&#1083;&#1103;%20&#1087;&#1088;&#1086;&#1090;&#1086;&#1082;&#1086;&#1083;&#1072;%2010-21\&#1054;&#1073;&#1088;&#1072;&#1097;&#1077;&#1085;&#1080;&#1103;%2010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 на 01.01.2021"/>
      <sheetName val="Проф.разов. пос.по заб.Пр.2-21"/>
      <sheetName val="Прот.3-21"/>
      <sheetName val="Откл объемов Пр2-21-Пр.3-21 "/>
      <sheetName val="Финансы Пр.3-21-Пр.2-21"/>
      <sheetName val="Прот.3-21 отр_148"/>
      <sheetName val="Прот.4-21 "/>
      <sheetName val="откл.V Пр.4-21-Пр.3-21"/>
      <sheetName val="Прот.5-21 "/>
      <sheetName val="Отк.Пр.5-21-Пр.4-21"/>
      <sheetName val="Прот.6-21"/>
      <sheetName val="Отк.Пр.6-21-Пр.5-21"/>
      <sheetName val="Прот.8-21"/>
      <sheetName val="Откл.Прот.8-21-Пр.6-21 по объем"/>
      <sheetName val="Откл.Прот.8-21 по зубным врачам"/>
      <sheetName val="Прот.8-21 окон для тарифной"/>
      <sheetName val="Прот.10-21"/>
      <sheetName val="Откл.10-21-8-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9">
          <cell r="J9">
            <v>325028</v>
          </cell>
        </row>
      </sheetData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МП"/>
    </sheetNames>
    <sheetDataSet>
      <sheetData sheetId="0" refreshError="1">
        <row r="10">
          <cell r="D10">
            <v>150</v>
          </cell>
        </row>
        <row r="16">
          <cell r="O16">
            <v>115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по мероприятиям"/>
      <sheetName val="Обращения"/>
      <sheetName val="Обращения Пр.124"/>
      <sheetName val="на 2021 год объедин"/>
      <sheetName val="Стоимость124"/>
      <sheetName val="Стоимость2-21"/>
      <sheetName val="Обращения Пр.124без стом"/>
      <sheetName val="Обращ V и фин(стом и уточПГГ) "/>
      <sheetName val="Обращения Пр.2"/>
      <sheetName val="Пр.2 Финансы"/>
      <sheetName val="Расчет суммы Пр 3-21"/>
      <sheetName val="Обращ V и фин ПР 3"/>
      <sheetName val="Обращения Пр.3"/>
      <sheetName val="Обращения Пр.3-2"/>
      <sheetName val="Пр.3 Финансы"/>
      <sheetName val="Финансы пр3-2"/>
      <sheetName val="Расчет суммы Пр 4-21"/>
      <sheetName val="Обращ V и фин ПР 4"/>
      <sheetName val="Обращения Пр.4"/>
      <sheetName val="Обращения Пр.4-3"/>
      <sheetName val="Пр.4 Финансы"/>
      <sheetName val="Финансы пр4-3"/>
      <sheetName val="Расчет суммы Пр 5-21"/>
      <sheetName val="Обращ V и фин ПР 5"/>
      <sheetName val="Обращения Пр.5"/>
      <sheetName val="Обращения Пр.5-4"/>
      <sheetName val="Пр.5 Финансы"/>
      <sheetName val="Финансы пр5-4"/>
      <sheetName val="Расчет суммы Пр 7-21"/>
      <sheetName val="Обращ V и фин ПР 7"/>
      <sheetName val="Обращения Пр.7"/>
      <sheetName val="Обращения Пр.7-5"/>
      <sheetName val="Пр.7 Финансы"/>
      <sheetName val="Финансы пр7-5"/>
      <sheetName val="изм подушевки 7-21"/>
      <sheetName val="Расчет суммы Пр 8-21"/>
      <sheetName val="Обращ V и фин ПР 8"/>
      <sheetName val="Обращения Пр.8"/>
      <sheetName val="Обращения Пр.8-7"/>
      <sheetName val="Пр.8 Финансы"/>
      <sheetName val="Финансы пр8-7"/>
      <sheetName val=" изм подушевки 8-21"/>
      <sheetName val="Расчет суммы Пр 9-21"/>
      <sheetName val="Обращ V и фин ПР 9"/>
      <sheetName val="Обращения Пр.9"/>
      <sheetName val="Обращения Пр.9-8"/>
      <sheetName val="Пр.9 Финансы"/>
      <sheetName val="Финансы пр9-8"/>
      <sheetName val="Изм подушевки 9-21"/>
      <sheetName val="Расчет суммы Пр 10-21"/>
      <sheetName val="Обращ V и фин ПР 10"/>
      <sheetName val="Обращения Пр.10"/>
      <sheetName val="Обращения Пр.10-9"/>
      <sheetName val="Пр.10 Финансы"/>
      <sheetName val="Финансы пр10-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25">
          <cell r="S25">
            <v>45</v>
          </cell>
          <cell r="V25">
            <v>5</v>
          </cell>
        </row>
        <row r="26">
          <cell r="V26">
            <v>0</v>
          </cell>
        </row>
        <row r="36">
          <cell r="Y36">
            <v>3850</v>
          </cell>
        </row>
        <row r="38">
          <cell r="Z38">
            <v>3672</v>
          </cell>
        </row>
        <row r="39">
          <cell r="S39">
            <v>7115</v>
          </cell>
          <cell r="T39">
            <v>3443</v>
          </cell>
        </row>
        <row r="40">
          <cell r="V40">
            <v>43742</v>
          </cell>
          <cell r="W40">
            <v>21700</v>
          </cell>
        </row>
        <row r="44">
          <cell r="S44">
            <v>5396</v>
          </cell>
          <cell r="T44">
            <v>3097</v>
          </cell>
        </row>
        <row r="65">
          <cell r="S65">
            <v>50</v>
          </cell>
          <cell r="V65">
            <v>13</v>
          </cell>
        </row>
        <row r="68">
          <cell r="Z68">
            <v>4241</v>
          </cell>
        </row>
        <row r="69">
          <cell r="Z69">
            <v>3958</v>
          </cell>
        </row>
        <row r="71">
          <cell r="W71">
            <v>21836</v>
          </cell>
        </row>
        <row r="72">
          <cell r="W72">
            <v>31790</v>
          </cell>
        </row>
        <row r="84">
          <cell r="V84">
            <v>18553</v>
          </cell>
        </row>
        <row r="85">
          <cell r="V85">
            <v>21147</v>
          </cell>
        </row>
        <row r="86">
          <cell r="V86">
            <v>25161</v>
          </cell>
        </row>
        <row r="87">
          <cell r="V87">
            <v>20670</v>
          </cell>
        </row>
        <row r="88">
          <cell r="V88">
            <v>15830</v>
          </cell>
          <cell r="W88">
            <v>13650</v>
          </cell>
        </row>
        <row r="89">
          <cell r="V89">
            <v>18938</v>
          </cell>
        </row>
        <row r="90">
          <cell r="V90">
            <v>15556</v>
          </cell>
        </row>
        <row r="91">
          <cell r="Y91">
            <v>1999</v>
          </cell>
        </row>
        <row r="92">
          <cell r="Y92">
            <v>5285</v>
          </cell>
        </row>
        <row r="95">
          <cell r="Y95">
            <v>5718</v>
          </cell>
        </row>
        <row r="99">
          <cell r="S99">
            <v>33728</v>
          </cell>
          <cell r="T99">
            <v>5</v>
          </cell>
          <cell r="V99">
            <v>838</v>
          </cell>
        </row>
        <row r="101">
          <cell r="S101">
            <v>720</v>
          </cell>
          <cell r="T101">
            <v>110</v>
          </cell>
          <cell r="V101">
            <v>511</v>
          </cell>
        </row>
        <row r="119">
          <cell r="S119">
            <v>1722</v>
          </cell>
        </row>
        <row r="120">
          <cell r="S120">
            <v>416</v>
          </cell>
        </row>
        <row r="121">
          <cell r="S121">
            <v>29</v>
          </cell>
        </row>
        <row r="122">
          <cell r="S122">
            <v>13</v>
          </cell>
        </row>
        <row r="123">
          <cell r="S123">
            <v>8236</v>
          </cell>
        </row>
        <row r="124">
          <cell r="S124">
            <v>16</v>
          </cell>
        </row>
        <row r="125">
          <cell r="S125">
            <v>60</v>
          </cell>
          <cell r="V125">
            <v>14</v>
          </cell>
        </row>
        <row r="126">
          <cell r="S126">
            <v>760</v>
          </cell>
        </row>
        <row r="127">
          <cell r="S127">
            <v>16</v>
          </cell>
        </row>
        <row r="128">
          <cell r="S128">
            <v>2934</v>
          </cell>
        </row>
        <row r="129">
          <cell r="S129">
            <v>297</v>
          </cell>
        </row>
        <row r="130">
          <cell r="T130">
            <v>250</v>
          </cell>
          <cell r="Z130">
            <v>6059</v>
          </cell>
        </row>
        <row r="131">
          <cell r="S131">
            <v>20800</v>
          </cell>
          <cell r="T131">
            <v>2891</v>
          </cell>
        </row>
        <row r="132">
          <cell r="S132">
            <v>24951</v>
          </cell>
          <cell r="T132">
            <v>10611</v>
          </cell>
        </row>
        <row r="133">
          <cell r="S133">
            <v>35083</v>
          </cell>
          <cell r="T133">
            <v>600</v>
          </cell>
        </row>
        <row r="134">
          <cell r="O134">
            <v>832</v>
          </cell>
          <cell r="P134">
            <v>832</v>
          </cell>
          <cell r="Q134">
            <v>3336</v>
          </cell>
        </row>
        <row r="135">
          <cell r="Y135">
            <v>7774</v>
          </cell>
        </row>
        <row r="136">
          <cell r="V136">
            <v>10490</v>
          </cell>
          <cell r="W136">
            <v>3063</v>
          </cell>
        </row>
        <row r="137">
          <cell r="S137">
            <v>694</v>
          </cell>
          <cell r="T137">
            <v>200</v>
          </cell>
        </row>
      </sheetData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6"/>
  <sheetViews>
    <sheetView tabSelected="1" workbookViewId="0">
      <pane xSplit="4" ySplit="4" topLeftCell="E250" activePane="bottomRight" state="frozen"/>
      <selection pane="topRight" activeCell="E1" sqref="E1"/>
      <selection pane="bottomLeft" activeCell="A5" sqref="A5"/>
      <selection pane="bottomRight" activeCell="H17" sqref="H17"/>
    </sheetView>
  </sheetViews>
  <sheetFormatPr defaultRowHeight="12.75" x14ac:dyDescent="0.2"/>
  <cols>
    <col min="1" max="1" width="5.5703125" style="488" customWidth="1"/>
    <col min="2" max="2" width="11.5703125" style="488" customWidth="1"/>
    <col min="3" max="3" width="35.7109375" style="488" customWidth="1"/>
    <col min="4" max="4" width="9.140625" style="488" customWidth="1"/>
    <col min="5" max="5" width="11.5703125" style="488" customWidth="1"/>
    <col min="6" max="6" width="15.7109375" style="488" customWidth="1"/>
    <col min="7" max="7" width="13.42578125" style="488" customWidth="1"/>
    <col min="8" max="8" width="11.42578125" style="488" customWidth="1"/>
    <col min="9" max="9" width="19.140625" style="530" customWidth="1"/>
    <col min="10" max="10" width="8.140625" style="488" customWidth="1"/>
    <col min="11" max="11" width="12.140625" style="488" customWidth="1"/>
    <col min="12" max="12" width="14.42578125" style="488" customWidth="1"/>
    <col min="13" max="13" width="13.5703125" style="488" customWidth="1"/>
    <col min="14" max="256" width="9.140625" style="488"/>
    <col min="257" max="257" width="5.5703125" style="488" customWidth="1"/>
    <col min="258" max="258" width="11.5703125" style="488" customWidth="1"/>
    <col min="259" max="259" width="35.7109375" style="488" customWidth="1"/>
    <col min="260" max="260" width="9.140625" style="488" customWidth="1"/>
    <col min="261" max="261" width="11.5703125" style="488" customWidth="1"/>
    <col min="262" max="262" width="15.7109375" style="488" customWidth="1"/>
    <col min="263" max="263" width="13.42578125" style="488" customWidth="1"/>
    <col min="264" max="264" width="11.42578125" style="488" customWidth="1"/>
    <col min="265" max="265" width="19.140625" style="488" customWidth="1"/>
    <col min="266" max="266" width="8.140625" style="488" customWidth="1"/>
    <col min="267" max="267" width="12.140625" style="488" customWidth="1"/>
    <col min="268" max="268" width="14.42578125" style="488" customWidth="1"/>
    <col min="269" max="269" width="13.5703125" style="488" customWidth="1"/>
    <col min="270" max="512" width="9.140625" style="488"/>
    <col min="513" max="513" width="5.5703125" style="488" customWidth="1"/>
    <col min="514" max="514" width="11.5703125" style="488" customWidth="1"/>
    <col min="515" max="515" width="35.7109375" style="488" customWidth="1"/>
    <col min="516" max="516" width="9.140625" style="488" customWidth="1"/>
    <col min="517" max="517" width="11.5703125" style="488" customWidth="1"/>
    <col min="518" max="518" width="15.7109375" style="488" customWidth="1"/>
    <col min="519" max="519" width="13.42578125" style="488" customWidth="1"/>
    <col min="520" max="520" width="11.42578125" style="488" customWidth="1"/>
    <col min="521" max="521" width="19.140625" style="488" customWidth="1"/>
    <col min="522" max="522" width="8.140625" style="488" customWidth="1"/>
    <col min="523" max="523" width="12.140625" style="488" customWidth="1"/>
    <col min="524" max="524" width="14.42578125" style="488" customWidth="1"/>
    <col min="525" max="525" width="13.5703125" style="488" customWidth="1"/>
    <col min="526" max="768" width="9.140625" style="488"/>
    <col min="769" max="769" width="5.5703125" style="488" customWidth="1"/>
    <col min="770" max="770" width="11.5703125" style="488" customWidth="1"/>
    <col min="771" max="771" width="35.7109375" style="488" customWidth="1"/>
    <col min="772" max="772" width="9.140625" style="488" customWidth="1"/>
    <col min="773" max="773" width="11.5703125" style="488" customWidth="1"/>
    <col min="774" max="774" width="15.7109375" style="488" customWidth="1"/>
    <col min="775" max="775" width="13.42578125" style="488" customWidth="1"/>
    <col min="776" max="776" width="11.42578125" style="488" customWidth="1"/>
    <col min="777" max="777" width="19.140625" style="488" customWidth="1"/>
    <col min="778" max="778" width="8.140625" style="488" customWidth="1"/>
    <col min="779" max="779" width="12.140625" style="488" customWidth="1"/>
    <col min="780" max="780" width="14.42578125" style="488" customWidth="1"/>
    <col min="781" max="781" width="13.5703125" style="488" customWidth="1"/>
    <col min="782" max="1024" width="9.140625" style="488"/>
    <col min="1025" max="1025" width="5.5703125" style="488" customWidth="1"/>
    <col min="1026" max="1026" width="11.5703125" style="488" customWidth="1"/>
    <col min="1027" max="1027" width="35.7109375" style="488" customWidth="1"/>
    <col min="1028" max="1028" width="9.140625" style="488" customWidth="1"/>
    <col min="1029" max="1029" width="11.5703125" style="488" customWidth="1"/>
    <col min="1030" max="1030" width="15.7109375" style="488" customWidth="1"/>
    <col min="1031" max="1031" width="13.42578125" style="488" customWidth="1"/>
    <col min="1032" max="1032" width="11.42578125" style="488" customWidth="1"/>
    <col min="1033" max="1033" width="19.140625" style="488" customWidth="1"/>
    <col min="1034" max="1034" width="8.140625" style="488" customWidth="1"/>
    <col min="1035" max="1035" width="12.140625" style="488" customWidth="1"/>
    <col min="1036" max="1036" width="14.42578125" style="488" customWidth="1"/>
    <col min="1037" max="1037" width="13.5703125" style="488" customWidth="1"/>
    <col min="1038" max="1280" width="9.140625" style="488"/>
    <col min="1281" max="1281" width="5.5703125" style="488" customWidth="1"/>
    <col min="1282" max="1282" width="11.5703125" style="488" customWidth="1"/>
    <col min="1283" max="1283" width="35.7109375" style="488" customWidth="1"/>
    <col min="1284" max="1284" width="9.140625" style="488" customWidth="1"/>
    <col min="1285" max="1285" width="11.5703125" style="488" customWidth="1"/>
    <col min="1286" max="1286" width="15.7109375" style="488" customWidth="1"/>
    <col min="1287" max="1287" width="13.42578125" style="488" customWidth="1"/>
    <col min="1288" max="1288" width="11.42578125" style="488" customWidth="1"/>
    <col min="1289" max="1289" width="19.140625" style="488" customWidth="1"/>
    <col min="1290" max="1290" width="8.140625" style="488" customWidth="1"/>
    <col min="1291" max="1291" width="12.140625" style="488" customWidth="1"/>
    <col min="1292" max="1292" width="14.42578125" style="488" customWidth="1"/>
    <col min="1293" max="1293" width="13.5703125" style="488" customWidth="1"/>
    <col min="1294" max="1536" width="9.140625" style="488"/>
    <col min="1537" max="1537" width="5.5703125" style="488" customWidth="1"/>
    <col min="1538" max="1538" width="11.5703125" style="488" customWidth="1"/>
    <col min="1539" max="1539" width="35.7109375" style="488" customWidth="1"/>
    <col min="1540" max="1540" width="9.140625" style="488" customWidth="1"/>
    <col min="1541" max="1541" width="11.5703125" style="488" customWidth="1"/>
    <col min="1542" max="1542" width="15.7109375" style="488" customWidth="1"/>
    <col min="1543" max="1543" width="13.42578125" style="488" customWidth="1"/>
    <col min="1544" max="1544" width="11.42578125" style="488" customWidth="1"/>
    <col min="1545" max="1545" width="19.140625" style="488" customWidth="1"/>
    <col min="1546" max="1546" width="8.140625" style="488" customWidth="1"/>
    <col min="1547" max="1547" width="12.140625" style="488" customWidth="1"/>
    <col min="1548" max="1548" width="14.42578125" style="488" customWidth="1"/>
    <col min="1549" max="1549" width="13.5703125" style="488" customWidth="1"/>
    <col min="1550" max="1792" width="9.140625" style="488"/>
    <col min="1793" max="1793" width="5.5703125" style="488" customWidth="1"/>
    <col min="1794" max="1794" width="11.5703125" style="488" customWidth="1"/>
    <col min="1795" max="1795" width="35.7109375" style="488" customWidth="1"/>
    <col min="1796" max="1796" width="9.140625" style="488" customWidth="1"/>
    <col min="1797" max="1797" width="11.5703125" style="488" customWidth="1"/>
    <col min="1798" max="1798" width="15.7109375" style="488" customWidth="1"/>
    <col min="1799" max="1799" width="13.42578125" style="488" customWidth="1"/>
    <col min="1800" max="1800" width="11.42578125" style="488" customWidth="1"/>
    <col min="1801" max="1801" width="19.140625" style="488" customWidth="1"/>
    <col min="1802" max="1802" width="8.140625" style="488" customWidth="1"/>
    <col min="1803" max="1803" width="12.140625" style="488" customWidth="1"/>
    <col min="1804" max="1804" width="14.42578125" style="488" customWidth="1"/>
    <col min="1805" max="1805" width="13.5703125" style="488" customWidth="1"/>
    <col min="1806" max="2048" width="9.140625" style="488"/>
    <col min="2049" max="2049" width="5.5703125" style="488" customWidth="1"/>
    <col min="2050" max="2050" width="11.5703125" style="488" customWidth="1"/>
    <col min="2051" max="2051" width="35.7109375" style="488" customWidth="1"/>
    <col min="2052" max="2052" width="9.140625" style="488" customWidth="1"/>
    <col min="2053" max="2053" width="11.5703125" style="488" customWidth="1"/>
    <col min="2054" max="2054" width="15.7109375" style="488" customWidth="1"/>
    <col min="2055" max="2055" width="13.42578125" style="488" customWidth="1"/>
    <col min="2056" max="2056" width="11.42578125" style="488" customWidth="1"/>
    <col min="2057" max="2057" width="19.140625" style="488" customWidth="1"/>
    <col min="2058" max="2058" width="8.140625" style="488" customWidth="1"/>
    <col min="2059" max="2059" width="12.140625" style="488" customWidth="1"/>
    <col min="2060" max="2060" width="14.42578125" style="488" customWidth="1"/>
    <col min="2061" max="2061" width="13.5703125" style="488" customWidth="1"/>
    <col min="2062" max="2304" width="9.140625" style="488"/>
    <col min="2305" max="2305" width="5.5703125" style="488" customWidth="1"/>
    <col min="2306" max="2306" width="11.5703125" style="488" customWidth="1"/>
    <col min="2307" max="2307" width="35.7109375" style="488" customWidth="1"/>
    <col min="2308" max="2308" width="9.140625" style="488" customWidth="1"/>
    <col min="2309" max="2309" width="11.5703125" style="488" customWidth="1"/>
    <col min="2310" max="2310" width="15.7109375" style="488" customWidth="1"/>
    <col min="2311" max="2311" width="13.42578125" style="488" customWidth="1"/>
    <col min="2312" max="2312" width="11.42578125" style="488" customWidth="1"/>
    <col min="2313" max="2313" width="19.140625" style="488" customWidth="1"/>
    <col min="2314" max="2314" width="8.140625" style="488" customWidth="1"/>
    <col min="2315" max="2315" width="12.140625" style="488" customWidth="1"/>
    <col min="2316" max="2316" width="14.42578125" style="488" customWidth="1"/>
    <col min="2317" max="2317" width="13.5703125" style="488" customWidth="1"/>
    <col min="2318" max="2560" width="9.140625" style="488"/>
    <col min="2561" max="2561" width="5.5703125" style="488" customWidth="1"/>
    <col min="2562" max="2562" width="11.5703125" style="488" customWidth="1"/>
    <col min="2563" max="2563" width="35.7109375" style="488" customWidth="1"/>
    <col min="2564" max="2564" width="9.140625" style="488" customWidth="1"/>
    <col min="2565" max="2565" width="11.5703125" style="488" customWidth="1"/>
    <col min="2566" max="2566" width="15.7109375" style="488" customWidth="1"/>
    <col min="2567" max="2567" width="13.42578125" style="488" customWidth="1"/>
    <col min="2568" max="2568" width="11.42578125" style="488" customWidth="1"/>
    <col min="2569" max="2569" width="19.140625" style="488" customWidth="1"/>
    <col min="2570" max="2570" width="8.140625" style="488" customWidth="1"/>
    <col min="2571" max="2571" width="12.140625" style="488" customWidth="1"/>
    <col min="2572" max="2572" width="14.42578125" style="488" customWidth="1"/>
    <col min="2573" max="2573" width="13.5703125" style="488" customWidth="1"/>
    <col min="2574" max="2816" width="9.140625" style="488"/>
    <col min="2817" max="2817" width="5.5703125" style="488" customWidth="1"/>
    <col min="2818" max="2818" width="11.5703125" style="488" customWidth="1"/>
    <col min="2819" max="2819" width="35.7109375" style="488" customWidth="1"/>
    <col min="2820" max="2820" width="9.140625" style="488" customWidth="1"/>
    <col min="2821" max="2821" width="11.5703125" style="488" customWidth="1"/>
    <col min="2822" max="2822" width="15.7109375" style="488" customWidth="1"/>
    <col min="2823" max="2823" width="13.42578125" style="488" customWidth="1"/>
    <col min="2824" max="2824" width="11.42578125" style="488" customWidth="1"/>
    <col min="2825" max="2825" width="19.140625" style="488" customWidth="1"/>
    <col min="2826" max="2826" width="8.140625" style="488" customWidth="1"/>
    <col min="2827" max="2827" width="12.140625" style="488" customWidth="1"/>
    <col min="2828" max="2828" width="14.42578125" style="488" customWidth="1"/>
    <col min="2829" max="2829" width="13.5703125" style="488" customWidth="1"/>
    <col min="2830" max="3072" width="9.140625" style="488"/>
    <col min="3073" max="3073" width="5.5703125" style="488" customWidth="1"/>
    <col min="3074" max="3074" width="11.5703125" style="488" customWidth="1"/>
    <col min="3075" max="3075" width="35.7109375" style="488" customWidth="1"/>
    <col min="3076" max="3076" width="9.140625" style="488" customWidth="1"/>
    <col min="3077" max="3077" width="11.5703125" style="488" customWidth="1"/>
    <col min="3078" max="3078" width="15.7109375" style="488" customWidth="1"/>
    <col min="3079" max="3079" width="13.42578125" style="488" customWidth="1"/>
    <col min="3080" max="3080" width="11.42578125" style="488" customWidth="1"/>
    <col min="3081" max="3081" width="19.140625" style="488" customWidth="1"/>
    <col min="3082" max="3082" width="8.140625" style="488" customWidth="1"/>
    <col min="3083" max="3083" width="12.140625" style="488" customWidth="1"/>
    <col min="3084" max="3084" width="14.42578125" style="488" customWidth="1"/>
    <col min="3085" max="3085" width="13.5703125" style="488" customWidth="1"/>
    <col min="3086" max="3328" width="9.140625" style="488"/>
    <col min="3329" max="3329" width="5.5703125" style="488" customWidth="1"/>
    <col min="3330" max="3330" width="11.5703125" style="488" customWidth="1"/>
    <col min="3331" max="3331" width="35.7109375" style="488" customWidth="1"/>
    <col min="3332" max="3332" width="9.140625" style="488" customWidth="1"/>
    <col min="3333" max="3333" width="11.5703125" style="488" customWidth="1"/>
    <col min="3334" max="3334" width="15.7109375" style="488" customWidth="1"/>
    <col min="3335" max="3335" width="13.42578125" style="488" customWidth="1"/>
    <col min="3336" max="3336" width="11.42578125" style="488" customWidth="1"/>
    <col min="3337" max="3337" width="19.140625" style="488" customWidth="1"/>
    <col min="3338" max="3338" width="8.140625" style="488" customWidth="1"/>
    <col min="3339" max="3339" width="12.140625" style="488" customWidth="1"/>
    <col min="3340" max="3340" width="14.42578125" style="488" customWidth="1"/>
    <col min="3341" max="3341" width="13.5703125" style="488" customWidth="1"/>
    <col min="3342" max="3584" width="9.140625" style="488"/>
    <col min="3585" max="3585" width="5.5703125" style="488" customWidth="1"/>
    <col min="3586" max="3586" width="11.5703125" style="488" customWidth="1"/>
    <col min="3587" max="3587" width="35.7109375" style="488" customWidth="1"/>
    <col min="3588" max="3588" width="9.140625" style="488" customWidth="1"/>
    <col min="3589" max="3589" width="11.5703125" style="488" customWidth="1"/>
    <col min="3590" max="3590" width="15.7109375" style="488" customWidth="1"/>
    <col min="3591" max="3591" width="13.42578125" style="488" customWidth="1"/>
    <col min="3592" max="3592" width="11.42578125" style="488" customWidth="1"/>
    <col min="3593" max="3593" width="19.140625" style="488" customWidth="1"/>
    <col min="3594" max="3594" width="8.140625" style="488" customWidth="1"/>
    <col min="3595" max="3595" width="12.140625" style="488" customWidth="1"/>
    <col min="3596" max="3596" width="14.42578125" style="488" customWidth="1"/>
    <col min="3597" max="3597" width="13.5703125" style="488" customWidth="1"/>
    <col min="3598" max="3840" width="9.140625" style="488"/>
    <col min="3841" max="3841" width="5.5703125" style="488" customWidth="1"/>
    <col min="3842" max="3842" width="11.5703125" style="488" customWidth="1"/>
    <col min="3843" max="3843" width="35.7109375" style="488" customWidth="1"/>
    <col min="3844" max="3844" width="9.140625" style="488" customWidth="1"/>
    <col min="3845" max="3845" width="11.5703125" style="488" customWidth="1"/>
    <col min="3846" max="3846" width="15.7109375" style="488" customWidth="1"/>
    <col min="3847" max="3847" width="13.42578125" style="488" customWidth="1"/>
    <col min="3848" max="3848" width="11.42578125" style="488" customWidth="1"/>
    <col min="3849" max="3849" width="19.140625" style="488" customWidth="1"/>
    <col min="3850" max="3850" width="8.140625" style="488" customWidth="1"/>
    <col min="3851" max="3851" width="12.140625" style="488" customWidth="1"/>
    <col min="3852" max="3852" width="14.42578125" style="488" customWidth="1"/>
    <col min="3853" max="3853" width="13.5703125" style="488" customWidth="1"/>
    <col min="3854" max="4096" width="9.140625" style="488"/>
    <col min="4097" max="4097" width="5.5703125" style="488" customWidth="1"/>
    <col min="4098" max="4098" width="11.5703125" style="488" customWidth="1"/>
    <col min="4099" max="4099" width="35.7109375" style="488" customWidth="1"/>
    <col min="4100" max="4100" width="9.140625" style="488" customWidth="1"/>
    <col min="4101" max="4101" width="11.5703125" style="488" customWidth="1"/>
    <col min="4102" max="4102" width="15.7109375" style="488" customWidth="1"/>
    <col min="4103" max="4103" width="13.42578125" style="488" customWidth="1"/>
    <col min="4104" max="4104" width="11.42578125" style="488" customWidth="1"/>
    <col min="4105" max="4105" width="19.140625" style="488" customWidth="1"/>
    <col min="4106" max="4106" width="8.140625" style="488" customWidth="1"/>
    <col min="4107" max="4107" width="12.140625" style="488" customWidth="1"/>
    <col min="4108" max="4108" width="14.42578125" style="488" customWidth="1"/>
    <col min="4109" max="4109" width="13.5703125" style="488" customWidth="1"/>
    <col min="4110" max="4352" width="9.140625" style="488"/>
    <col min="4353" max="4353" width="5.5703125" style="488" customWidth="1"/>
    <col min="4354" max="4354" width="11.5703125" style="488" customWidth="1"/>
    <col min="4355" max="4355" width="35.7109375" style="488" customWidth="1"/>
    <col min="4356" max="4356" width="9.140625" style="488" customWidth="1"/>
    <col min="4357" max="4357" width="11.5703125" style="488" customWidth="1"/>
    <col min="4358" max="4358" width="15.7109375" style="488" customWidth="1"/>
    <col min="4359" max="4359" width="13.42578125" style="488" customWidth="1"/>
    <col min="4360" max="4360" width="11.42578125" style="488" customWidth="1"/>
    <col min="4361" max="4361" width="19.140625" style="488" customWidth="1"/>
    <col min="4362" max="4362" width="8.140625" style="488" customWidth="1"/>
    <col min="4363" max="4363" width="12.140625" style="488" customWidth="1"/>
    <col min="4364" max="4364" width="14.42578125" style="488" customWidth="1"/>
    <col min="4365" max="4365" width="13.5703125" style="488" customWidth="1"/>
    <col min="4366" max="4608" width="9.140625" style="488"/>
    <col min="4609" max="4609" width="5.5703125" style="488" customWidth="1"/>
    <col min="4610" max="4610" width="11.5703125" style="488" customWidth="1"/>
    <col min="4611" max="4611" width="35.7109375" style="488" customWidth="1"/>
    <col min="4612" max="4612" width="9.140625" style="488" customWidth="1"/>
    <col min="4613" max="4613" width="11.5703125" style="488" customWidth="1"/>
    <col min="4614" max="4614" width="15.7109375" style="488" customWidth="1"/>
    <col min="4615" max="4615" width="13.42578125" style="488" customWidth="1"/>
    <col min="4616" max="4616" width="11.42578125" style="488" customWidth="1"/>
    <col min="4617" max="4617" width="19.140625" style="488" customWidth="1"/>
    <col min="4618" max="4618" width="8.140625" style="488" customWidth="1"/>
    <col min="4619" max="4619" width="12.140625" style="488" customWidth="1"/>
    <col min="4620" max="4620" width="14.42578125" style="488" customWidth="1"/>
    <col min="4621" max="4621" width="13.5703125" style="488" customWidth="1"/>
    <col min="4622" max="4864" width="9.140625" style="488"/>
    <col min="4865" max="4865" width="5.5703125" style="488" customWidth="1"/>
    <col min="4866" max="4866" width="11.5703125" style="488" customWidth="1"/>
    <col min="4867" max="4867" width="35.7109375" style="488" customWidth="1"/>
    <col min="4868" max="4868" width="9.140625" style="488" customWidth="1"/>
    <col min="4869" max="4869" width="11.5703125" style="488" customWidth="1"/>
    <col min="4870" max="4870" width="15.7109375" style="488" customWidth="1"/>
    <col min="4871" max="4871" width="13.42578125" style="488" customWidth="1"/>
    <col min="4872" max="4872" width="11.42578125" style="488" customWidth="1"/>
    <col min="4873" max="4873" width="19.140625" style="488" customWidth="1"/>
    <col min="4874" max="4874" width="8.140625" style="488" customWidth="1"/>
    <col min="4875" max="4875" width="12.140625" style="488" customWidth="1"/>
    <col min="4876" max="4876" width="14.42578125" style="488" customWidth="1"/>
    <col min="4877" max="4877" width="13.5703125" style="488" customWidth="1"/>
    <col min="4878" max="5120" width="9.140625" style="488"/>
    <col min="5121" max="5121" width="5.5703125" style="488" customWidth="1"/>
    <col min="5122" max="5122" width="11.5703125" style="488" customWidth="1"/>
    <col min="5123" max="5123" width="35.7109375" style="488" customWidth="1"/>
    <col min="5124" max="5124" width="9.140625" style="488" customWidth="1"/>
    <col min="5125" max="5125" width="11.5703125" style="488" customWidth="1"/>
    <col min="5126" max="5126" width="15.7109375" style="488" customWidth="1"/>
    <col min="5127" max="5127" width="13.42578125" style="488" customWidth="1"/>
    <col min="5128" max="5128" width="11.42578125" style="488" customWidth="1"/>
    <col min="5129" max="5129" width="19.140625" style="488" customWidth="1"/>
    <col min="5130" max="5130" width="8.140625" style="488" customWidth="1"/>
    <col min="5131" max="5131" width="12.140625" style="488" customWidth="1"/>
    <col min="5132" max="5132" width="14.42578125" style="488" customWidth="1"/>
    <col min="5133" max="5133" width="13.5703125" style="488" customWidth="1"/>
    <col min="5134" max="5376" width="9.140625" style="488"/>
    <col min="5377" max="5377" width="5.5703125" style="488" customWidth="1"/>
    <col min="5378" max="5378" width="11.5703125" style="488" customWidth="1"/>
    <col min="5379" max="5379" width="35.7109375" style="488" customWidth="1"/>
    <col min="5380" max="5380" width="9.140625" style="488" customWidth="1"/>
    <col min="5381" max="5381" width="11.5703125" style="488" customWidth="1"/>
    <col min="5382" max="5382" width="15.7109375" style="488" customWidth="1"/>
    <col min="5383" max="5383" width="13.42578125" style="488" customWidth="1"/>
    <col min="5384" max="5384" width="11.42578125" style="488" customWidth="1"/>
    <col min="5385" max="5385" width="19.140625" style="488" customWidth="1"/>
    <col min="5386" max="5386" width="8.140625" style="488" customWidth="1"/>
    <col min="5387" max="5387" width="12.140625" style="488" customWidth="1"/>
    <col min="5388" max="5388" width="14.42578125" style="488" customWidth="1"/>
    <col min="5389" max="5389" width="13.5703125" style="488" customWidth="1"/>
    <col min="5390" max="5632" width="9.140625" style="488"/>
    <col min="5633" max="5633" width="5.5703125" style="488" customWidth="1"/>
    <col min="5634" max="5634" width="11.5703125" style="488" customWidth="1"/>
    <col min="5635" max="5635" width="35.7109375" style="488" customWidth="1"/>
    <col min="5636" max="5636" width="9.140625" style="488" customWidth="1"/>
    <col min="5637" max="5637" width="11.5703125" style="488" customWidth="1"/>
    <col min="5638" max="5638" width="15.7109375" style="488" customWidth="1"/>
    <col min="5639" max="5639" width="13.42578125" style="488" customWidth="1"/>
    <col min="5640" max="5640" width="11.42578125" style="488" customWidth="1"/>
    <col min="5641" max="5641" width="19.140625" style="488" customWidth="1"/>
    <col min="5642" max="5642" width="8.140625" style="488" customWidth="1"/>
    <col min="5643" max="5643" width="12.140625" style="488" customWidth="1"/>
    <col min="5644" max="5644" width="14.42578125" style="488" customWidth="1"/>
    <col min="5645" max="5645" width="13.5703125" style="488" customWidth="1"/>
    <col min="5646" max="5888" width="9.140625" style="488"/>
    <col min="5889" max="5889" width="5.5703125" style="488" customWidth="1"/>
    <col min="5890" max="5890" width="11.5703125" style="488" customWidth="1"/>
    <col min="5891" max="5891" width="35.7109375" style="488" customWidth="1"/>
    <col min="5892" max="5892" width="9.140625" style="488" customWidth="1"/>
    <col min="5893" max="5893" width="11.5703125" style="488" customWidth="1"/>
    <col min="5894" max="5894" width="15.7109375" style="488" customWidth="1"/>
    <col min="5895" max="5895" width="13.42578125" style="488" customWidth="1"/>
    <col min="5896" max="5896" width="11.42578125" style="488" customWidth="1"/>
    <col min="5897" max="5897" width="19.140625" style="488" customWidth="1"/>
    <col min="5898" max="5898" width="8.140625" style="488" customWidth="1"/>
    <col min="5899" max="5899" width="12.140625" style="488" customWidth="1"/>
    <col min="5900" max="5900" width="14.42578125" style="488" customWidth="1"/>
    <col min="5901" max="5901" width="13.5703125" style="488" customWidth="1"/>
    <col min="5902" max="6144" width="9.140625" style="488"/>
    <col min="6145" max="6145" width="5.5703125" style="488" customWidth="1"/>
    <col min="6146" max="6146" width="11.5703125" style="488" customWidth="1"/>
    <col min="6147" max="6147" width="35.7109375" style="488" customWidth="1"/>
    <col min="6148" max="6148" width="9.140625" style="488" customWidth="1"/>
    <col min="6149" max="6149" width="11.5703125" style="488" customWidth="1"/>
    <col min="6150" max="6150" width="15.7109375" style="488" customWidth="1"/>
    <col min="6151" max="6151" width="13.42578125" style="488" customWidth="1"/>
    <col min="6152" max="6152" width="11.42578125" style="488" customWidth="1"/>
    <col min="6153" max="6153" width="19.140625" style="488" customWidth="1"/>
    <col min="6154" max="6154" width="8.140625" style="488" customWidth="1"/>
    <col min="6155" max="6155" width="12.140625" style="488" customWidth="1"/>
    <col min="6156" max="6156" width="14.42578125" style="488" customWidth="1"/>
    <col min="6157" max="6157" width="13.5703125" style="488" customWidth="1"/>
    <col min="6158" max="6400" width="9.140625" style="488"/>
    <col min="6401" max="6401" width="5.5703125" style="488" customWidth="1"/>
    <col min="6402" max="6402" width="11.5703125" style="488" customWidth="1"/>
    <col min="6403" max="6403" width="35.7109375" style="488" customWidth="1"/>
    <col min="6404" max="6404" width="9.140625" style="488" customWidth="1"/>
    <col min="6405" max="6405" width="11.5703125" style="488" customWidth="1"/>
    <col min="6406" max="6406" width="15.7109375" style="488" customWidth="1"/>
    <col min="6407" max="6407" width="13.42578125" style="488" customWidth="1"/>
    <col min="6408" max="6408" width="11.42578125" style="488" customWidth="1"/>
    <col min="6409" max="6409" width="19.140625" style="488" customWidth="1"/>
    <col min="6410" max="6410" width="8.140625" style="488" customWidth="1"/>
    <col min="6411" max="6411" width="12.140625" style="488" customWidth="1"/>
    <col min="6412" max="6412" width="14.42578125" style="488" customWidth="1"/>
    <col min="6413" max="6413" width="13.5703125" style="488" customWidth="1"/>
    <col min="6414" max="6656" width="9.140625" style="488"/>
    <col min="6657" max="6657" width="5.5703125" style="488" customWidth="1"/>
    <col min="6658" max="6658" width="11.5703125" style="488" customWidth="1"/>
    <col min="6659" max="6659" width="35.7109375" style="488" customWidth="1"/>
    <col min="6660" max="6660" width="9.140625" style="488" customWidth="1"/>
    <col min="6661" max="6661" width="11.5703125" style="488" customWidth="1"/>
    <col min="6662" max="6662" width="15.7109375" style="488" customWidth="1"/>
    <col min="6663" max="6663" width="13.42578125" style="488" customWidth="1"/>
    <col min="6664" max="6664" width="11.42578125" style="488" customWidth="1"/>
    <col min="6665" max="6665" width="19.140625" style="488" customWidth="1"/>
    <col min="6666" max="6666" width="8.140625" style="488" customWidth="1"/>
    <col min="6667" max="6667" width="12.140625" style="488" customWidth="1"/>
    <col min="6668" max="6668" width="14.42578125" style="488" customWidth="1"/>
    <col min="6669" max="6669" width="13.5703125" style="488" customWidth="1"/>
    <col min="6670" max="6912" width="9.140625" style="488"/>
    <col min="6913" max="6913" width="5.5703125" style="488" customWidth="1"/>
    <col min="6914" max="6914" width="11.5703125" style="488" customWidth="1"/>
    <col min="6915" max="6915" width="35.7109375" style="488" customWidth="1"/>
    <col min="6916" max="6916" width="9.140625" style="488" customWidth="1"/>
    <col min="6917" max="6917" width="11.5703125" style="488" customWidth="1"/>
    <col min="6918" max="6918" width="15.7109375" style="488" customWidth="1"/>
    <col min="6919" max="6919" width="13.42578125" style="488" customWidth="1"/>
    <col min="6920" max="6920" width="11.42578125" style="488" customWidth="1"/>
    <col min="6921" max="6921" width="19.140625" style="488" customWidth="1"/>
    <col min="6922" max="6922" width="8.140625" style="488" customWidth="1"/>
    <col min="6923" max="6923" width="12.140625" style="488" customWidth="1"/>
    <col min="6924" max="6924" width="14.42578125" style="488" customWidth="1"/>
    <col min="6925" max="6925" width="13.5703125" style="488" customWidth="1"/>
    <col min="6926" max="7168" width="9.140625" style="488"/>
    <col min="7169" max="7169" width="5.5703125" style="488" customWidth="1"/>
    <col min="7170" max="7170" width="11.5703125" style="488" customWidth="1"/>
    <col min="7171" max="7171" width="35.7109375" style="488" customWidth="1"/>
    <col min="7172" max="7172" width="9.140625" style="488" customWidth="1"/>
    <col min="7173" max="7173" width="11.5703125" style="488" customWidth="1"/>
    <col min="7174" max="7174" width="15.7109375" style="488" customWidth="1"/>
    <col min="7175" max="7175" width="13.42578125" style="488" customWidth="1"/>
    <col min="7176" max="7176" width="11.42578125" style="488" customWidth="1"/>
    <col min="7177" max="7177" width="19.140625" style="488" customWidth="1"/>
    <col min="7178" max="7178" width="8.140625" style="488" customWidth="1"/>
    <col min="7179" max="7179" width="12.140625" style="488" customWidth="1"/>
    <col min="7180" max="7180" width="14.42578125" style="488" customWidth="1"/>
    <col min="7181" max="7181" width="13.5703125" style="488" customWidth="1"/>
    <col min="7182" max="7424" width="9.140625" style="488"/>
    <col min="7425" max="7425" width="5.5703125" style="488" customWidth="1"/>
    <col min="7426" max="7426" width="11.5703125" style="488" customWidth="1"/>
    <col min="7427" max="7427" width="35.7109375" style="488" customWidth="1"/>
    <col min="7428" max="7428" width="9.140625" style="488" customWidth="1"/>
    <col min="7429" max="7429" width="11.5703125" style="488" customWidth="1"/>
    <col min="7430" max="7430" width="15.7109375" style="488" customWidth="1"/>
    <col min="7431" max="7431" width="13.42578125" style="488" customWidth="1"/>
    <col min="7432" max="7432" width="11.42578125" style="488" customWidth="1"/>
    <col min="7433" max="7433" width="19.140625" style="488" customWidth="1"/>
    <col min="7434" max="7434" width="8.140625" style="488" customWidth="1"/>
    <col min="7435" max="7435" width="12.140625" style="488" customWidth="1"/>
    <col min="7436" max="7436" width="14.42578125" style="488" customWidth="1"/>
    <col min="7437" max="7437" width="13.5703125" style="488" customWidth="1"/>
    <col min="7438" max="7680" width="9.140625" style="488"/>
    <col min="7681" max="7681" width="5.5703125" style="488" customWidth="1"/>
    <col min="7682" max="7682" width="11.5703125" style="488" customWidth="1"/>
    <col min="7683" max="7683" width="35.7109375" style="488" customWidth="1"/>
    <col min="7684" max="7684" width="9.140625" style="488" customWidth="1"/>
    <col min="7685" max="7685" width="11.5703125" style="488" customWidth="1"/>
    <col min="7686" max="7686" width="15.7109375" style="488" customWidth="1"/>
    <col min="7687" max="7687" width="13.42578125" style="488" customWidth="1"/>
    <col min="7688" max="7688" width="11.42578125" style="488" customWidth="1"/>
    <col min="7689" max="7689" width="19.140625" style="488" customWidth="1"/>
    <col min="7690" max="7690" width="8.140625" style="488" customWidth="1"/>
    <col min="7691" max="7691" width="12.140625" style="488" customWidth="1"/>
    <col min="7692" max="7692" width="14.42578125" style="488" customWidth="1"/>
    <col min="7693" max="7693" width="13.5703125" style="488" customWidth="1"/>
    <col min="7694" max="7936" width="9.140625" style="488"/>
    <col min="7937" max="7937" width="5.5703125" style="488" customWidth="1"/>
    <col min="7938" max="7938" width="11.5703125" style="488" customWidth="1"/>
    <col min="7939" max="7939" width="35.7109375" style="488" customWidth="1"/>
    <col min="7940" max="7940" width="9.140625" style="488" customWidth="1"/>
    <col min="7941" max="7941" width="11.5703125" style="488" customWidth="1"/>
    <col min="7942" max="7942" width="15.7109375" style="488" customWidth="1"/>
    <col min="7943" max="7943" width="13.42578125" style="488" customWidth="1"/>
    <col min="7944" max="7944" width="11.42578125" style="488" customWidth="1"/>
    <col min="7945" max="7945" width="19.140625" style="488" customWidth="1"/>
    <col min="7946" max="7946" width="8.140625" style="488" customWidth="1"/>
    <col min="7947" max="7947" width="12.140625" style="488" customWidth="1"/>
    <col min="7948" max="7948" width="14.42578125" style="488" customWidth="1"/>
    <col min="7949" max="7949" width="13.5703125" style="488" customWidth="1"/>
    <col min="7950" max="8192" width="9.140625" style="488"/>
    <col min="8193" max="8193" width="5.5703125" style="488" customWidth="1"/>
    <col min="8194" max="8194" width="11.5703125" style="488" customWidth="1"/>
    <col min="8195" max="8195" width="35.7109375" style="488" customWidth="1"/>
    <col min="8196" max="8196" width="9.140625" style="488" customWidth="1"/>
    <col min="8197" max="8197" width="11.5703125" style="488" customWidth="1"/>
    <col min="8198" max="8198" width="15.7109375" style="488" customWidth="1"/>
    <col min="8199" max="8199" width="13.42578125" style="488" customWidth="1"/>
    <col min="8200" max="8200" width="11.42578125" style="488" customWidth="1"/>
    <col min="8201" max="8201" width="19.140625" style="488" customWidth="1"/>
    <col min="8202" max="8202" width="8.140625" style="488" customWidth="1"/>
    <col min="8203" max="8203" width="12.140625" style="488" customWidth="1"/>
    <col min="8204" max="8204" width="14.42578125" style="488" customWidth="1"/>
    <col min="8205" max="8205" width="13.5703125" style="488" customWidth="1"/>
    <col min="8206" max="8448" width="9.140625" style="488"/>
    <col min="8449" max="8449" width="5.5703125" style="488" customWidth="1"/>
    <col min="8450" max="8450" width="11.5703125" style="488" customWidth="1"/>
    <col min="8451" max="8451" width="35.7109375" style="488" customWidth="1"/>
    <col min="8452" max="8452" width="9.140625" style="488" customWidth="1"/>
    <col min="8453" max="8453" width="11.5703125" style="488" customWidth="1"/>
    <col min="8454" max="8454" width="15.7109375" style="488" customWidth="1"/>
    <col min="8455" max="8455" width="13.42578125" style="488" customWidth="1"/>
    <col min="8456" max="8456" width="11.42578125" style="488" customWidth="1"/>
    <col min="8457" max="8457" width="19.140625" style="488" customWidth="1"/>
    <col min="8458" max="8458" width="8.140625" style="488" customWidth="1"/>
    <col min="8459" max="8459" width="12.140625" style="488" customWidth="1"/>
    <col min="8460" max="8460" width="14.42578125" style="488" customWidth="1"/>
    <col min="8461" max="8461" width="13.5703125" style="488" customWidth="1"/>
    <col min="8462" max="8704" width="9.140625" style="488"/>
    <col min="8705" max="8705" width="5.5703125" style="488" customWidth="1"/>
    <col min="8706" max="8706" width="11.5703125" style="488" customWidth="1"/>
    <col min="8707" max="8707" width="35.7109375" style="488" customWidth="1"/>
    <col min="8708" max="8708" width="9.140625" style="488" customWidth="1"/>
    <col min="8709" max="8709" width="11.5703125" style="488" customWidth="1"/>
    <col min="8710" max="8710" width="15.7109375" style="488" customWidth="1"/>
    <col min="8711" max="8711" width="13.42578125" style="488" customWidth="1"/>
    <col min="8712" max="8712" width="11.42578125" style="488" customWidth="1"/>
    <col min="8713" max="8713" width="19.140625" style="488" customWidth="1"/>
    <col min="8714" max="8714" width="8.140625" style="488" customWidth="1"/>
    <col min="8715" max="8715" width="12.140625" style="488" customWidth="1"/>
    <col min="8716" max="8716" width="14.42578125" style="488" customWidth="1"/>
    <col min="8717" max="8717" width="13.5703125" style="488" customWidth="1"/>
    <col min="8718" max="8960" width="9.140625" style="488"/>
    <col min="8961" max="8961" width="5.5703125" style="488" customWidth="1"/>
    <col min="8962" max="8962" width="11.5703125" style="488" customWidth="1"/>
    <col min="8963" max="8963" width="35.7109375" style="488" customWidth="1"/>
    <col min="8964" max="8964" width="9.140625" style="488" customWidth="1"/>
    <col min="8965" max="8965" width="11.5703125" style="488" customWidth="1"/>
    <col min="8966" max="8966" width="15.7109375" style="488" customWidth="1"/>
    <col min="8967" max="8967" width="13.42578125" style="488" customWidth="1"/>
    <col min="8968" max="8968" width="11.42578125" style="488" customWidth="1"/>
    <col min="8969" max="8969" width="19.140625" style="488" customWidth="1"/>
    <col min="8970" max="8970" width="8.140625" style="488" customWidth="1"/>
    <col min="8971" max="8971" width="12.140625" style="488" customWidth="1"/>
    <col min="8972" max="8972" width="14.42578125" style="488" customWidth="1"/>
    <col min="8973" max="8973" width="13.5703125" style="488" customWidth="1"/>
    <col min="8974" max="9216" width="9.140625" style="488"/>
    <col min="9217" max="9217" width="5.5703125" style="488" customWidth="1"/>
    <col min="9218" max="9218" width="11.5703125" style="488" customWidth="1"/>
    <col min="9219" max="9219" width="35.7109375" style="488" customWidth="1"/>
    <col min="9220" max="9220" width="9.140625" style="488" customWidth="1"/>
    <col min="9221" max="9221" width="11.5703125" style="488" customWidth="1"/>
    <col min="9222" max="9222" width="15.7109375" style="488" customWidth="1"/>
    <col min="9223" max="9223" width="13.42578125" style="488" customWidth="1"/>
    <col min="9224" max="9224" width="11.42578125" style="488" customWidth="1"/>
    <col min="9225" max="9225" width="19.140625" style="488" customWidth="1"/>
    <col min="9226" max="9226" width="8.140625" style="488" customWidth="1"/>
    <col min="9227" max="9227" width="12.140625" style="488" customWidth="1"/>
    <col min="9228" max="9228" width="14.42578125" style="488" customWidth="1"/>
    <col min="9229" max="9229" width="13.5703125" style="488" customWidth="1"/>
    <col min="9230" max="9472" width="9.140625" style="488"/>
    <col min="9473" max="9473" width="5.5703125" style="488" customWidth="1"/>
    <col min="9474" max="9474" width="11.5703125" style="488" customWidth="1"/>
    <col min="9475" max="9475" width="35.7109375" style="488" customWidth="1"/>
    <col min="9476" max="9476" width="9.140625" style="488" customWidth="1"/>
    <col min="9477" max="9477" width="11.5703125" style="488" customWidth="1"/>
    <col min="9478" max="9478" width="15.7109375" style="488" customWidth="1"/>
    <col min="9479" max="9479" width="13.42578125" style="488" customWidth="1"/>
    <col min="9480" max="9480" width="11.42578125" style="488" customWidth="1"/>
    <col min="9481" max="9481" width="19.140625" style="488" customWidth="1"/>
    <col min="9482" max="9482" width="8.140625" style="488" customWidth="1"/>
    <col min="9483" max="9483" width="12.140625" style="488" customWidth="1"/>
    <col min="9484" max="9484" width="14.42578125" style="488" customWidth="1"/>
    <col min="9485" max="9485" width="13.5703125" style="488" customWidth="1"/>
    <col min="9486" max="9728" width="9.140625" style="488"/>
    <col min="9729" max="9729" width="5.5703125" style="488" customWidth="1"/>
    <col min="9730" max="9730" width="11.5703125" style="488" customWidth="1"/>
    <col min="9731" max="9731" width="35.7109375" style="488" customWidth="1"/>
    <col min="9732" max="9732" width="9.140625" style="488" customWidth="1"/>
    <col min="9733" max="9733" width="11.5703125" style="488" customWidth="1"/>
    <col min="9734" max="9734" width="15.7109375" style="488" customWidth="1"/>
    <col min="9735" max="9735" width="13.42578125" style="488" customWidth="1"/>
    <col min="9736" max="9736" width="11.42578125" style="488" customWidth="1"/>
    <col min="9737" max="9737" width="19.140625" style="488" customWidth="1"/>
    <col min="9738" max="9738" width="8.140625" style="488" customWidth="1"/>
    <col min="9739" max="9739" width="12.140625" style="488" customWidth="1"/>
    <col min="9740" max="9740" width="14.42578125" style="488" customWidth="1"/>
    <col min="9741" max="9741" width="13.5703125" style="488" customWidth="1"/>
    <col min="9742" max="9984" width="9.140625" style="488"/>
    <col min="9985" max="9985" width="5.5703125" style="488" customWidth="1"/>
    <col min="9986" max="9986" width="11.5703125" style="488" customWidth="1"/>
    <col min="9987" max="9987" width="35.7109375" style="488" customWidth="1"/>
    <col min="9988" max="9988" width="9.140625" style="488" customWidth="1"/>
    <col min="9989" max="9989" width="11.5703125" style="488" customWidth="1"/>
    <col min="9990" max="9990" width="15.7109375" style="488" customWidth="1"/>
    <col min="9991" max="9991" width="13.42578125" style="488" customWidth="1"/>
    <col min="9992" max="9992" width="11.42578125" style="488" customWidth="1"/>
    <col min="9993" max="9993" width="19.140625" style="488" customWidth="1"/>
    <col min="9994" max="9994" width="8.140625" style="488" customWidth="1"/>
    <col min="9995" max="9995" width="12.140625" style="488" customWidth="1"/>
    <col min="9996" max="9996" width="14.42578125" style="488" customWidth="1"/>
    <col min="9997" max="9997" width="13.5703125" style="488" customWidth="1"/>
    <col min="9998" max="10240" width="9.140625" style="488"/>
    <col min="10241" max="10241" width="5.5703125" style="488" customWidth="1"/>
    <col min="10242" max="10242" width="11.5703125" style="488" customWidth="1"/>
    <col min="10243" max="10243" width="35.7109375" style="488" customWidth="1"/>
    <col min="10244" max="10244" width="9.140625" style="488" customWidth="1"/>
    <col min="10245" max="10245" width="11.5703125" style="488" customWidth="1"/>
    <col min="10246" max="10246" width="15.7109375" style="488" customWidth="1"/>
    <col min="10247" max="10247" width="13.42578125" style="488" customWidth="1"/>
    <col min="10248" max="10248" width="11.42578125" style="488" customWidth="1"/>
    <col min="10249" max="10249" width="19.140625" style="488" customWidth="1"/>
    <col min="10250" max="10250" width="8.140625" style="488" customWidth="1"/>
    <col min="10251" max="10251" width="12.140625" style="488" customWidth="1"/>
    <col min="10252" max="10252" width="14.42578125" style="488" customWidth="1"/>
    <col min="10253" max="10253" width="13.5703125" style="488" customWidth="1"/>
    <col min="10254" max="10496" width="9.140625" style="488"/>
    <col min="10497" max="10497" width="5.5703125" style="488" customWidth="1"/>
    <col min="10498" max="10498" width="11.5703125" style="488" customWidth="1"/>
    <col min="10499" max="10499" width="35.7109375" style="488" customWidth="1"/>
    <col min="10500" max="10500" width="9.140625" style="488" customWidth="1"/>
    <col min="10501" max="10501" width="11.5703125" style="488" customWidth="1"/>
    <col min="10502" max="10502" width="15.7109375" style="488" customWidth="1"/>
    <col min="10503" max="10503" width="13.42578125" style="488" customWidth="1"/>
    <col min="10504" max="10504" width="11.42578125" style="488" customWidth="1"/>
    <col min="10505" max="10505" width="19.140625" style="488" customWidth="1"/>
    <col min="10506" max="10506" width="8.140625" style="488" customWidth="1"/>
    <col min="10507" max="10507" width="12.140625" style="488" customWidth="1"/>
    <col min="10508" max="10508" width="14.42578125" style="488" customWidth="1"/>
    <col min="10509" max="10509" width="13.5703125" style="488" customWidth="1"/>
    <col min="10510" max="10752" width="9.140625" style="488"/>
    <col min="10753" max="10753" width="5.5703125" style="488" customWidth="1"/>
    <col min="10754" max="10754" width="11.5703125" style="488" customWidth="1"/>
    <col min="10755" max="10755" width="35.7109375" style="488" customWidth="1"/>
    <col min="10756" max="10756" width="9.140625" style="488" customWidth="1"/>
    <col min="10757" max="10757" width="11.5703125" style="488" customWidth="1"/>
    <col min="10758" max="10758" width="15.7109375" style="488" customWidth="1"/>
    <col min="10759" max="10759" width="13.42578125" style="488" customWidth="1"/>
    <col min="10760" max="10760" width="11.42578125" style="488" customWidth="1"/>
    <col min="10761" max="10761" width="19.140625" style="488" customWidth="1"/>
    <col min="10762" max="10762" width="8.140625" style="488" customWidth="1"/>
    <col min="10763" max="10763" width="12.140625" style="488" customWidth="1"/>
    <col min="10764" max="10764" width="14.42578125" style="488" customWidth="1"/>
    <col min="10765" max="10765" width="13.5703125" style="488" customWidth="1"/>
    <col min="10766" max="11008" width="9.140625" style="488"/>
    <col min="11009" max="11009" width="5.5703125" style="488" customWidth="1"/>
    <col min="11010" max="11010" width="11.5703125" style="488" customWidth="1"/>
    <col min="11011" max="11011" width="35.7109375" style="488" customWidth="1"/>
    <col min="11012" max="11012" width="9.140625" style="488" customWidth="1"/>
    <col min="11013" max="11013" width="11.5703125" style="488" customWidth="1"/>
    <col min="11014" max="11014" width="15.7109375" style="488" customWidth="1"/>
    <col min="11015" max="11015" width="13.42578125" style="488" customWidth="1"/>
    <col min="11016" max="11016" width="11.42578125" style="488" customWidth="1"/>
    <col min="11017" max="11017" width="19.140625" style="488" customWidth="1"/>
    <col min="11018" max="11018" width="8.140625" style="488" customWidth="1"/>
    <col min="11019" max="11019" width="12.140625" style="488" customWidth="1"/>
    <col min="11020" max="11020" width="14.42578125" style="488" customWidth="1"/>
    <col min="11021" max="11021" width="13.5703125" style="488" customWidth="1"/>
    <col min="11022" max="11264" width="9.140625" style="488"/>
    <col min="11265" max="11265" width="5.5703125" style="488" customWidth="1"/>
    <col min="11266" max="11266" width="11.5703125" style="488" customWidth="1"/>
    <col min="11267" max="11267" width="35.7109375" style="488" customWidth="1"/>
    <col min="11268" max="11268" width="9.140625" style="488" customWidth="1"/>
    <col min="11269" max="11269" width="11.5703125" style="488" customWidth="1"/>
    <col min="11270" max="11270" width="15.7109375" style="488" customWidth="1"/>
    <col min="11271" max="11271" width="13.42578125" style="488" customWidth="1"/>
    <col min="11272" max="11272" width="11.42578125" style="488" customWidth="1"/>
    <col min="11273" max="11273" width="19.140625" style="488" customWidth="1"/>
    <col min="11274" max="11274" width="8.140625" style="488" customWidth="1"/>
    <col min="11275" max="11275" width="12.140625" style="488" customWidth="1"/>
    <col min="11276" max="11276" width="14.42578125" style="488" customWidth="1"/>
    <col min="11277" max="11277" width="13.5703125" style="488" customWidth="1"/>
    <col min="11278" max="11520" width="9.140625" style="488"/>
    <col min="11521" max="11521" width="5.5703125" style="488" customWidth="1"/>
    <col min="11522" max="11522" width="11.5703125" style="488" customWidth="1"/>
    <col min="11523" max="11523" width="35.7109375" style="488" customWidth="1"/>
    <col min="11524" max="11524" width="9.140625" style="488" customWidth="1"/>
    <col min="11525" max="11525" width="11.5703125" style="488" customWidth="1"/>
    <col min="11526" max="11526" width="15.7109375" style="488" customWidth="1"/>
    <col min="11527" max="11527" width="13.42578125" style="488" customWidth="1"/>
    <col min="11528" max="11528" width="11.42578125" style="488" customWidth="1"/>
    <col min="11529" max="11529" width="19.140625" style="488" customWidth="1"/>
    <col min="11530" max="11530" width="8.140625" style="488" customWidth="1"/>
    <col min="11531" max="11531" width="12.140625" style="488" customWidth="1"/>
    <col min="11532" max="11532" width="14.42578125" style="488" customWidth="1"/>
    <col min="11533" max="11533" width="13.5703125" style="488" customWidth="1"/>
    <col min="11534" max="11776" width="9.140625" style="488"/>
    <col min="11777" max="11777" width="5.5703125" style="488" customWidth="1"/>
    <col min="11778" max="11778" width="11.5703125" style="488" customWidth="1"/>
    <col min="11779" max="11779" width="35.7109375" style="488" customWidth="1"/>
    <col min="11780" max="11780" width="9.140625" style="488" customWidth="1"/>
    <col min="11781" max="11781" width="11.5703125" style="488" customWidth="1"/>
    <col min="11782" max="11782" width="15.7109375" style="488" customWidth="1"/>
    <col min="11783" max="11783" width="13.42578125" style="488" customWidth="1"/>
    <col min="11784" max="11784" width="11.42578125" style="488" customWidth="1"/>
    <col min="11785" max="11785" width="19.140625" style="488" customWidth="1"/>
    <col min="11786" max="11786" width="8.140625" style="488" customWidth="1"/>
    <col min="11787" max="11787" width="12.140625" style="488" customWidth="1"/>
    <col min="11788" max="11788" width="14.42578125" style="488" customWidth="1"/>
    <col min="11789" max="11789" width="13.5703125" style="488" customWidth="1"/>
    <col min="11790" max="12032" width="9.140625" style="488"/>
    <col min="12033" max="12033" width="5.5703125" style="488" customWidth="1"/>
    <col min="12034" max="12034" width="11.5703125" style="488" customWidth="1"/>
    <col min="12035" max="12035" width="35.7109375" style="488" customWidth="1"/>
    <col min="12036" max="12036" width="9.140625" style="488" customWidth="1"/>
    <col min="12037" max="12037" width="11.5703125" style="488" customWidth="1"/>
    <col min="12038" max="12038" width="15.7109375" style="488" customWidth="1"/>
    <col min="12039" max="12039" width="13.42578125" style="488" customWidth="1"/>
    <col min="12040" max="12040" width="11.42578125" style="488" customWidth="1"/>
    <col min="12041" max="12041" width="19.140625" style="488" customWidth="1"/>
    <col min="12042" max="12042" width="8.140625" style="488" customWidth="1"/>
    <col min="12043" max="12043" width="12.140625" style="488" customWidth="1"/>
    <col min="12044" max="12044" width="14.42578125" style="488" customWidth="1"/>
    <col min="12045" max="12045" width="13.5703125" style="488" customWidth="1"/>
    <col min="12046" max="12288" width="9.140625" style="488"/>
    <col min="12289" max="12289" width="5.5703125" style="488" customWidth="1"/>
    <col min="12290" max="12290" width="11.5703125" style="488" customWidth="1"/>
    <col min="12291" max="12291" width="35.7109375" style="488" customWidth="1"/>
    <col min="12292" max="12292" width="9.140625" style="488" customWidth="1"/>
    <col min="12293" max="12293" width="11.5703125" style="488" customWidth="1"/>
    <col min="12294" max="12294" width="15.7109375" style="488" customWidth="1"/>
    <col min="12295" max="12295" width="13.42578125" style="488" customWidth="1"/>
    <col min="12296" max="12296" width="11.42578125" style="488" customWidth="1"/>
    <col min="12297" max="12297" width="19.140625" style="488" customWidth="1"/>
    <col min="12298" max="12298" width="8.140625" style="488" customWidth="1"/>
    <col min="12299" max="12299" width="12.140625" style="488" customWidth="1"/>
    <col min="12300" max="12300" width="14.42578125" style="488" customWidth="1"/>
    <col min="12301" max="12301" width="13.5703125" style="488" customWidth="1"/>
    <col min="12302" max="12544" width="9.140625" style="488"/>
    <col min="12545" max="12545" width="5.5703125" style="488" customWidth="1"/>
    <col min="12546" max="12546" width="11.5703125" style="488" customWidth="1"/>
    <col min="12547" max="12547" width="35.7109375" style="488" customWidth="1"/>
    <col min="12548" max="12548" width="9.140625" style="488" customWidth="1"/>
    <col min="12549" max="12549" width="11.5703125" style="488" customWidth="1"/>
    <col min="12550" max="12550" width="15.7109375" style="488" customWidth="1"/>
    <col min="12551" max="12551" width="13.42578125" style="488" customWidth="1"/>
    <col min="12552" max="12552" width="11.42578125" style="488" customWidth="1"/>
    <col min="12553" max="12553" width="19.140625" style="488" customWidth="1"/>
    <col min="12554" max="12554" width="8.140625" style="488" customWidth="1"/>
    <col min="12555" max="12555" width="12.140625" style="488" customWidth="1"/>
    <col min="12556" max="12556" width="14.42578125" style="488" customWidth="1"/>
    <col min="12557" max="12557" width="13.5703125" style="488" customWidth="1"/>
    <col min="12558" max="12800" width="9.140625" style="488"/>
    <col min="12801" max="12801" width="5.5703125" style="488" customWidth="1"/>
    <col min="12802" max="12802" width="11.5703125" style="488" customWidth="1"/>
    <col min="12803" max="12803" width="35.7109375" style="488" customWidth="1"/>
    <col min="12804" max="12804" width="9.140625" style="488" customWidth="1"/>
    <col min="12805" max="12805" width="11.5703125" style="488" customWidth="1"/>
    <col min="12806" max="12806" width="15.7109375" style="488" customWidth="1"/>
    <col min="12807" max="12807" width="13.42578125" style="488" customWidth="1"/>
    <col min="12808" max="12808" width="11.42578125" style="488" customWidth="1"/>
    <col min="12809" max="12809" width="19.140625" style="488" customWidth="1"/>
    <col min="12810" max="12810" width="8.140625" style="488" customWidth="1"/>
    <col min="12811" max="12811" width="12.140625" style="488" customWidth="1"/>
    <col min="12812" max="12812" width="14.42578125" style="488" customWidth="1"/>
    <col min="12813" max="12813" width="13.5703125" style="488" customWidth="1"/>
    <col min="12814" max="13056" width="9.140625" style="488"/>
    <col min="13057" max="13057" width="5.5703125" style="488" customWidth="1"/>
    <col min="13058" max="13058" width="11.5703125" style="488" customWidth="1"/>
    <col min="13059" max="13059" width="35.7109375" style="488" customWidth="1"/>
    <col min="13060" max="13060" width="9.140625" style="488" customWidth="1"/>
    <col min="13061" max="13061" width="11.5703125" style="488" customWidth="1"/>
    <col min="13062" max="13062" width="15.7109375" style="488" customWidth="1"/>
    <col min="13063" max="13063" width="13.42578125" style="488" customWidth="1"/>
    <col min="13064" max="13064" width="11.42578125" style="488" customWidth="1"/>
    <col min="13065" max="13065" width="19.140625" style="488" customWidth="1"/>
    <col min="13066" max="13066" width="8.140625" style="488" customWidth="1"/>
    <col min="13067" max="13067" width="12.140625" style="488" customWidth="1"/>
    <col min="13068" max="13068" width="14.42578125" style="488" customWidth="1"/>
    <col min="13069" max="13069" width="13.5703125" style="488" customWidth="1"/>
    <col min="13070" max="13312" width="9.140625" style="488"/>
    <col min="13313" max="13313" width="5.5703125" style="488" customWidth="1"/>
    <col min="13314" max="13314" width="11.5703125" style="488" customWidth="1"/>
    <col min="13315" max="13315" width="35.7109375" style="488" customWidth="1"/>
    <col min="13316" max="13316" width="9.140625" style="488" customWidth="1"/>
    <col min="13317" max="13317" width="11.5703125" style="488" customWidth="1"/>
    <col min="13318" max="13318" width="15.7109375" style="488" customWidth="1"/>
    <col min="13319" max="13319" width="13.42578125" style="488" customWidth="1"/>
    <col min="13320" max="13320" width="11.42578125" style="488" customWidth="1"/>
    <col min="13321" max="13321" width="19.140625" style="488" customWidth="1"/>
    <col min="13322" max="13322" width="8.140625" style="488" customWidth="1"/>
    <col min="13323" max="13323" width="12.140625" style="488" customWidth="1"/>
    <col min="13324" max="13324" width="14.42578125" style="488" customWidth="1"/>
    <col min="13325" max="13325" width="13.5703125" style="488" customWidth="1"/>
    <col min="13326" max="13568" width="9.140625" style="488"/>
    <col min="13569" max="13569" width="5.5703125" style="488" customWidth="1"/>
    <col min="13570" max="13570" width="11.5703125" style="488" customWidth="1"/>
    <col min="13571" max="13571" width="35.7109375" style="488" customWidth="1"/>
    <col min="13572" max="13572" width="9.140625" style="488" customWidth="1"/>
    <col min="13573" max="13573" width="11.5703125" style="488" customWidth="1"/>
    <col min="13574" max="13574" width="15.7109375" style="488" customWidth="1"/>
    <col min="13575" max="13575" width="13.42578125" style="488" customWidth="1"/>
    <col min="13576" max="13576" width="11.42578125" style="488" customWidth="1"/>
    <col min="13577" max="13577" width="19.140625" style="488" customWidth="1"/>
    <col min="13578" max="13578" width="8.140625" style="488" customWidth="1"/>
    <col min="13579" max="13579" width="12.140625" style="488" customWidth="1"/>
    <col min="13580" max="13580" width="14.42578125" style="488" customWidth="1"/>
    <col min="13581" max="13581" width="13.5703125" style="488" customWidth="1"/>
    <col min="13582" max="13824" width="9.140625" style="488"/>
    <col min="13825" max="13825" width="5.5703125" style="488" customWidth="1"/>
    <col min="13826" max="13826" width="11.5703125" style="488" customWidth="1"/>
    <col min="13827" max="13827" width="35.7109375" style="488" customWidth="1"/>
    <col min="13828" max="13828" width="9.140625" style="488" customWidth="1"/>
    <col min="13829" max="13829" width="11.5703125" style="488" customWidth="1"/>
    <col min="13830" max="13830" width="15.7109375" style="488" customWidth="1"/>
    <col min="13831" max="13831" width="13.42578125" style="488" customWidth="1"/>
    <col min="13832" max="13832" width="11.42578125" style="488" customWidth="1"/>
    <col min="13833" max="13833" width="19.140625" style="488" customWidth="1"/>
    <col min="13834" max="13834" width="8.140625" style="488" customWidth="1"/>
    <col min="13835" max="13835" width="12.140625" style="488" customWidth="1"/>
    <col min="13836" max="13836" width="14.42578125" style="488" customWidth="1"/>
    <col min="13837" max="13837" width="13.5703125" style="488" customWidth="1"/>
    <col min="13838" max="14080" width="9.140625" style="488"/>
    <col min="14081" max="14081" width="5.5703125" style="488" customWidth="1"/>
    <col min="14082" max="14082" width="11.5703125" style="488" customWidth="1"/>
    <col min="14083" max="14083" width="35.7109375" style="488" customWidth="1"/>
    <col min="14084" max="14084" width="9.140625" style="488" customWidth="1"/>
    <col min="14085" max="14085" width="11.5703125" style="488" customWidth="1"/>
    <col min="14086" max="14086" width="15.7109375" style="488" customWidth="1"/>
    <col min="14087" max="14087" width="13.42578125" style="488" customWidth="1"/>
    <col min="14088" max="14088" width="11.42578125" style="488" customWidth="1"/>
    <col min="14089" max="14089" width="19.140625" style="488" customWidth="1"/>
    <col min="14090" max="14090" width="8.140625" style="488" customWidth="1"/>
    <col min="14091" max="14091" width="12.140625" style="488" customWidth="1"/>
    <col min="14092" max="14092" width="14.42578125" style="488" customWidth="1"/>
    <col min="14093" max="14093" width="13.5703125" style="488" customWidth="1"/>
    <col min="14094" max="14336" width="9.140625" style="488"/>
    <col min="14337" max="14337" width="5.5703125" style="488" customWidth="1"/>
    <col min="14338" max="14338" width="11.5703125" style="488" customWidth="1"/>
    <col min="14339" max="14339" width="35.7109375" style="488" customWidth="1"/>
    <col min="14340" max="14340" width="9.140625" style="488" customWidth="1"/>
    <col min="14341" max="14341" width="11.5703125" style="488" customWidth="1"/>
    <col min="14342" max="14342" width="15.7109375" style="488" customWidth="1"/>
    <col min="14343" max="14343" width="13.42578125" style="488" customWidth="1"/>
    <col min="14344" max="14344" width="11.42578125" style="488" customWidth="1"/>
    <col min="14345" max="14345" width="19.140625" style="488" customWidth="1"/>
    <col min="14346" max="14346" width="8.140625" style="488" customWidth="1"/>
    <col min="14347" max="14347" width="12.140625" style="488" customWidth="1"/>
    <col min="14348" max="14348" width="14.42578125" style="488" customWidth="1"/>
    <col min="14349" max="14349" width="13.5703125" style="488" customWidth="1"/>
    <col min="14350" max="14592" width="9.140625" style="488"/>
    <col min="14593" max="14593" width="5.5703125" style="488" customWidth="1"/>
    <col min="14594" max="14594" width="11.5703125" style="488" customWidth="1"/>
    <col min="14595" max="14595" width="35.7109375" style="488" customWidth="1"/>
    <col min="14596" max="14596" width="9.140625" style="488" customWidth="1"/>
    <col min="14597" max="14597" width="11.5703125" style="488" customWidth="1"/>
    <col min="14598" max="14598" width="15.7109375" style="488" customWidth="1"/>
    <col min="14599" max="14599" width="13.42578125" style="488" customWidth="1"/>
    <col min="14600" max="14600" width="11.42578125" style="488" customWidth="1"/>
    <col min="14601" max="14601" width="19.140625" style="488" customWidth="1"/>
    <col min="14602" max="14602" width="8.140625" style="488" customWidth="1"/>
    <col min="14603" max="14603" width="12.140625" style="488" customWidth="1"/>
    <col min="14604" max="14604" width="14.42578125" style="488" customWidth="1"/>
    <col min="14605" max="14605" width="13.5703125" style="488" customWidth="1"/>
    <col min="14606" max="14848" width="9.140625" style="488"/>
    <col min="14849" max="14849" width="5.5703125" style="488" customWidth="1"/>
    <col min="14850" max="14850" width="11.5703125" style="488" customWidth="1"/>
    <col min="14851" max="14851" width="35.7109375" style="488" customWidth="1"/>
    <col min="14852" max="14852" width="9.140625" style="488" customWidth="1"/>
    <col min="14853" max="14853" width="11.5703125" style="488" customWidth="1"/>
    <col min="14854" max="14854" width="15.7109375" style="488" customWidth="1"/>
    <col min="14855" max="14855" width="13.42578125" style="488" customWidth="1"/>
    <col min="14856" max="14856" width="11.42578125" style="488" customWidth="1"/>
    <col min="14857" max="14857" width="19.140625" style="488" customWidth="1"/>
    <col min="14858" max="14858" width="8.140625" style="488" customWidth="1"/>
    <col min="14859" max="14859" width="12.140625" style="488" customWidth="1"/>
    <col min="14860" max="14860" width="14.42578125" style="488" customWidth="1"/>
    <col min="14861" max="14861" width="13.5703125" style="488" customWidth="1"/>
    <col min="14862" max="15104" width="9.140625" style="488"/>
    <col min="15105" max="15105" width="5.5703125" style="488" customWidth="1"/>
    <col min="15106" max="15106" width="11.5703125" style="488" customWidth="1"/>
    <col min="15107" max="15107" width="35.7109375" style="488" customWidth="1"/>
    <col min="15108" max="15108" width="9.140625" style="488" customWidth="1"/>
    <col min="15109" max="15109" width="11.5703125" style="488" customWidth="1"/>
    <col min="15110" max="15110" width="15.7109375" style="488" customWidth="1"/>
    <col min="15111" max="15111" width="13.42578125" style="488" customWidth="1"/>
    <col min="15112" max="15112" width="11.42578125" style="488" customWidth="1"/>
    <col min="15113" max="15113" width="19.140625" style="488" customWidth="1"/>
    <col min="15114" max="15114" width="8.140625" style="488" customWidth="1"/>
    <col min="15115" max="15115" width="12.140625" style="488" customWidth="1"/>
    <col min="15116" max="15116" width="14.42578125" style="488" customWidth="1"/>
    <col min="15117" max="15117" width="13.5703125" style="488" customWidth="1"/>
    <col min="15118" max="15360" width="9.140625" style="488"/>
    <col min="15361" max="15361" width="5.5703125" style="488" customWidth="1"/>
    <col min="15362" max="15362" width="11.5703125" style="488" customWidth="1"/>
    <col min="15363" max="15363" width="35.7109375" style="488" customWidth="1"/>
    <col min="15364" max="15364" width="9.140625" style="488" customWidth="1"/>
    <col min="15365" max="15365" width="11.5703125" style="488" customWidth="1"/>
    <col min="15366" max="15366" width="15.7109375" style="488" customWidth="1"/>
    <col min="15367" max="15367" width="13.42578125" style="488" customWidth="1"/>
    <col min="15368" max="15368" width="11.42578125" style="488" customWidth="1"/>
    <col min="15369" max="15369" width="19.140625" style="488" customWidth="1"/>
    <col min="15370" max="15370" width="8.140625" style="488" customWidth="1"/>
    <col min="15371" max="15371" width="12.140625" style="488" customWidth="1"/>
    <col min="15372" max="15372" width="14.42578125" style="488" customWidth="1"/>
    <col min="15373" max="15373" width="13.5703125" style="488" customWidth="1"/>
    <col min="15374" max="15616" width="9.140625" style="488"/>
    <col min="15617" max="15617" width="5.5703125" style="488" customWidth="1"/>
    <col min="15618" max="15618" width="11.5703125" style="488" customWidth="1"/>
    <col min="15619" max="15619" width="35.7109375" style="488" customWidth="1"/>
    <col min="15620" max="15620" width="9.140625" style="488" customWidth="1"/>
    <col min="15621" max="15621" width="11.5703125" style="488" customWidth="1"/>
    <col min="15622" max="15622" width="15.7109375" style="488" customWidth="1"/>
    <col min="15623" max="15623" width="13.42578125" style="488" customWidth="1"/>
    <col min="15624" max="15624" width="11.42578125" style="488" customWidth="1"/>
    <col min="15625" max="15625" width="19.140625" style="488" customWidth="1"/>
    <col min="15626" max="15626" width="8.140625" style="488" customWidth="1"/>
    <col min="15627" max="15627" width="12.140625" style="488" customWidth="1"/>
    <col min="15628" max="15628" width="14.42578125" style="488" customWidth="1"/>
    <col min="15629" max="15629" width="13.5703125" style="488" customWidth="1"/>
    <col min="15630" max="15872" width="9.140625" style="488"/>
    <col min="15873" max="15873" width="5.5703125" style="488" customWidth="1"/>
    <col min="15874" max="15874" width="11.5703125" style="488" customWidth="1"/>
    <col min="15875" max="15875" width="35.7109375" style="488" customWidth="1"/>
    <col min="15876" max="15876" width="9.140625" style="488" customWidth="1"/>
    <col min="15877" max="15877" width="11.5703125" style="488" customWidth="1"/>
    <col min="15878" max="15878" width="15.7109375" style="488" customWidth="1"/>
    <col min="15879" max="15879" width="13.42578125" style="488" customWidth="1"/>
    <col min="15880" max="15880" width="11.42578125" style="488" customWidth="1"/>
    <col min="15881" max="15881" width="19.140625" style="488" customWidth="1"/>
    <col min="15882" max="15882" width="8.140625" style="488" customWidth="1"/>
    <col min="15883" max="15883" width="12.140625" style="488" customWidth="1"/>
    <col min="15884" max="15884" width="14.42578125" style="488" customWidth="1"/>
    <col min="15885" max="15885" width="13.5703125" style="488" customWidth="1"/>
    <col min="15886" max="16128" width="9.140625" style="488"/>
    <col min="16129" max="16129" width="5.5703125" style="488" customWidth="1"/>
    <col min="16130" max="16130" width="11.5703125" style="488" customWidth="1"/>
    <col min="16131" max="16131" width="35.7109375" style="488" customWidth="1"/>
    <col min="16132" max="16132" width="9.140625" style="488" customWidth="1"/>
    <col min="16133" max="16133" width="11.5703125" style="488" customWidth="1"/>
    <col min="16134" max="16134" width="15.7109375" style="488" customWidth="1"/>
    <col min="16135" max="16135" width="13.42578125" style="488" customWidth="1"/>
    <col min="16136" max="16136" width="11.42578125" style="488" customWidth="1"/>
    <col min="16137" max="16137" width="19.140625" style="488" customWidth="1"/>
    <col min="16138" max="16138" width="8.140625" style="488" customWidth="1"/>
    <col min="16139" max="16139" width="12.140625" style="488" customWidth="1"/>
    <col min="16140" max="16140" width="14.42578125" style="488" customWidth="1"/>
    <col min="16141" max="16141" width="13.5703125" style="488" customWidth="1"/>
    <col min="16142" max="16384" width="9.140625" style="488"/>
  </cols>
  <sheetData>
    <row r="1" spans="1:15" ht="20.25" customHeight="1" x14ac:dyDescent="0.2">
      <c r="A1" s="556" t="s">
        <v>592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487"/>
    </row>
    <row r="2" spans="1:15" ht="20.25" customHeight="1" x14ac:dyDescent="0.2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</row>
    <row r="3" spans="1:15" ht="19.5" customHeight="1" x14ac:dyDescent="0.2">
      <c r="A3" s="557" t="s">
        <v>593</v>
      </c>
      <c r="B3" s="558" t="s">
        <v>431</v>
      </c>
      <c r="C3" s="557" t="s">
        <v>594</v>
      </c>
      <c r="D3" s="557" t="s">
        <v>595</v>
      </c>
      <c r="E3" s="560" t="s">
        <v>596</v>
      </c>
      <c r="F3" s="561" t="s">
        <v>18</v>
      </c>
      <c r="G3" s="562"/>
      <c r="H3" s="562"/>
      <c r="I3" s="563"/>
      <c r="J3" s="560" t="s">
        <v>597</v>
      </c>
      <c r="K3" s="489" t="s">
        <v>18</v>
      </c>
      <c r="L3" s="560" t="s">
        <v>598</v>
      </c>
      <c r="M3" s="560" t="s">
        <v>599</v>
      </c>
    </row>
    <row r="4" spans="1:15" ht="65.25" customHeight="1" x14ac:dyDescent="0.2">
      <c r="A4" s="557"/>
      <c r="B4" s="559"/>
      <c r="C4" s="557"/>
      <c r="D4" s="557"/>
      <c r="E4" s="560"/>
      <c r="F4" s="489" t="s">
        <v>600</v>
      </c>
      <c r="G4" s="489" t="s">
        <v>601</v>
      </c>
      <c r="H4" s="489" t="s">
        <v>746</v>
      </c>
      <c r="I4" s="489" t="s">
        <v>747</v>
      </c>
      <c r="J4" s="560"/>
      <c r="K4" s="489" t="s">
        <v>600</v>
      </c>
      <c r="L4" s="560"/>
      <c r="M4" s="560"/>
    </row>
    <row r="5" spans="1:15" x14ac:dyDescent="0.2">
      <c r="A5" s="490">
        <v>1</v>
      </c>
      <c r="B5" s="474" t="s">
        <v>320</v>
      </c>
      <c r="C5" s="491" t="s">
        <v>602</v>
      </c>
      <c r="D5" s="492" t="s">
        <v>603</v>
      </c>
      <c r="E5" s="493">
        <f>726-5-20</f>
        <v>701</v>
      </c>
      <c r="F5" s="493"/>
      <c r="G5" s="493"/>
      <c r="H5" s="493"/>
      <c r="I5" s="493">
        <f>E5-F5-G5-H5</f>
        <v>701</v>
      </c>
      <c r="J5" s="492"/>
      <c r="K5" s="492"/>
      <c r="L5" s="493">
        <f t="shared" ref="L5:L67" si="0">E5+J5</f>
        <v>701</v>
      </c>
      <c r="M5" s="492"/>
      <c r="O5" s="494"/>
    </row>
    <row r="6" spans="1:15" x14ac:dyDescent="0.2">
      <c r="A6" s="490">
        <v>2</v>
      </c>
      <c r="B6" s="474" t="s">
        <v>315</v>
      </c>
      <c r="C6" s="491" t="s">
        <v>604</v>
      </c>
      <c r="D6" s="492" t="s">
        <v>603</v>
      </c>
      <c r="E6" s="493">
        <f>701+20</f>
        <v>721</v>
      </c>
      <c r="F6" s="493"/>
      <c r="G6" s="493"/>
      <c r="H6" s="493"/>
      <c r="I6" s="493">
        <f t="shared" ref="I6:I69" si="1">E6-F6-G6-H6</f>
        <v>721</v>
      </c>
      <c r="J6" s="495"/>
      <c r="K6" s="495"/>
      <c r="L6" s="493">
        <f t="shared" si="0"/>
        <v>721</v>
      </c>
      <c r="M6" s="492"/>
      <c r="O6" s="494"/>
    </row>
    <row r="7" spans="1:15" x14ac:dyDescent="0.2">
      <c r="A7" s="490">
        <v>3</v>
      </c>
      <c r="B7" s="496" t="s">
        <v>41</v>
      </c>
      <c r="C7" s="491" t="s">
        <v>42</v>
      </c>
      <c r="D7" s="492" t="s">
        <v>603</v>
      </c>
      <c r="E7" s="493">
        <f>3076+1</f>
        <v>3077</v>
      </c>
      <c r="F7" s="493"/>
      <c r="G7" s="493"/>
      <c r="H7" s="493"/>
      <c r="I7" s="493">
        <f t="shared" si="1"/>
        <v>3077</v>
      </c>
      <c r="J7" s="495"/>
      <c r="K7" s="495"/>
      <c r="L7" s="493">
        <f t="shared" si="0"/>
        <v>3077</v>
      </c>
      <c r="M7" s="492"/>
      <c r="O7" s="494"/>
    </row>
    <row r="8" spans="1:15" ht="11.25" customHeight="1" x14ac:dyDescent="0.2">
      <c r="A8" s="490">
        <v>4</v>
      </c>
      <c r="B8" s="497" t="s">
        <v>143</v>
      </c>
      <c r="C8" s="491" t="s">
        <v>144</v>
      </c>
      <c r="D8" s="492" t="s">
        <v>603</v>
      </c>
      <c r="E8" s="493">
        <v>1859</v>
      </c>
      <c r="F8" s="493"/>
      <c r="G8" s="493"/>
      <c r="H8" s="493"/>
      <c r="I8" s="493">
        <f t="shared" si="1"/>
        <v>1859</v>
      </c>
      <c r="J8" s="495"/>
      <c r="K8" s="495"/>
      <c r="L8" s="493">
        <f t="shared" si="0"/>
        <v>1859</v>
      </c>
      <c r="M8" s="492"/>
      <c r="O8" s="494"/>
    </row>
    <row r="9" spans="1:15" x14ac:dyDescent="0.2">
      <c r="A9" s="490">
        <v>5</v>
      </c>
      <c r="B9" s="496" t="s">
        <v>43</v>
      </c>
      <c r="C9" s="491" t="s">
        <v>44</v>
      </c>
      <c r="D9" s="492" t="s">
        <v>603</v>
      </c>
      <c r="E9" s="493">
        <v>4086</v>
      </c>
      <c r="F9" s="493"/>
      <c r="G9" s="493"/>
      <c r="H9" s="493"/>
      <c r="I9" s="493">
        <f t="shared" si="1"/>
        <v>4086</v>
      </c>
      <c r="J9" s="495"/>
      <c r="K9" s="495"/>
      <c r="L9" s="493">
        <f t="shared" si="0"/>
        <v>4086</v>
      </c>
      <c r="M9" s="492"/>
      <c r="O9" s="494"/>
    </row>
    <row r="10" spans="1:15" x14ac:dyDescent="0.2">
      <c r="A10" s="490">
        <v>6</v>
      </c>
      <c r="B10" s="474" t="s">
        <v>21</v>
      </c>
      <c r="C10" s="491" t="s">
        <v>22</v>
      </c>
      <c r="D10" s="492" t="s">
        <v>603</v>
      </c>
      <c r="E10" s="493">
        <f>2254-1</f>
        <v>2253</v>
      </c>
      <c r="F10" s="493"/>
      <c r="G10" s="493"/>
      <c r="H10" s="493"/>
      <c r="I10" s="493">
        <f t="shared" si="1"/>
        <v>2253</v>
      </c>
      <c r="J10" s="495"/>
      <c r="K10" s="495"/>
      <c r="L10" s="493">
        <f t="shared" si="0"/>
        <v>2253</v>
      </c>
      <c r="M10" s="492"/>
      <c r="O10" s="494"/>
    </row>
    <row r="11" spans="1:15" x14ac:dyDescent="0.2">
      <c r="A11" s="490">
        <v>7</v>
      </c>
      <c r="B11" s="496" t="s">
        <v>45</v>
      </c>
      <c r="C11" s="491" t="s">
        <v>198</v>
      </c>
      <c r="D11" s="492" t="s">
        <v>603</v>
      </c>
      <c r="E11" s="493">
        <f>6313+30-5</f>
        <v>6338</v>
      </c>
      <c r="F11" s="498">
        <f>5-5</f>
        <v>0</v>
      </c>
      <c r="G11" s="493"/>
      <c r="H11" s="493">
        <v>551</v>
      </c>
      <c r="I11" s="493">
        <f t="shared" si="1"/>
        <v>5787</v>
      </c>
      <c r="J11" s="495"/>
      <c r="K11" s="495"/>
      <c r="L11" s="493">
        <f t="shared" si="0"/>
        <v>6338</v>
      </c>
      <c r="M11" s="492"/>
      <c r="O11" s="494"/>
    </row>
    <row r="12" spans="1:15" x14ac:dyDescent="0.2">
      <c r="A12" s="490">
        <v>8</v>
      </c>
      <c r="B12" s="474" t="s">
        <v>83</v>
      </c>
      <c r="C12" s="491" t="s">
        <v>203</v>
      </c>
      <c r="D12" s="492" t="s">
        <v>603</v>
      </c>
      <c r="E12" s="493">
        <f>2966-6</f>
        <v>2960</v>
      </c>
      <c r="F12" s="498">
        <f>6-6</f>
        <v>0</v>
      </c>
      <c r="G12" s="493"/>
      <c r="H12" s="493"/>
      <c r="I12" s="493">
        <f t="shared" si="1"/>
        <v>2960</v>
      </c>
      <c r="J12" s="495"/>
      <c r="K12" s="495"/>
      <c r="L12" s="493">
        <f t="shared" si="0"/>
        <v>2960</v>
      </c>
      <c r="M12" s="492"/>
      <c r="O12" s="494"/>
    </row>
    <row r="13" spans="1:15" x14ac:dyDescent="0.2">
      <c r="A13" s="490">
        <v>9</v>
      </c>
      <c r="B13" s="497" t="s">
        <v>23</v>
      </c>
      <c r="C13" s="491" t="s">
        <v>195</v>
      </c>
      <c r="D13" s="492" t="s">
        <v>603</v>
      </c>
      <c r="E13" s="493">
        <v>1813</v>
      </c>
      <c r="F13" s="493">
        <v>7</v>
      </c>
      <c r="G13" s="493"/>
      <c r="H13" s="493"/>
      <c r="I13" s="493">
        <f t="shared" si="1"/>
        <v>1806</v>
      </c>
      <c r="J13" s="495"/>
      <c r="K13" s="495"/>
      <c r="L13" s="493">
        <f t="shared" si="0"/>
        <v>1813</v>
      </c>
      <c r="M13" s="492"/>
      <c r="O13" s="494"/>
    </row>
    <row r="14" spans="1:15" x14ac:dyDescent="0.2">
      <c r="A14" s="490">
        <v>10</v>
      </c>
      <c r="B14" s="496" t="s">
        <v>145</v>
      </c>
      <c r="C14" s="491" t="s">
        <v>146</v>
      </c>
      <c r="D14" s="492" t="s">
        <v>603</v>
      </c>
      <c r="E14" s="493">
        <f>2122+30-3-19</f>
        <v>2130</v>
      </c>
      <c r="F14" s="498">
        <f>3-3</f>
        <v>0</v>
      </c>
      <c r="G14" s="493"/>
      <c r="H14" s="493"/>
      <c r="I14" s="493">
        <f t="shared" si="1"/>
        <v>2130</v>
      </c>
      <c r="J14" s="495"/>
      <c r="K14" s="495"/>
      <c r="L14" s="493">
        <f t="shared" si="0"/>
        <v>2130</v>
      </c>
      <c r="M14" s="492"/>
      <c r="O14" s="494"/>
    </row>
    <row r="15" spans="1:15" ht="11.25" customHeight="1" x14ac:dyDescent="0.2">
      <c r="A15" s="490">
        <v>11</v>
      </c>
      <c r="B15" s="499" t="s">
        <v>86</v>
      </c>
      <c r="C15" s="491" t="s">
        <v>87</v>
      </c>
      <c r="D15" s="492" t="s">
        <v>603</v>
      </c>
      <c r="E15" s="493">
        <f>2294+2-3</f>
        <v>2293</v>
      </c>
      <c r="F15" s="498">
        <f>3-3</f>
        <v>0</v>
      </c>
      <c r="G15" s="493"/>
      <c r="H15" s="493"/>
      <c r="I15" s="493">
        <f t="shared" si="1"/>
        <v>2293</v>
      </c>
      <c r="J15" s="495"/>
      <c r="K15" s="495"/>
      <c r="L15" s="493">
        <f t="shared" si="0"/>
        <v>2293</v>
      </c>
      <c r="M15" s="492"/>
      <c r="O15" s="494"/>
    </row>
    <row r="16" spans="1:15" x14ac:dyDescent="0.2">
      <c r="A16" s="490">
        <v>12</v>
      </c>
      <c r="B16" s="496" t="s">
        <v>147</v>
      </c>
      <c r="C16" s="491" t="s">
        <v>148</v>
      </c>
      <c r="D16" s="492" t="s">
        <v>603</v>
      </c>
      <c r="E16" s="493">
        <v>5133</v>
      </c>
      <c r="F16" s="493">
        <v>2</v>
      </c>
      <c r="G16" s="493"/>
      <c r="H16" s="493">
        <v>88</v>
      </c>
      <c r="I16" s="493">
        <f t="shared" si="1"/>
        <v>5043</v>
      </c>
      <c r="J16" s="495"/>
      <c r="K16" s="495"/>
      <c r="L16" s="493">
        <f t="shared" si="0"/>
        <v>5133</v>
      </c>
      <c r="M16" s="492"/>
      <c r="O16" s="494"/>
    </row>
    <row r="17" spans="1:15" x14ac:dyDescent="0.2">
      <c r="A17" s="490">
        <v>13</v>
      </c>
      <c r="B17" s="497" t="s">
        <v>149</v>
      </c>
      <c r="C17" s="491" t="s">
        <v>150</v>
      </c>
      <c r="D17" s="492" t="s">
        <v>603</v>
      </c>
      <c r="E17" s="493">
        <f>2587+40-2-58</f>
        <v>2567</v>
      </c>
      <c r="F17" s="498">
        <f>2-2</f>
        <v>0</v>
      </c>
      <c r="G17" s="493"/>
      <c r="H17" s="493"/>
      <c r="I17" s="493">
        <f t="shared" si="1"/>
        <v>2567</v>
      </c>
      <c r="J17" s="495"/>
      <c r="K17" s="495"/>
      <c r="L17" s="493">
        <f t="shared" si="0"/>
        <v>2567</v>
      </c>
      <c r="M17" s="492"/>
      <c r="O17" s="494"/>
    </row>
    <row r="18" spans="1:15" x14ac:dyDescent="0.2">
      <c r="A18" s="490">
        <v>14</v>
      </c>
      <c r="B18" s="497" t="s">
        <v>151</v>
      </c>
      <c r="C18" s="491" t="s">
        <v>152</v>
      </c>
      <c r="D18" s="492" t="s">
        <v>603</v>
      </c>
      <c r="E18" s="493">
        <v>3516</v>
      </c>
      <c r="F18" s="493">
        <v>1</v>
      </c>
      <c r="G18" s="493"/>
      <c r="H18" s="493"/>
      <c r="I18" s="493">
        <f t="shared" si="1"/>
        <v>3515</v>
      </c>
      <c r="J18" s="495"/>
      <c r="K18" s="495"/>
      <c r="L18" s="493">
        <f t="shared" si="0"/>
        <v>3516</v>
      </c>
      <c r="M18" s="492"/>
      <c r="O18" s="494"/>
    </row>
    <row r="19" spans="1:15" x14ac:dyDescent="0.2">
      <c r="A19" s="490">
        <v>15</v>
      </c>
      <c r="B19" s="474" t="s">
        <v>26</v>
      </c>
      <c r="C19" s="491" t="s">
        <v>196</v>
      </c>
      <c r="D19" s="492" t="s">
        <v>603</v>
      </c>
      <c r="E19" s="493">
        <v>2004</v>
      </c>
      <c r="F19" s="493">
        <v>5</v>
      </c>
      <c r="G19" s="493"/>
      <c r="H19" s="493"/>
      <c r="I19" s="493">
        <f t="shared" si="1"/>
        <v>1999</v>
      </c>
      <c r="J19" s="495"/>
      <c r="K19" s="495"/>
      <c r="L19" s="493">
        <f t="shared" si="0"/>
        <v>2004</v>
      </c>
      <c r="M19" s="492"/>
      <c r="O19" s="494"/>
    </row>
    <row r="20" spans="1:15" x14ac:dyDescent="0.2">
      <c r="A20" s="490">
        <v>16</v>
      </c>
      <c r="B20" s="474" t="s">
        <v>48</v>
      </c>
      <c r="C20" s="491" t="s">
        <v>49</v>
      </c>
      <c r="D20" s="492" t="s">
        <v>603</v>
      </c>
      <c r="E20" s="493">
        <f>1656+30</f>
        <v>1686</v>
      </c>
      <c r="F20" s="493"/>
      <c r="G20" s="493"/>
      <c r="H20" s="493"/>
      <c r="I20" s="493">
        <f t="shared" si="1"/>
        <v>1686</v>
      </c>
      <c r="J20" s="495"/>
      <c r="K20" s="495"/>
      <c r="L20" s="493">
        <f t="shared" si="0"/>
        <v>1686</v>
      </c>
      <c r="M20" s="492"/>
      <c r="O20" s="494"/>
    </row>
    <row r="21" spans="1:15" x14ac:dyDescent="0.2">
      <c r="A21" s="490">
        <v>17</v>
      </c>
      <c r="B21" s="474" t="s">
        <v>27</v>
      </c>
      <c r="C21" s="491" t="s">
        <v>28</v>
      </c>
      <c r="D21" s="492" t="s">
        <v>603</v>
      </c>
      <c r="E21" s="493">
        <f>2418+2</f>
        <v>2420</v>
      </c>
      <c r="F21" s="493"/>
      <c r="G21" s="493"/>
      <c r="H21" s="493"/>
      <c r="I21" s="493">
        <f t="shared" si="1"/>
        <v>2420</v>
      </c>
      <c r="J21" s="495"/>
      <c r="K21" s="495"/>
      <c r="L21" s="493">
        <f t="shared" si="0"/>
        <v>2420</v>
      </c>
      <c r="M21" s="492"/>
      <c r="O21" s="494"/>
    </row>
    <row r="22" spans="1:15" x14ac:dyDescent="0.2">
      <c r="A22" s="490">
        <v>18</v>
      </c>
      <c r="B22" s="496" t="s">
        <v>88</v>
      </c>
      <c r="C22" s="491" t="s">
        <v>204</v>
      </c>
      <c r="D22" s="492" t="s">
        <v>603</v>
      </c>
      <c r="E22" s="493">
        <f>3483</f>
        <v>3483</v>
      </c>
      <c r="F22" s="493">
        <f>0+1</f>
        <v>1</v>
      </c>
      <c r="G22" s="493"/>
      <c r="H22" s="493">
        <v>1</v>
      </c>
      <c r="I22" s="493">
        <f t="shared" si="1"/>
        <v>3481</v>
      </c>
      <c r="J22" s="495"/>
      <c r="K22" s="495"/>
      <c r="L22" s="493">
        <f t="shared" si="0"/>
        <v>3483</v>
      </c>
      <c r="M22" s="492"/>
      <c r="O22" s="494"/>
    </row>
    <row r="23" spans="1:15" x14ac:dyDescent="0.2">
      <c r="A23" s="490">
        <v>19</v>
      </c>
      <c r="B23" s="497" t="s">
        <v>89</v>
      </c>
      <c r="C23" s="491" t="s">
        <v>90</v>
      </c>
      <c r="D23" s="492" t="s">
        <v>603</v>
      </c>
      <c r="E23" s="493">
        <f>4253+29</f>
        <v>4282</v>
      </c>
      <c r="F23" s="493"/>
      <c r="G23" s="493"/>
      <c r="H23" s="493"/>
      <c r="I23" s="493">
        <f t="shared" si="1"/>
        <v>4282</v>
      </c>
      <c r="J23" s="495"/>
      <c r="K23" s="495"/>
      <c r="L23" s="493">
        <f t="shared" si="0"/>
        <v>4282</v>
      </c>
      <c r="M23" s="492"/>
      <c r="O23" s="494"/>
    </row>
    <row r="24" spans="1:15" x14ac:dyDescent="0.2">
      <c r="A24" s="490">
        <v>20</v>
      </c>
      <c r="B24" s="496" t="s">
        <v>91</v>
      </c>
      <c r="C24" s="491" t="s">
        <v>92</v>
      </c>
      <c r="D24" s="492" t="s">
        <v>603</v>
      </c>
      <c r="E24" s="493">
        <v>1572</v>
      </c>
      <c r="F24" s="493"/>
      <c r="G24" s="493"/>
      <c r="H24" s="493"/>
      <c r="I24" s="493">
        <f t="shared" si="1"/>
        <v>1572</v>
      </c>
      <c r="J24" s="495"/>
      <c r="K24" s="495"/>
      <c r="L24" s="493">
        <f t="shared" si="0"/>
        <v>1572</v>
      </c>
      <c r="M24" s="492"/>
      <c r="O24" s="494"/>
    </row>
    <row r="25" spans="1:15" x14ac:dyDescent="0.2">
      <c r="A25" s="490">
        <v>21</v>
      </c>
      <c r="B25" s="474" t="s">
        <v>50</v>
      </c>
      <c r="C25" s="491" t="s">
        <v>199</v>
      </c>
      <c r="D25" s="492" t="s">
        <v>603</v>
      </c>
      <c r="E25" s="493">
        <v>1596</v>
      </c>
      <c r="F25" s="493"/>
      <c r="G25" s="493"/>
      <c r="H25" s="493"/>
      <c r="I25" s="493">
        <f t="shared" si="1"/>
        <v>1596</v>
      </c>
      <c r="J25" s="495"/>
      <c r="K25" s="495"/>
      <c r="L25" s="493">
        <f t="shared" si="0"/>
        <v>1596</v>
      </c>
      <c r="M25" s="492"/>
      <c r="O25" s="494"/>
    </row>
    <row r="26" spans="1:15" x14ac:dyDescent="0.2">
      <c r="A26" s="490">
        <v>22</v>
      </c>
      <c r="B26" s="474" t="s">
        <v>153</v>
      </c>
      <c r="C26" s="491" t="s">
        <v>154</v>
      </c>
      <c r="D26" s="492" t="s">
        <v>603</v>
      </c>
      <c r="E26" s="493">
        <v>3394</v>
      </c>
      <c r="F26" s="493"/>
      <c r="G26" s="493"/>
      <c r="H26" s="493">
        <v>236</v>
      </c>
      <c r="I26" s="493">
        <f t="shared" si="1"/>
        <v>3158</v>
      </c>
      <c r="J26" s="495"/>
      <c r="K26" s="495"/>
      <c r="L26" s="493">
        <f t="shared" si="0"/>
        <v>3394</v>
      </c>
      <c r="M26" s="492"/>
      <c r="O26" s="494"/>
    </row>
    <row r="27" spans="1:15" x14ac:dyDescent="0.2">
      <c r="A27" s="490">
        <v>23</v>
      </c>
      <c r="B27" s="497" t="s">
        <v>68</v>
      </c>
      <c r="C27" s="491" t="s">
        <v>69</v>
      </c>
      <c r="D27" s="492" t="s">
        <v>603</v>
      </c>
      <c r="E27" s="493">
        <f>2897-1</f>
        <v>2896</v>
      </c>
      <c r="F27" s="498">
        <f>1-1</f>
        <v>0</v>
      </c>
      <c r="G27" s="493"/>
      <c r="H27" s="493"/>
      <c r="I27" s="493">
        <f t="shared" si="1"/>
        <v>2896</v>
      </c>
      <c r="J27" s="495"/>
      <c r="K27" s="495"/>
      <c r="L27" s="493">
        <f t="shared" si="0"/>
        <v>2896</v>
      </c>
      <c r="M27" s="492"/>
      <c r="O27" s="494"/>
    </row>
    <row r="28" spans="1:15" x14ac:dyDescent="0.2">
      <c r="A28" s="490">
        <v>24</v>
      </c>
      <c r="B28" s="496" t="s">
        <v>31</v>
      </c>
      <c r="C28" s="491" t="s">
        <v>32</v>
      </c>
      <c r="D28" s="492" t="s">
        <v>603</v>
      </c>
      <c r="E28" s="493">
        <v>1972</v>
      </c>
      <c r="F28" s="493"/>
      <c r="G28" s="493"/>
      <c r="H28" s="493"/>
      <c r="I28" s="493">
        <f t="shared" si="1"/>
        <v>1972</v>
      </c>
      <c r="J28" s="495"/>
      <c r="K28" s="495"/>
      <c r="L28" s="493">
        <f t="shared" si="0"/>
        <v>1972</v>
      </c>
      <c r="M28" s="492"/>
      <c r="O28" s="494"/>
    </row>
    <row r="29" spans="1:15" x14ac:dyDescent="0.2">
      <c r="A29" s="490">
        <v>25</v>
      </c>
      <c r="B29" s="496" t="s">
        <v>33</v>
      </c>
      <c r="C29" s="491" t="s">
        <v>34</v>
      </c>
      <c r="D29" s="492" t="s">
        <v>603</v>
      </c>
      <c r="E29" s="493">
        <v>2915</v>
      </c>
      <c r="F29" s="493"/>
      <c r="G29" s="493"/>
      <c r="H29" s="493"/>
      <c r="I29" s="493">
        <f t="shared" si="1"/>
        <v>2915</v>
      </c>
      <c r="J29" s="495"/>
      <c r="K29" s="495"/>
      <c r="L29" s="493">
        <f t="shared" si="0"/>
        <v>2915</v>
      </c>
      <c r="M29" s="492"/>
      <c r="O29" s="494"/>
    </row>
    <row r="30" spans="1:15" x14ac:dyDescent="0.2">
      <c r="A30" s="490">
        <v>26</v>
      </c>
      <c r="B30" s="474" t="s">
        <v>155</v>
      </c>
      <c r="C30" s="491" t="s">
        <v>156</v>
      </c>
      <c r="D30" s="492" t="s">
        <v>603</v>
      </c>
      <c r="E30" s="493">
        <f>4506-8</f>
        <v>4498</v>
      </c>
      <c r="F30" s="493">
        <f>11-8</f>
        <v>3</v>
      </c>
      <c r="G30" s="493"/>
      <c r="H30" s="493"/>
      <c r="I30" s="493">
        <f t="shared" si="1"/>
        <v>4495</v>
      </c>
      <c r="J30" s="495"/>
      <c r="K30" s="495"/>
      <c r="L30" s="493">
        <f t="shared" si="0"/>
        <v>4498</v>
      </c>
      <c r="M30" s="492"/>
      <c r="O30" s="494"/>
    </row>
    <row r="31" spans="1:15" x14ac:dyDescent="0.2">
      <c r="A31" s="490">
        <v>27</v>
      </c>
      <c r="B31" s="496" t="s">
        <v>157</v>
      </c>
      <c r="C31" s="491" t="s">
        <v>158</v>
      </c>
      <c r="D31" s="492" t="s">
        <v>603</v>
      </c>
      <c r="E31" s="493">
        <f>1659-10</f>
        <v>1649</v>
      </c>
      <c r="F31" s="493"/>
      <c r="G31" s="493"/>
      <c r="H31" s="493">
        <v>122</v>
      </c>
      <c r="I31" s="493">
        <f t="shared" si="1"/>
        <v>1527</v>
      </c>
      <c r="J31" s="495"/>
      <c r="K31" s="495"/>
      <c r="L31" s="493">
        <f t="shared" si="0"/>
        <v>1649</v>
      </c>
      <c r="M31" s="492"/>
      <c r="O31" s="494"/>
    </row>
    <row r="32" spans="1:15" x14ac:dyDescent="0.2">
      <c r="A32" s="490">
        <v>28</v>
      </c>
      <c r="B32" s="496" t="s">
        <v>35</v>
      </c>
      <c r="C32" s="491" t="s">
        <v>36</v>
      </c>
      <c r="D32" s="492" t="s">
        <v>603</v>
      </c>
      <c r="E32" s="493">
        <v>2099</v>
      </c>
      <c r="F32" s="493"/>
      <c r="G32" s="493"/>
      <c r="H32" s="493"/>
      <c r="I32" s="493">
        <f t="shared" si="1"/>
        <v>2099</v>
      </c>
      <c r="J32" s="495"/>
      <c r="K32" s="495"/>
      <c r="L32" s="493">
        <f t="shared" si="0"/>
        <v>2099</v>
      </c>
      <c r="M32" s="492"/>
      <c r="O32" s="494"/>
    </row>
    <row r="33" spans="1:15" x14ac:dyDescent="0.2">
      <c r="A33" s="490">
        <v>29</v>
      </c>
      <c r="B33" s="497" t="s">
        <v>72</v>
      </c>
      <c r="C33" s="491" t="s">
        <v>73</v>
      </c>
      <c r="D33" s="492" t="s">
        <v>603</v>
      </c>
      <c r="E33" s="493">
        <v>3233</v>
      </c>
      <c r="F33" s="493"/>
      <c r="G33" s="493"/>
      <c r="H33" s="493"/>
      <c r="I33" s="493">
        <f t="shared" si="1"/>
        <v>3233</v>
      </c>
      <c r="J33" s="495"/>
      <c r="K33" s="495"/>
      <c r="L33" s="493">
        <f t="shared" si="0"/>
        <v>3233</v>
      </c>
      <c r="M33" s="492"/>
      <c r="O33" s="494"/>
    </row>
    <row r="34" spans="1:15" x14ac:dyDescent="0.2">
      <c r="A34" s="490">
        <v>30</v>
      </c>
      <c r="B34" s="474" t="s">
        <v>159</v>
      </c>
      <c r="C34" s="491" t="s">
        <v>160</v>
      </c>
      <c r="D34" s="492" t="s">
        <v>603</v>
      </c>
      <c r="E34" s="493">
        <f>2421+1</f>
        <v>2422</v>
      </c>
      <c r="F34" s="493"/>
      <c r="G34" s="493"/>
      <c r="H34" s="493"/>
      <c r="I34" s="493">
        <f t="shared" si="1"/>
        <v>2422</v>
      </c>
      <c r="J34" s="495"/>
      <c r="K34" s="495"/>
      <c r="L34" s="493">
        <f t="shared" si="0"/>
        <v>2422</v>
      </c>
      <c r="M34" s="492"/>
      <c r="O34" s="494"/>
    </row>
    <row r="35" spans="1:15" x14ac:dyDescent="0.2">
      <c r="A35" s="490">
        <v>31</v>
      </c>
      <c r="B35" s="474" t="s">
        <v>161</v>
      </c>
      <c r="C35" s="491" t="s">
        <v>162</v>
      </c>
      <c r="D35" s="492" t="s">
        <v>603</v>
      </c>
      <c r="E35" s="493">
        <f>3330-62</f>
        <v>3268</v>
      </c>
      <c r="F35" s="493">
        <f>15+5</f>
        <v>20</v>
      </c>
      <c r="G35" s="493"/>
      <c r="H35" s="493"/>
      <c r="I35" s="493">
        <f t="shared" si="1"/>
        <v>3248</v>
      </c>
      <c r="J35" s="495"/>
      <c r="K35" s="495"/>
      <c r="L35" s="493">
        <f t="shared" si="0"/>
        <v>3268</v>
      </c>
      <c r="M35" s="492"/>
      <c r="O35" s="494"/>
    </row>
    <row r="36" spans="1:15" x14ac:dyDescent="0.2">
      <c r="A36" s="490">
        <v>32</v>
      </c>
      <c r="B36" s="496" t="s">
        <v>37</v>
      </c>
      <c r="C36" s="491" t="s">
        <v>38</v>
      </c>
      <c r="D36" s="492" t="s">
        <v>603</v>
      </c>
      <c r="E36" s="493">
        <v>2643</v>
      </c>
      <c r="F36" s="493"/>
      <c r="G36" s="493"/>
      <c r="H36" s="493"/>
      <c r="I36" s="493">
        <f t="shared" si="1"/>
        <v>2643</v>
      </c>
      <c r="J36" s="495"/>
      <c r="K36" s="495"/>
      <c r="L36" s="493">
        <f t="shared" si="0"/>
        <v>2643</v>
      </c>
      <c r="M36" s="492"/>
      <c r="O36" s="494"/>
    </row>
    <row r="37" spans="1:15" x14ac:dyDescent="0.2">
      <c r="A37" s="490">
        <v>33</v>
      </c>
      <c r="B37" s="497" t="s">
        <v>93</v>
      </c>
      <c r="C37" s="491" t="s">
        <v>94</v>
      </c>
      <c r="D37" s="492" t="s">
        <v>603</v>
      </c>
      <c r="E37" s="493">
        <f>3053+1</f>
        <v>3054</v>
      </c>
      <c r="F37" s="493">
        <v>6</v>
      </c>
      <c r="G37" s="493"/>
      <c r="H37" s="493"/>
      <c r="I37" s="493">
        <f t="shared" si="1"/>
        <v>3048</v>
      </c>
      <c r="J37" s="495"/>
      <c r="K37" s="495"/>
      <c r="L37" s="493">
        <f t="shared" si="0"/>
        <v>3054</v>
      </c>
      <c r="M37" s="492"/>
      <c r="O37" s="494"/>
    </row>
    <row r="38" spans="1:15" x14ac:dyDescent="0.2">
      <c r="A38" s="490">
        <v>34</v>
      </c>
      <c r="B38" s="500" t="s">
        <v>75</v>
      </c>
      <c r="C38" s="491" t="s">
        <v>201</v>
      </c>
      <c r="D38" s="492" t="s">
        <v>603</v>
      </c>
      <c r="E38" s="493">
        <v>3319</v>
      </c>
      <c r="F38" s="493"/>
      <c r="G38" s="493"/>
      <c r="H38" s="493"/>
      <c r="I38" s="493">
        <f t="shared" si="1"/>
        <v>3319</v>
      </c>
      <c r="J38" s="495"/>
      <c r="K38" s="495"/>
      <c r="L38" s="493">
        <f t="shared" si="0"/>
        <v>3319</v>
      </c>
      <c r="M38" s="492"/>
      <c r="O38" s="494"/>
    </row>
    <row r="39" spans="1:15" x14ac:dyDescent="0.2">
      <c r="A39" s="490">
        <v>35</v>
      </c>
      <c r="B39" s="496" t="s">
        <v>165</v>
      </c>
      <c r="C39" s="491" t="s">
        <v>166</v>
      </c>
      <c r="D39" s="492" t="s">
        <v>603</v>
      </c>
      <c r="E39" s="493">
        <v>1958</v>
      </c>
      <c r="F39" s="493">
        <v>1</v>
      </c>
      <c r="G39" s="493"/>
      <c r="H39" s="493"/>
      <c r="I39" s="493">
        <f t="shared" si="1"/>
        <v>1957</v>
      </c>
      <c r="J39" s="495"/>
      <c r="K39" s="495"/>
      <c r="L39" s="493">
        <f t="shared" si="0"/>
        <v>1958</v>
      </c>
      <c r="M39" s="492"/>
      <c r="O39" s="494"/>
    </row>
    <row r="40" spans="1:15" x14ac:dyDescent="0.2">
      <c r="A40" s="490">
        <v>36</v>
      </c>
      <c r="B40" s="496" t="s">
        <v>95</v>
      </c>
      <c r="C40" s="491" t="s">
        <v>205</v>
      </c>
      <c r="D40" s="492" t="s">
        <v>603</v>
      </c>
      <c r="E40" s="493">
        <f>4260-29-4</f>
        <v>4227</v>
      </c>
      <c r="F40" s="498">
        <f>4-4</f>
        <v>0</v>
      </c>
      <c r="G40" s="493"/>
      <c r="H40" s="493"/>
      <c r="I40" s="493">
        <f t="shared" si="1"/>
        <v>4227</v>
      </c>
      <c r="J40" s="495"/>
      <c r="K40" s="495"/>
      <c r="L40" s="493">
        <f t="shared" si="0"/>
        <v>4227</v>
      </c>
      <c r="M40" s="492"/>
      <c r="O40" s="494"/>
    </row>
    <row r="41" spans="1:15" x14ac:dyDescent="0.2">
      <c r="A41" s="490">
        <v>37</v>
      </c>
      <c r="B41" s="474" t="s">
        <v>76</v>
      </c>
      <c r="C41" s="491" t="s">
        <v>202</v>
      </c>
      <c r="D41" s="492" t="s">
        <v>603</v>
      </c>
      <c r="E41" s="493">
        <v>2016</v>
      </c>
      <c r="F41" s="498"/>
      <c r="G41" s="493"/>
      <c r="H41" s="493"/>
      <c r="I41" s="493">
        <f t="shared" si="1"/>
        <v>2016</v>
      </c>
      <c r="J41" s="495"/>
      <c r="K41" s="495"/>
      <c r="L41" s="493">
        <f t="shared" si="0"/>
        <v>2016</v>
      </c>
      <c r="M41" s="492"/>
      <c r="O41" s="494"/>
    </row>
    <row r="42" spans="1:15" x14ac:dyDescent="0.2">
      <c r="A42" s="490">
        <v>38</v>
      </c>
      <c r="B42" s="474" t="s">
        <v>77</v>
      </c>
      <c r="C42" s="491" t="s">
        <v>78</v>
      </c>
      <c r="D42" s="492" t="s">
        <v>603</v>
      </c>
      <c r="E42" s="493">
        <f>2774-4</f>
        <v>2770</v>
      </c>
      <c r="F42" s="498">
        <f>4-4</f>
        <v>0</v>
      </c>
      <c r="G42" s="493"/>
      <c r="H42" s="493"/>
      <c r="I42" s="493">
        <f t="shared" si="1"/>
        <v>2770</v>
      </c>
      <c r="J42" s="495"/>
      <c r="K42" s="495"/>
      <c r="L42" s="493">
        <f t="shared" si="0"/>
        <v>2770</v>
      </c>
      <c r="M42" s="492"/>
      <c r="O42" s="494"/>
    </row>
    <row r="43" spans="1:15" x14ac:dyDescent="0.2">
      <c r="A43" s="490">
        <v>39</v>
      </c>
      <c r="B43" s="496" t="s">
        <v>322</v>
      </c>
      <c r="C43" s="491" t="s">
        <v>323</v>
      </c>
      <c r="D43" s="492" t="s">
        <v>603</v>
      </c>
      <c r="E43" s="493">
        <v>1562</v>
      </c>
      <c r="F43" s="493"/>
      <c r="G43" s="493"/>
      <c r="H43" s="493"/>
      <c r="I43" s="493">
        <f t="shared" si="1"/>
        <v>1562</v>
      </c>
      <c r="J43" s="495"/>
      <c r="K43" s="495"/>
      <c r="L43" s="493">
        <f t="shared" si="0"/>
        <v>1562</v>
      </c>
      <c r="M43" s="492"/>
      <c r="O43" s="494"/>
    </row>
    <row r="44" spans="1:15" x14ac:dyDescent="0.2">
      <c r="A44" s="490">
        <v>40</v>
      </c>
      <c r="B44" s="496" t="s">
        <v>167</v>
      </c>
      <c r="C44" s="491" t="s">
        <v>168</v>
      </c>
      <c r="D44" s="492" t="s">
        <v>603</v>
      </c>
      <c r="E44" s="493">
        <f>2848+1-1</f>
        <v>2848</v>
      </c>
      <c r="F44" s="493">
        <f>2-1</f>
        <v>1</v>
      </c>
      <c r="G44" s="493"/>
      <c r="H44" s="493"/>
      <c r="I44" s="493">
        <f t="shared" si="1"/>
        <v>2847</v>
      </c>
      <c r="J44" s="495"/>
      <c r="K44" s="495"/>
      <c r="L44" s="493">
        <f t="shared" si="0"/>
        <v>2848</v>
      </c>
      <c r="M44" s="492"/>
      <c r="O44" s="494"/>
    </row>
    <row r="45" spans="1:15" x14ac:dyDescent="0.2">
      <c r="A45" s="490">
        <v>41</v>
      </c>
      <c r="B45" s="474" t="s">
        <v>169</v>
      </c>
      <c r="C45" s="491" t="s">
        <v>170</v>
      </c>
      <c r="D45" s="492" t="s">
        <v>603</v>
      </c>
      <c r="E45" s="493">
        <v>4182</v>
      </c>
      <c r="F45" s="493">
        <v>2</v>
      </c>
      <c r="G45" s="493"/>
      <c r="H45" s="493">
        <v>669</v>
      </c>
      <c r="I45" s="493">
        <f t="shared" si="1"/>
        <v>3511</v>
      </c>
      <c r="J45" s="495"/>
      <c r="K45" s="495"/>
      <c r="L45" s="493">
        <f t="shared" si="0"/>
        <v>4182</v>
      </c>
      <c r="M45" s="492"/>
      <c r="O45" s="494"/>
    </row>
    <row r="46" spans="1:15" x14ac:dyDescent="0.2">
      <c r="A46" s="490">
        <v>42</v>
      </c>
      <c r="B46" s="496" t="s">
        <v>98</v>
      </c>
      <c r="C46" s="491" t="s">
        <v>206</v>
      </c>
      <c r="D46" s="492" t="s">
        <v>603</v>
      </c>
      <c r="E46" s="493">
        <f>2534-2</f>
        <v>2532</v>
      </c>
      <c r="F46" s="493">
        <f>4-2</f>
        <v>2</v>
      </c>
      <c r="G46" s="493"/>
      <c r="H46" s="493"/>
      <c r="I46" s="493">
        <f t="shared" si="1"/>
        <v>2530</v>
      </c>
      <c r="J46" s="495"/>
      <c r="K46" s="495"/>
      <c r="L46" s="493">
        <f t="shared" si="0"/>
        <v>2532</v>
      </c>
      <c r="M46" s="492"/>
      <c r="O46" s="494"/>
    </row>
    <row r="47" spans="1:15" x14ac:dyDescent="0.2">
      <c r="A47" s="490">
        <v>43</v>
      </c>
      <c r="B47" s="497" t="s">
        <v>171</v>
      </c>
      <c r="C47" s="491" t="s">
        <v>216</v>
      </c>
      <c r="D47" s="492" t="s">
        <v>603</v>
      </c>
      <c r="E47" s="493">
        <f>2097+1</f>
        <v>2098</v>
      </c>
      <c r="F47" s="493"/>
      <c r="G47" s="493"/>
      <c r="H47" s="493"/>
      <c r="I47" s="493">
        <f t="shared" si="1"/>
        <v>2098</v>
      </c>
      <c r="J47" s="495"/>
      <c r="K47" s="495"/>
      <c r="L47" s="493">
        <f t="shared" si="0"/>
        <v>2098</v>
      </c>
      <c r="M47" s="492"/>
      <c r="O47" s="494"/>
    </row>
    <row r="48" spans="1:15" x14ac:dyDescent="0.2">
      <c r="A48" s="490">
        <v>44</v>
      </c>
      <c r="B48" s="496" t="s">
        <v>39</v>
      </c>
      <c r="C48" s="491" t="s">
        <v>40</v>
      </c>
      <c r="D48" s="492" t="s">
        <v>603</v>
      </c>
      <c r="E48" s="493">
        <f>5186+1</f>
        <v>5187</v>
      </c>
      <c r="F48" s="493">
        <v>1</v>
      </c>
      <c r="G48" s="493"/>
      <c r="H48" s="493"/>
      <c r="I48" s="493">
        <f t="shared" si="1"/>
        <v>5186</v>
      </c>
      <c r="J48" s="495"/>
      <c r="K48" s="495"/>
      <c r="L48" s="493">
        <f t="shared" si="0"/>
        <v>5187</v>
      </c>
      <c r="M48" s="492"/>
      <c r="O48" s="494"/>
    </row>
    <row r="49" spans="1:15" x14ac:dyDescent="0.2">
      <c r="A49" s="490">
        <v>45</v>
      </c>
      <c r="B49" s="474" t="s">
        <v>128</v>
      </c>
      <c r="C49" s="491" t="s">
        <v>605</v>
      </c>
      <c r="D49" s="492" t="s">
        <v>603</v>
      </c>
      <c r="E49" s="493">
        <v>875</v>
      </c>
      <c r="F49" s="493"/>
      <c r="G49" s="493"/>
      <c r="H49" s="493"/>
      <c r="I49" s="493">
        <f t="shared" si="1"/>
        <v>875</v>
      </c>
      <c r="J49" s="495"/>
      <c r="K49" s="495"/>
      <c r="L49" s="493">
        <f t="shared" si="0"/>
        <v>875</v>
      </c>
      <c r="M49" s="492"/>
      <c r="O49" s="494"/>
    </row>
    <row r="50" spans="1:15" x14ac:dyDescent="0.2">
      <c r="A50" s="490">
        <v>46</v>
      </c>
      <c r="B50" s="474" t="s">
        <v>125</v>
      </c>
      <c r="C50" s="491" t="s">
        <v>606</v>
      </c>
      <c r="D50" s="492" t="s">
        <v>607</v>
      </c>
      <c r="E50" s="493">
        <v>3617</v>
      </c>
      <c r="F50" s="493"/>
      <c r="G50" s="493">
        <f>794-198</f>
        <v>596</v>
      </c>
      <c r="H50" s="493">
        <f>849+198</f>
        <v>1047</v>
      </c>
      <c r="I50" s="493">
        <f t="shared" si="1"/>
        <v>1974</v>
      </c>
      <c r="J50" s="495"/>
      <c r="K50" s="495"/>
      <c r="L50" s="493">
        <f t="shared" si="0"/>
        <v>3617</v>
      </c>
      <c r="M50" s="492"/>
      <c r="O50" s="494"/>
    </row>
    <row r="51" spans="1:15" x14ac:dyDescent="0.2">
      <c r="A51" s="490">
        <v>47</v>
      </c>
      <c r="B51" s="496" t="s">
        <v>60</v>
      </c>
      <c r="C51" s="491" t="s">
        <v>608</v>
      </c>
      <c r="D51" s="492" t="s">
        <v>607</v>
      </c>
      <c r="E51" s="493">
        <v>5542</v>
      </c>
      <c r="F51" s="493"/>
      <c r="G51" s="493"/>
      <c r="H51" s="493"/>
      <c r="I51" s="493">
        <f t="shared" si="1"/>
        <v>5542</v>
      </c>
      <c r="J51" s="495"/>
      <c r="K51" s="495"/>
      <c r="L51" s="493">
        <f t="shared" si="0"/>
        <v>5542</v>
      </c>
      <c r="M51" s="492"/>
      <c r="O51" s="494"/>
    </row>
    <row r="52" spans="1:15" x14ac:dyDescent="0.2">
      <c r="A52" s="490">
        <v>48</v>
      </c>
      <c r="B52" s="501" t="s">
        <v>507</v>
      </c>
      <c r="C52" s="491" t="s">
        <v>508</v>
      </c>
      <c r="D52" s="492" t="s">
        <v>607</v>
      </c>
      <c r="E52" s="493"/>
      <c r="F52" s="493"/>
      <c r="G52" s="493"/>
      <c r="H52" s="493"/>
      <c r="I52" s="493">
        <f t="shared" si="1"/>
        <v>0</v>
      </c>
      <c r="J52" s="495"/>
      <c r="K52" s="495"/>
      <c r="L52" s="493">
        <f t="shared" si="0"/>
        <v>0</v>
      </c>
      <c r="M52" s="493">
        <f>3543-200</f>
        <v>3343</v>
      </c>
      <c r="O52" s="494"/>
    </row>
    <row r="53" spans="1:15" x14ac:dyDescent="0.2">
      <c r="A53" s="490">
        <v>49</v>
      </c>
      <c r="B53" s="502" t="s">
        <v>509</v>
      </c>
      <c r="C53" s="491" t="s">
        <v>609</v>
      </c>
      <c r="D53" s="492" t="s">
        <v>607</v>
      </c>
      <c r="E53" s="493"/>
      <c r="F53" s="493"/>
      <c r="G53" s="493"/>
      <c r="H53" s="493"/>
      <c r="I53" s="493">
        <f t="shared" si="1"/>
        <v>0</v>
      </c>
      <c r="J53" s="495"/>
      <c r="K53" s="495"/>
      <c r="L53" s="493">
        <f t="shared" si="0"/>
        <v>0</v>
      </c>
      <c r="M53" s="493">
        <f>2092+200</f>
        <v>2292</v>
      </c>
      <c r="O53" s="494"/>
    </row>
    <row r="54" spans="1:15" x14ac:dyDescent="0.2">
      <c r="A54" s="490">
        <v>50</v>
      </c>
      <c r="B54" s="496" t="s">
        <v>11</v>
      </c>
      <c r="C54" s="491" t="s">
        <v>8</v>
      </c>
      <c r="D54" s="492" t="s">
        <v>607</v>
      </c>
      <c r="E54" s="493">
        <v>21976</v>
      </c>
      <c r="F54" s="493"/>
      <c r="G54" s="493"/>
      <c r="H54" s="493">
        <v>13745</v>
      </c>
      <c r="I54" s="493">
        <f t="shared" si="1"/>
        <v>8231</v>
      </c>
      <c r="J54" s="495"/>
      <c r="K54" s="495"/>
      <c r="L54" s="493">
        <f t="shared" si="0"/>
        <v>21976</v>
      </c>
      <c r="M54" s="492"/>
      <c r="O54" s="494"/>
    </row>
    <row r="55" spans="1:15" x14ac:dyDescent="0.2">
      <c r="A55" s="490">
        <v>51</v>
      </c>
      <c r="B55" s="496" t="s">
        <v>383</v>
      </c>
      <c r="C55" s="491" t="s">
        <v>501</v>
      </c>
      <c r="D55" s="492" t="s">
        <v>610</v>
      </c>
      <c r="E55" s="493">
        <v>2</v>
      </c>
      <c r="F55" s="493"/>
      <c r="G55" s="493"/>
      <c r="H55" s="493"/>
      <c r="I55" s="493">
        <f t="shared" si="1"/>
        <v>2</v>
      </c>
      <c r="J55" s="495"/>
      <c r="K55" s="495"/>
      <c r="L55" s="493">
        <f t="shared" si="0"/>
        <v>2</v>
      </c>
      <c r="M55" s="492"/>
      <c r="O55" s="494"/>
    </row>
    <row r="56" spans="1:15" x14ac:dyDescent="0.2">
      <c r="A56" s="490">
        <v>52</v>
      </c>
      <c r="B56" s="474" t="s">
        <v>84</v>
      </c>
      <c r="C56" s="491" t="s">
        <v>85</v>
      </c>
      <c r="D56" s="492" t="s">
        <v>611</v>
      </c>
      <c r="E56" s="493">
        <f>13060-15</f>
        <v>13045</v>
      </c>
      <c r="F56" s="493">
        <f>47-15</f>
        <v>32</v>
      </c>
      <c r="G56" s="493"/>
      <c r="H56" s="493">
        <v>1396</v>
      </c>
      <c r="I56" s="493">
        <f t="shared" si="1"/>
        <v>11617</v>
      </c>
      <c r="J56" s="495"/>
      <c r="K56" s="495"/>
      <c r="L56" s="493">
        <f t="shared" si="0"/>
        <v>13045</v>
      </c>
      <c r="M56" s="492"/>
      <c r="O56" s="494"/>
    </row>
    <row r="57" spans="1:15" x14ac:dyDescent="0.2">
      <c r="A57" s="490">
        <v>53</v>
      </c>
      <c r="B57" s="496" t="s">
        <v>24</v>
      </c>
      <c r="C57" s="491" t="s">
        <v>25</v>
      </c>
      <c r="D57" s="492" t="s">
        <v>611</v>
      </c>
      <c r="E57" s="493">
        <v>8826</v>
      </c>
      <c r="F57" s="493">
        <v>3</v>
      </c>
      <c r="G57" s="493"/>
      <c r="H57" s="493">
        <v>811</v>
      </c>
      <c r="I57" s="493">
        <f t="shared" si="1"/>
        <v>8012</v>
      </c>
      <c r="J57" s="495"/>
      <c r="K57" s="495"/>
      <c r="L57" s="493">
        <f t="shared" si="0"/>
        <v>8826</v>
      </c>
      <c r="M57" s="492"/>
      <c r="O57" s="494"/>
    </row>
    <row r="58" spans="1:15" x14ac:dyDescent="0.2">
      <c r="A58" s="490">
        <v>54</v>
      </c>
      <c r="B58" s="496" t="s">
        <v>123</v>
      </c>
      <c r="C58" s="491" t="s">
        <v>612</v>
      </c>
      <c r="D58" s="492" t="s">
        <v>611</v>
      </c>
      <c r="E58" s="493">
        <f>9207-106+4+5</f>
        <v>9110</v>
      </c>
      <c r="F58" s="493">
        <v>11</v>
      </c>
      <c r="G58" s="493"/>
      <c r="H58" s="493">
        <v>4895</v>
      </c>
      <c r="I58" s="493">
        <f t="shared" si="1"/>
        <v>4204</v>
      </c>
      <c r="J58" s="495"/>
      <c r="K58" s="495"/>
      <c r="L58" s="493">
        <f t="shared" si="0"/>
        <v>9110</v>
      </c>
      <c r="M58" s="492"/>
      <c r="O58" s="494"/>
    </row>
    <row r="59" spans="1:15" x14ac:dyDescent="0.2">
      <c r="A59" s="490">
        <v>55</v>
      </c>
      <c r="B59" s="474" t="s">
        <v>30</v>
      </c>
      <c r="C59" s="491" t="s">
        <v>197</v>
      </c>
      <c r="D59" s="492" t="s">
        <v>611</v>
      </c>
      <c r="E59" s="493">
        <f>7852+1-8</f>
        <v>7845</v>
      </c>
      <c r="F59" s="493">
        <f>12-8</f>
        <v>4</v>
      </c>
      <c r="G59" s="493"/>
      <c r="H59" s="493">
        <v>264</v>
      </c>
      <c r="I59" s="493">
        <f t="shared" si="1"/>
        <v>7577</v>
      </c>
      <c r="J59" s="495"/>
      <c r="K59" s="495"/>
      <c r="L59" s="493">
        <f t="shared" si="0"/>
        <v>7845</v>
      </c>
      <c r="M59" s="492"/>
      <c r="O59" s="494"/>
    </row>
    <row r="60" spans="1:15" x14ac:dyDescent="0.2">
      <c r="A60" s="490">
        <v>56</v>
      </c>
      <c r="B60" s="496" t="s">
        <v>70</v>
      </c>
      <c r="C60" s="491" t="s">
        <v>71</v>
      </c>
      <c r="D60" s="492" t="s">
        <v>611</v>
      </c>
      <c r="E60" s="493">
        <f>10618-30</f>
        <v>10588</v>
      </c>
      <c r="F60" s="493">
        <f>82-30</f>
        <v>52</v>
      </c>
      <c r="G60" s="493"/>
      <c r="H60" s="493">
        <v>63</v>
      </c>
      <c r="I60" s="493">
        <f t="shared" si="1"/>
        <v>10473</v>
      </c>
      <c r="J60" s="495"/>
      <c r="K60" s="495"/>
      <c r="L60" s="493">
        <f t="shared" si="0"/>
        <v>10588</v>
      </c>
      <c r="M60" s="492"/>
      <c r="O60" s="494"/>
    </row>
    <row r="61" spans="1:15" x14ac:dyDescent="0.2">
      <c r="A61" s="490">
        <v>57</v>
      </c>
      <c r="B61" s="474" t="s">
        <v>74</v>
      </c>
      <c r="C61" s="491" t="s">
        <v>200</v>
      </c>
      <c r="D61" s="492" t="s">
        <v>611</v>
      </c>
      <c r="E61" s="493">
        <f>10456+1+1+2-240+2</f>
        <v>10222</v>
      </c>
      <c r="F61" s="493">
        <f>579-240</f>
        <v>339</v>
      </c>
      <c r="G61" s="493"/>
      <c r="H61" s="493">
        <v>162</v>
      </c>
      <c r="I61" s="493">
        <f t="shared" si="1"/>
        <v>9721</v>
      </c>
      <c r="J61" s="495"/>
      <c r="K61" s="495"/>
      <c r="L61" s="493">
        <f t="shared" si="0"/>
        <v>10222</v>
      </c>
      <c r="M61" s="492"/>
      <c r="O61" s="494"/>
    </row>
    <row r="62" spans="1:15" x14ac:dyDescent="0.2">
      <c r="A62" s="490">
        <v>58</v>
      </c>
      <c r="B62" s="474" t="s">
        <v>53</v>
      </c>
      <c r="C62" s="491" t="s">
        <v>613</v>
      </c>
      <c r="D62" s="492" t="s">
        <v>611</v>
      </c>
      <c r="E62" s="493">
        <f>9339-1-5</f>
        <v>9333</v>
      </c>
      <c r="F62" s="493">
        <f>20-5</f>
        <v>15</v>
      </c>
      <c r="G62" s="493">
        <v>198</v>
      </c>
      <c r="H62" s="493">
        <v>1421</v>
      </c>
      <c r="I62" s="493">
        <f t="shared" si="1"/>
        <v>7699</v>
      </c>
      <c r="J62" s="495"/>
      <c r="K62" s="495"/>
      <c r="L62" s="493">
        <f t="shared" si="0"/>
        <v>9333</v>
      </c>
      <c r="M62" s="492"/>
      <c r="O62" s="494"/>
    </row>
    <row r="63" spans="1:15" x14ac:dyDescent="0.2">
      <c r="A63" s="490">
        <v>59</v>
      </c>
      <c r="B63" s="496" t="s">
        <v>5</v>
      </c>
      <c r="C63" s="491" t="s">
        <v>614</v>
      </c>
      <c r="D63" s="492" t="s">
        <v>611</v>
      </c>
      <c r="E63" s="493">
        <f>15125-1-45-184</f>
        <v>14895</v>
      </c>
      <c r="F63" s="493">
        <f>241-184</f>
        <v>57</v>
      </c>
      <c r="G63" s="493"/>
      <c r="H63" s="493">
        <v>740</v>
      </c>
      <c r="I63" s="493">
        <f t="shared" si="1"/>
        <v>14098</v>
      </c>
      <c r="J63" s="493"/>
      <c r="K63" s="493"/>
      <c r="L63" s="493">
        <f t="shared" si="0"/>
        <v>14895</v>
      </c>
      <c r="M63" s="493"/>
      <c r="O63" s="494"/>
    </row>
    <row r="64" spans="1:15" x14ac:dyDescent="0.2">
      <c r="A64" s="490">
        <v>60</v>
      </c>
      <c r="B64" s="496" t="s">
        <v>96</v>
      </c>
      <c r="C64" s="491" t="s">
        <v>97</v>
      </c>
      <c r="D64" s="492" t="s">
        <v>611</v>
      </c>
      <c r="E64" s="493">
        <f>15076+1-210</f>
        <v>14867</v>
      </c>
      <c r="F64" s="493">
        <f>457+1-210</f>
        <v>248</v>
      </c>
      <c r="G64" s="493"/>
      <c r="H64" s="493">
        <v>1367</v>
      </c>
      <c r="I64" s="493">
        <f t="shared" si="1"/>
        <v>13252</v>
      </c>
      <c r="J64" s="495"/>
      <c r="K64" s="495"/>
      <c r="L64" s="493">
        <f t="shared" si="0"/>
        <v>14867</v>
      </c>
      <c r="M64" s="493"/>
      <c r="O64" s="494"/>
    </row>
    <row r="65" spans="1:15" x14ac:dyDescent="0.2">
      <c r="A65" s="490">
        <v>61</v>
      </c>
      <c r="B65" s="474" t="s">
        <v>51</v>
      </c>
      <c r="C65" s="503" t="s">
        <v>52</v>
      </c>
      <c r="D65" s="492" t="s">
        <v>611</v>
      </c>
      <c r="E65" s="493">
        <v>9339</v>
      </c>
      <c r="F65" s="493">
        <v>25</v>
      </c>
      <c r="G65" s="493">
        <v>233</v>
      </c>
      <c r="H65" s="493">
        <v>715</v>
      </c>
      <c r="I65" s="493">
        <f t="shared" si="1"/>
        <v>8366</v>
      </c>
      <c r="J65" s="495"/>
      <c r="K65" s="495"/>
      <c r="L65" s="493">
        <f t="shared" si="0"/>
        <v>9339</v>
      </c>
      <c r="M65" s="493"/>
      <c r="O65" s="494"/>
    </row>
    <row r="66" spans="1:15" x14ac:dyDescent="0.2">
      <c r="A66" s="490">
        <v>62</v>
      </c>
      <c r="B66" s="496" t="s">
        <v>141</v>
      </c>
      <c r="C66" s="491" t="s">
        <v>615</v>
      </c>
      <c r="D66" s="492" t="s">
        <v>611</v>
      </c>
      <c r="E66" s="493">
        <v>6826</v>
      </c>
      <c r="F66" s="493">
        <v>6</v>
      </c>
      <c r="G66" s="493">
        <v>533</v>
      </c>
      <c r="H66" s="493"/>
      <c r="I66" s="493">
        <f t="shared" si="1"/>
        <v>6287</v>
      </c>
      <c r="J66" s="495"/>
      <c r="K66" s="495"/>
      <c r="L66" s="493">
        <f t="shared" si="0"/>
        <v>6826</v>
      </c>
      <c r="M66" s="493"/>
      <c r="O66" s="494"/>
    </row>
    <row r="67" spans="1:15" x14ac:dyDescent="0.2">
      <c r="A67" s="490">
        <v>63</v>
      </c>
      <c r="B67" s="496" t="s">
        <v>466</v>
      </c>
      <c r="C67" s="491" t="s">
        <v>616</v>
      </c>
      <c r="D67" s="492" t="s">
        <v>617</v>
      </c>
      <c r="E67" s="493">
        <f>718-44</f>
        <v>674</v>
      </c>
      <c r="F67" s="493"/>
      <c r="G67" s="493"/>
      <c r="H67" s="493"/>
      <c r="I67" s="493">
        <f t="shared" si="1"/>
        <v>674</v>
      </c>
      <c r="J67" s="492">
        <f>280+27</f>
        <v>307</v>
      </c>
      <c r="K67" s="492"/>
      <c r="L67" s="493">
        <f t="shared" si="0"/>
        <v>981</v>
      </c>
      <c r="M67" s="493"/>
      <c r="O67" s="494"/>
    </row>
    <row r="68" spans="1:15" s="508" customFormat="1" x14ac:dyDescent="0.2">
      <c r="A68" s="504">
        <v>64</v>
      </c>
      <c r="B68" s="505" t="s">
        <v>64</v>
      </c>
      <c r="C68" s="506" t="s">
        <v>618</v>
      </c>
      <c r="D68" s="507" t="s">
        <v>619</v>
      </c>
      <c r="E68" s="498">
        <f>SUM(E69:E75)</f>
        <v>11332</v>
      </c>
      <c r="F68" s="498">
        <f t="shared" ref="F68:L68" si="2">SUM(F69:F75)</f>
        <v>229</v>
      </c>
      <c r="G68" s="498">
        <f t="shared" si="2"/>
        <v>325</v>
      </c>
      <c r="H68" s="498">
        <f t="shared" si="2"/>
        <v>1271</v>
      </c>
      <c r="I68" s="498">
        <f t="shared" si="2"/>
        <v>9507</v>
      </c>
      <c r="J68" s="498">
        <f t="shared" si="2"/>
        <v>65</v>
      </c>
      <c r="K68" s="498">
        <f t="shared" si="2"/>
        <v>0</v>
      </c>
      <c r="L68" s="498">
        <f t="shared" si="2"/>
        <v>11397</v>
      </c>
      <c r="M68" s="498"/>
      <c r="O68" s="509"/>
    </row>
    <row r="69" spans="1:15" ht="15" customHeight="1" x14ac:dyDescent="0.2">
      <c r="A69" s="490"/>
      <c r="B69" s="490"/>
      <c r="C69" s="490" t="s">
        <v>620</v>
      </c>
      <c r="D69" s="492" t="s">
        <v>607</v>
      </c>
      <c r="E69" s="493">
        <f>9959-1-2+4-5</f>
        <v>9955</v>
      </c>
      <c r="F69" s="493">
        <f>230+4-5</f>
        <v>229</v>
      </c>
      <c r="G69" s="493">
        <v>325</v>
      </c>
      <c r="H69" s="493">
        <v>1271</v>
      </c>
      <c r="I69" s="493">
        <f t="shared" si="1"/>
        <v>8130</v>
      </c>
      <c r="J69" s="495"/>
      <c r="K69" s="495"/>
      <c r="L69" s="493">
        <f>E69+J69</f>
        <v>9955</v>
      </c>
      <c r="M69" s="493"/>
      <c r="O69" s="494"/>
    </row>
    <row r="70" spans="1:15" ht="15.75" customHeight="1" x14ac:dyDescent="0.2">
      <c r="A70" s="490"/>
      <c r="B70" s="490"/>
      <c r="C70" s="490">
        <v>10027</v>
      </c>
      <c r="D70" s="492" t="s">
        <v>619</v>
      </c>
      <c r="E70" s="492">
        <v>256</v>
      </c>
      <c r="F70" s="492"/>
      <c r="G70" s="492"/>
      <c r="H70" s="492"/>
      <c r="I70" s="493">
        <f>E70-F70-G70-H70</f>
        <v>256</v>
      </c>
      <c r="J70" s="492">
        <v>65</v>
      </c>
      <c r="K70" s="492"/>
      <c r="L70" s="493">
        <f>E70+J70</f>
        <v>321</v>
      </c>
      <c r="M70" s="492"/>
      <c r="O70" s="494"/>
    </row>
    <row r="71" spans="1:15" x14ac:dyDescent="0.2">
      <c r="A71" s="490"/>
      <c r="B71" s="490"/>
      <c r="C71" s="490">
        <v>10012</v>
      </c>
      <c r="D71" s="558" t="s">
        <v>603</v>
      </c>
      <c r="E71" s="566">
        <v>1121</v>
      </c>
      <c r="F71" s="566"/>
      <c r="G71" s="566"/>
      <c r="H71" s="566"/>
      <c r="I71" s="566">
        <f>E71-F71-G71-H71</f>
        <v>1121</v>
      </c>
      <c r="J71" s="569"/>
      <c r="K71" s="566"/>
      <c r="L71" s="566">
        <f>E71+J71</f>
        <v>1121</v>
      </c>
      <c r="M71" s="493"/>
      <c r="O71" s="494"/>
    </row>
    <row r="72" spans="1:15" ht="12.75" customHeight="1" x14ac:dyDescent="0.2">
      <c r="A72" s="490"/>
      <c r="B72" s="490"/>
      <c r="C72" s="490">
        <v>10020</v>
      </c>
      <c r="D72" s="564"/>
      <c r="E72" s="567"/>
      <c r="F72" s="567"/>
      <c r="G72" s="567"/>
      <c r="H72" s="567"/>
      <c r="I72" s="567"/>
      <c r="J72" s="570"/>
      <c r="K72" s="567"/>
      <c r="L72" s="567"/>
      <c r="M72" s="492"/>
      <c r="O72" s="494"/>
    </row>
    <row r="73" spans="1:15" ht="12.75" customHeight="1" x14ac:dyDescent="0.2">
      <c r="A73" s="490"/>
      <c r="B73" s="490"/>
      <c r="C73" s="490">
        <v>10064</v>
      </c>
      <c r="D73" s="564"/>
      <c r="E73" s="567"/>
      <c r="F73" s="567"/>
      <c r="G73" s="567"/>
      <c r="H73" s="567"/>
      <c r="I73" s="567"/>
      <c r="J73" s="570"/>
      <c r="K73" s="567"/>
      <c r="L73" s="567"/>
      <c r="M73" s="492"/>
      <c r="O73" s="494"/>
    </row>
    <row r="74" spans="1:15" ht="12.75" customHeight="1" x14ac:dyDescent="0.2">
      <c r="A74" s="490"/>
      <c r="B74" s="490"/>
      <c r="C74" s="490">
        <v>10065</v>
      </c>
      <c r="D74" s="564"/>
      <c r="E74" s="567"/>
      <c r="F74" s="567"/>
      <c r="G74" s="567"/>
      <c r="H74" s="567"/>
      <c r="I74" s="567"/>
      <c r="J74" s="570"/>
      <c r="K74" s="567"/>
      <c r="L74" s="567"/>
      <c r="M74" s="492"/>
      <c r="O74" s="494"/>
    </row>
    <row r="75" spans="1:15" ht="12.75" customHeight="1" x14ac:dyDescent="0.2">
      <c r="A75" s="490"/>
      <c r="B75" s="490"/>
      <c r="C75" s="490">
        <v>10070</v>
      </c>
      <c r="D75" s="565"/>
      <c r="E75" s="568"/>
      <c r="F75" s="568"/>
      <c r="G75" s="568"/>
      <c r="H75" s="568"/>
      <c r="I75" s="568"/>
      <c r="J75" s="571"/>
      <c r="K75" s="568"/>
      <c r="L75" s="568"/>
      <c r="M75" s="492"/>
      <c r="O75" s="494"/>
    </row>
    <row r="76" spans="1:15" s="508" customFormat="1" x14ac:dyDescent="0.2">
      <c r="A76" s="504">
        <v>65</v>
      </c>
      <c r="B76" s="505" t="s">
        <v>163</v>
      </c>
      <c r="C76" s="506" t="s">
        <v>164</v>
      </c>
      <c r="D76" s="507" t="s">
        <v>619</v>
      </c>
      <c r="E76" s="498">
        <f>SUM(E77:E80)</f>
        <v>5152</v>
      </c>
      <c r="F76" s="498">
        <f t="shared" ref="F76:L76" si="3">SUM(F77:F80)</f>
        <v>260</v>
      </c>
      <c r="G76" s="498">
        <f t="shared" si="3"/>
        <v>386</v>
      </c>
      <c r="H76" s="498">
        <f t="shared" si="3"/>
        <v>595</v>
      </c>
      <c r="I76" s="498">
        <f t="shared" si="3"/>
        <v>3911</v>
      </c>
      <c r="J76" s="498">
        <f t="shared" si="3"/>
        <v>253</v>
      </c>
      <c r="K76" s="498">
        <f t="shared" si="3"/>
        <v>0</v>
      </c>
      <c r="L76" s="498">
        <f t="shared" si="3"/>
        <v>5405</v>
      </c>
      <c r="M76" s="498"/>
      <c r="O76" s="509"/>
    </row>
    <row r="77" spans="1:15" ht="17.25" customHeight="1" x14ac:dyDescent="0.2">
      <c r="A77" s="490"/>
      <c r="B77" s="490"/>
      <c r="C77" s="490" t="s">
        <v>620</v>
      </c>
      <c r="D77" s="492" t="s">
        <v>607</v>
      </c>
      <c r="E77" s="493">
        <f>4160-150+150</f>
        <v>4160</v>
      </c>
      <c r="F77" s="493">
        <f>410-150</f>
        <v>260</v>
      </c>
      <c r="G77" s="493">
        <v>386</v>
      </c>
      <c r="H77" s="493">
        <f>445+150</f>
        <v>595</v>
      </c>
      <c r="I77" s="493">
        <f>E77-F77-G77-H77</f>
        <v>2919</v>
      </c>
      <c r="J77" s="495"/>
      <c r="K77" s="495"/>
      <c r="L77" s="493">
        <f>E77+J77</f>
        <v>4160</v>
      </c>
      <c r="M77" s="493"/>
      <c r="O77" s="494"/>
    </row>
    <row r="78" spans="1:15" x14ac:dyDescent="0.2">
      <c r="A78" s="490"/>
      <c r="B78" s="490"/>
      <c r="C78" s="490">
        <v>6202</v>
      </c>
      <c r="D78" s="558" t="s">
        <v>619</v>
      </c>
      <c r="E78" s="573">
        <f>990+2</f>
        <v>992</v>
      </c>
      <c r="F78" s="573"/>
      <c r="G78" s="573"/>
      <c r="H78" s="573"/>
      <c r="I78" s="566">
        <f>E78-F78-G78-H78</f>
        <v>992</v>
      </c>
      <c r="J78" s="510">
        <v>213</v>
      </c>
      <c r="K78" s="572"/>
      <c r="L78" s="566">
        <f>E78+J78+J79</f>
        <v>1245</v>
      </c>
      <c r="M78" s="511"/>
      <c r="O78" s="494"/>
    </row>
    <row r="79" spans="1:15" x14ac:dyDescent="0.2">
      <c r="A79" s="490"/>
      <c r="B79" s="490"/>
      <c r="C79" s="490">
        <v>6203</v>
      </c>
      <c r="D79" s="564"/>
      <c r="E79" s="567"/>
      <c r="F79" s="567"/>
      <c r="G79" s="567"/>
      <c r="H79" s="567"/>
      <c r="I79" s="567"/>
      <c r="J79" s="572">
        <v>40</v>
      </c>
      <c r="K79" s="567"/>
      <c r="L79" s="567"/>
      <c r="M79" s="512"/>
      <c r="O79" s="494"/>
    </row>
    <row r="80" spans="1:15" ht="13.5" customHeight="1" x14ac:dyDescent="0.2">
      <c r="A80" s="490"/>
      <c r="B80" s="490"/>
      <c r="C80" s="490">
        <v>6204</v>
      </c>
      <c r="D80" s="565"/>
      <c r="E80" s="568"/>
      <c r="F80" s="568"/>
      <c r="G80" s="568"/>
      <c r="H80" s="568"/>
      <c r="I80" s="568"/>
      <c r="J80" s="568"/>
      <c r="K80" s="568"/>
      <c r="L80" s="568"/>
      <c r="M80" s="513"/>
      <c r="O80" s="494"/>
    </row>
    <row r="81" spans="1:15" s="508" customFormat="1" x14ac:dyDescent="0.2">
      <c r="A81" s="504">
        <v>66</v>
      </c>
      <c r="B81" s="514" t="s">
        <v>46</v>
      </c>
      <c r="C81" s="506" t="s">
        <v>47</v>
      </c>
      <c r="D81" s="507" t="s">
        <v>619</v>
      </c>
      <c r="E81" s="498">
        <f>SUM(E82:E84)</f>
        <v>17833</v>
      </c>
      <c r="F81" s="498">
        <f t="shared" ref="F81:L81" si="4">SUM(F82:F84)</f>
        <v>150</v>
      </c>
      <c r="G81" s="498">
        <f t="shared" si="4"/>
        <v>395</v>
      </c>
      <c r="H81" s="498">
        <f t="shared" si="4"/>
        <v>1902</v>
      </c>
      <c r="I81" s="498">
        <f t="shared" si="4"/>
        <v>15386</v>
      </c>
      <c r="J81" s="498">
        <f t="shared" si="4"/>
        <v>212</v>
      </c>
      <c r="K81" s="498">
        <f t="shared" si="4"/>
        <v>0</v>
      </c>
      <c r="L81" s="498">
        <f t="shared" si="4"/>
        <v>18045</v>
      </c>
      <c r="M81" s="498"/>
      <c r="O81" s="509"/>
    </row>
    <row r="82" spans="1:15" ht="18.75" customHeight="1" x14ac:dyDescent="0.2">
      <c r="A82" s="490"/>
      <c r="B82" s="490"/>
      <c r="C82" s="490" t="s">
        <v>620</v>
      </c>
      <c r="D82" s="492" t="s">
        <v>607</v>
      </c>
      <c r="E82" s="493">
        <f>16800+1+1-40+2</f>
        <v>16764</v>
      </c>
      <c r="F82" s="493">
        <f>186+1+1-40+2</f>
        <v>150</v>
      </c>
      <c r="G82" s="493">
        <f>395</f>
        <v>395</v>
      </c>
      <c r="H82" s="493">
        <v>1902</v>
      </c>
      <c r="I82" s="493">
        <f>E82-F82-G82-H82</f>
        <v>14317</v>
      </c>
      <c r="J82" s="492"/>
      <c r="K82" s="492"/>
      <c r="L82" s="493">
        <f>E82+J82</f>
        <v>16764</v>
      </c>
      <c r="M82" s="493"/>
      <c r="O82" s="494"/>
    </row>
    <row r="83" spans="1:15" x14ac:dyDescent="0.2">
      <c r="A83" s="490"/>
      <c r="B83" s="490"/>
      <c r="C83" s="490">
        <v>4132</v>
      </c>
      <c r="D83" s="573" t="s">
        <v>621</v>
      </c>
      <c r="E83" s="566">
        <f>1074-5</f>
        <v>1069</v>
      </c>
      <c r="F83" s="566"/>
      <c r="G83" s="566"/>
      <c r="H83" s="566"/>
      <c r="I83" s="566">
        <f>E83-F83-G83-H83</f>
        <v>1069</v>
      </c>
      <c r="J83" s="510">
        <v>179</v>
      </c>
      <c r="K83" s="566"/>
      <c r="L83" s="566">
        <f>E83+J83+J84</f>
        <v>1281</v>
      </c>
      <c r="M83" s="515"/>
      <c r="O83" s="494"/>
    </row>
    <row r="84" spans="1:15" x14ac:dyDescent="0.2">
      <c r="A84" s="490"/>
      <c r="B84" s="490"/>
      <c r="C84" s="490">
        <v>4017</v>
      </c>
      <c r="D84" s="568"/>
      <c r="E84" s="568"/>
      <c r="F84" s="568"/>
      <c r="G84" s="568"/>
      <c r="H84" s="568"/>
      <c r="I84" s="568"/>
      <c r="J84" s="510">
        <v>33</v>
      </c>
      <c r="K84" s="568"/>
      <c r="L84" s="568"/>
      <c r="M84" s="516"/>
      <c r="O84" s="494"/>
    </row>
    <row r="85" spans="1:15" s="508" customFormat="1" x14ac:dyDescent="0.2">
      <c r="A85" s="504">
        <v>67</v>
      </c>
      <c r="B85" s="514" t="s">
        <v>81</v>
      </c>
      <c r="C85" s="506" t="s">
        <v>622</v>
      </c>
      <c r="D85" s="507" t="s">
        <v>619</v>
      </c>
      <c r="E85" s="498">
        <f t="shared" ref="E85:L85" si="5">SUM(E86:E89)</f>
        <v>16125</v>
      </c>
      <c r="F85" s="498">
        <f t="shared" si="5"/>
        <v>381</v>
      </c>
      <c r="G85" s="498">
        <f t="shared" si="5"/>
        <v>661</v>
      </c>
      <c r="H85" s="498">
        <f t="shared" si="5"/>
        <v>327</v>
      </c>
      <c r="I85" s="498">
        <f t="shared" si="5"/>
        <v>14756</v>
      </c>
      <c r="J85" s="498">
        <f t="shared" si="5"/>
        <v>25</v>
      </c>
      <c r="K85" s="498">
        <f t="shared" si="5"/>
        <v>10</v>
      </c>
      <c r="L85" s="498">
        <f t="shared" si="5"/>
        <v>16150</v>
      </c>
      <c r="M85" s="498"/>
      <c r="O85" s="509"/>
    </row>
    <row r="86" spans="1:15" x14ac:dyDescent="0.2">
      <c r="A86" s="490"/>
      <c r="B86" s="490"/>
      <c r="C86" s="490" t="s">
        <v>620</v>
      </c>
      <c r="D86" s="492" t="s">
        <v>611</v>
      </c>
      <c r="E86" s="493">
        <f>14412+40</f>
        <v>14452</v>
      </c>
      <c r="F86" s="493">
        <v>27</v>
      </c>
      <c r="G86" s="493">
        <v>661</v>
      </c>
      <c r="H86" s="493">
        <v>327</v>
      </c>
      <c r="I86" s="493">
        <f>E86-F86-G86-H86</f>
        <v>13437</v>
      </c>
      <c r="J86" s="495"/>
      <c r="K86" s="495"/>
      <c r="L86" s="493">
        <f>E86+J86</f>
        <v>14452</v>
      </c>
      <c r="M86" s="493"/>
      <c r="O86" s="494"/>
    </row>
    <row r="87" spans="1:15" x14ac:dyDescent="0.2">
      <c r="A87" s="490"/>
      <c r="B87" s="490"/>
      <c r="C87" s="490">
        <v>13023</v>
      </c>
      <c r="D87" s="573" t="s">
        <v>619</v>
      </c>
      <c r="E87" s="566">
        <f>1617+101-50+5</f>
        <v>1673</v>
      </c>
      <c r="F87" s="566">
        <f>303+101-50</f>
        <v>354</v>
      </c>
      <c r="G87" s="566"/>
      <c r="H87" s="566"/>
      <c r="I87" s="566">
        <f>E87-F87-G87-H87</f>
        <v>1319</v>
      </c>
      <c r="J87" s="510">
        <v>10</v>
      </c>
      <c r="K87" s="572">
        <v>10</v>
      </c>
      <c r="L87" s="566">
        <f>E87+J87+J88</f>
        <v>1698</v>
      </c>
      <c r="M87" s="511"/>
      <c r="O87" s="494"/>
    </row>
    <row r="88" spans="1:15" ht="12.75" customHeight="1" x14ac:dyDescent="0.2">
      <c r="A88" s="490"/>
      <c r="B88" s="490"/>
      <c r="C88" s="490">
        <v>13013</v>
      </c>
      <c r="D88" s="567"/>
      <c r="E88" s="567"/>
      <c r="F88" s="567"/>
      <c r="G88" s="567"/>
      <c r="H88" s="567"/>
      <c r="I88" s="567"/>
      <c r="J88" s="572">
        <f>20-5</f>
        <v>15</v>
      </c>
      <c r="K88" s="567"/>
      <c r="L88" s="567"/>
      <c r="M88" s="512"/>
      <c r="O88" s="494"/>
    </row>
    <row r="89" spans="1:15" ht="12.75" customHeight="1" x14ac:dyDescent="0.2">
      <c r="A89" s="490"/>
      <c r="B89" s="490"/>
      <c r="C89" s="490">
        <v>13012</v>
      </c>
      <c r="D89" s="568"/>
      <c r="E89" s="568"/>
      <c r="F89" s="568"/>
      <c r="G89" s="568"/>
      <c r="H89" s="568"/>
      <c r="I89" s="568"/>
      <c r="J89" s="568"/>
      <c r="K89" s="568"/>
      <c r="L89" s="568"/>
      <c r="M89" s="513"/>
      <c r="O89" s="494"/>
    </row>
    <row r="90" spans="1:15" s="508" customFormat="1" x14ac:dyDescent="0.2">
      <c r="A90" s="504">
        <v>68</v>
      </c>
      <c r="B90" s="514" t="s">
        <v>4</v>
      </c>
      <c r="C90" s="506" t="s">
        <v>623</v>
      </c>
      <c r="D90" s="507" t="s">
        <v>619</v>
      </c>
      <c r="E90" s="498">
        <f>SUM(E91:E95)</f>
        <v>22021</v>
      </c>
      <c r="F90" s="498">
        <f t="shared" ref="F90:L90" si="6">SUM(F91:F95)</f>
        <v>263</v>
      </c>
      <c r="G90" s="498">
        <f t="shared" si="6"/>
        <v>675</v>
      </c>
      <c r="H90" s="498">
        <f t="shared" si="6"/>
        <v>1385</v>
      </c>
      <c r="I90" s="498">
        <f t="shared" si="6"/>
        <v>19698</v>
      </c>
      <c r="J90" s="498">
        <f t="shared" si="6"/>
        <v>162</v>
      </c>
      <c r="K90" s="498">
        <f t="shared" si="6"/>
        <v>0</v>
      </c>
      <c r="L90" s="498">
        <f t="shared" si="6"/>
        <v>22183</v>
      </c>
      <c r="M90" s="498"/>
      <c r="O90" s="509"/>
    </row>
    <row r="91" spans="1:15" x14ac:dyDescent="0.2">
      <c r="A91" s="490"/>
      <c r="B91" s="490"/>
      <c r="C91" s="490" t="s">
        <v>620</v>
      </c>
      <c r="D91" s="492" t="s">
        <v>611</v>
      </c>
      <c r="E91" s="493">
        <f>20321-55</f>
        <v>20266</v>
      </c>
      <c r="F91" s="493">
        <f>318-55</f>
        <v>263</v>
      </c>
      <c r="G91" s="493">
        <v>675</v>
      </c>
      <c r="H91" s="493">
        <v>1385</v>
      </c>
      <c r="I91" s="493">
        <f>E91-F91-G91-H91</f>
        <v>17943</v>
      </c>
      <c r="J91" s="495"/>
      <c r="K91" s="495"/>
      <c r="L91" s="493">
        <f>E91+J91</f>
        <v>20266</v>
      </c>
      <c r="M91" s="493"/>
      <c r="O91" s="494"/>
    </row>
    <row r="92" spans="1:15" x14ac:dyDescent="0.2">
      <c r="A92" s="490"/>
      <c r="B92" s="490"/>
      <c r="C92" s="490">
        <v>12232</v>
      </c>
      <c r="D92" s="492" t="s">
        <v>619</v>
      </c>
      <c r="E92" s="493">
        <f>374-5</f>
        <v>369</v>
      </c>
      <c r="F92" s="493"/>
      <c r="G92" s="493"/>
      <c r="H92" s="493"/>
      <c r="I92" s="493">
        <f>E92-F92-G92-H92</f>
        <v>369</v>
      </c>
      <c r="J92" s="510">
        <v>162</v>
      </c>
      <c r="K92" s="510"/>
      <c r="L92" s="493">
        <f>E92+J92</f>
        <v>531</v>
      </c>
      <c r="M92" s="493"/>
      <c r="O92" s="494"/>
    </row>
    <row r="93" spans="1:15" x14ac:dyDescent="0.2">
      <c r="A93" s="490"/>
      <c r="B93" s="490"/>
      <c r="C93" s="490" t="s">
        <v>624</v>
      </c>
      <c r="D93" s="558" t="s">
        <v>603</v>
      </c>
      <c r="E93" s="566">
        <v>1386</v>
      </c>
      <c r="F93" s="566"/>
      <c r="G93" s="566"/>
      <c r="H93" s="566"/>
      <c r="I93" s="566">
        <f>E93-F93-G93-H93</f>
        <v>1386</v>
      </c>
      <c r="J93" s="566"/>
      <c r="K93" s="566"/>
      <c r="L93" s="566">
        <f>E93+J93</f>
        <v>1386</v>
      </c>
      <c r="M93" s="493"/>
      <c r="O93" s="494"/>
    </row>
    <row r="94" spans="1:15" x14ac:dyDescent="0.2">
      <c r="A94" s="490"/>
      <c r="B94" s="490"/>
      <c r="C94" s="490" t="s">
        <v>625</v>
      </c>
      <c r="D94" s="564"/>
      <c r="E94" s="567"/>
      <c r="F94" s="567"/>
      <c r="G94" s="567"/>
      <c r="H94" s="567"/>
      <c r="I94" s="567"/>
      <c r="J94" s="567"/>
      <c r="K94" s="567"/>
      <c r="L94" s="567"/>
      <c r="M94" s="492"/>
      <c r="O94" s="494"/>
    </row>
    <row r="95" spans="1:15" x14ac:dyDescent="0.2">
      <c r="A95" s="490"/>
      <c r="B95" s="490"/>
      <c r="C95" s="490" t="s">
        <v>626</v>
      </c>
      <c r="D95" s="565"/>
      <c r="E95" s="568"/>
      <c r="F95" s="568"/>
      <c r="G95" s="568"/>
      <c r="H95" s="568"/>
      <c r="I95" s="568"/>
      <c r="J95" s="568"/>
      <c r="K95" s="568"/>
      <c r="L95" s="568"/>
      <c r="M95" s="492"/>
      <c r="O95" s="494"/>
    </row>
    <row r="96" spans="1:15" s="508" customFormat="1" x14ac:dyDescent="0.2">
      <c r="A96" s="504">
        <v>69</v>
      </c>
      <c r="B96" s="517" t="s">
        <v>66</v>
      </c>
      <c r="C96" s="506" t="s">
        <v>627</v>
      </c>
      <c r="D96" s="507" t="s">
        <v>619</v>
      </c>
      <c r="E96" s="498">
        <f>SUM(E97:E99)</f>
        <v>18229</v>
      </c>
      <c r="F96" s="498">
        <f t="shared" ref="F96:L96" si="7">SUM(F97:F99)</f>
        <v>79</v>
      </c>
      <c r="G96" s="498">
        <f t="shared" si="7"/>
        <v>0</v>
      </c>
      <c r="H96" s="498">
        <f t="shared" si="7"/>
        <v>1872</v>
      </c>
      <c r="I96" s="498">
        <f t="shared" si="7"/>
        <v>16278</v>
      </c>
      <c r="J96" s="498">
        <f t="shared" si="7"/>
        <v>30</v>
      </c>
      <c r="K96" s="498">
        <f t="shared" si="7"/>
        <v>0</v>
      </c>
      <c r="L96" s="498">
        <f t="shared" si="7"/>
        <v>18259</v>
      </c>
      <c r="M96" s="498"/>
      <c r="O96" s="509"/>
    </row>
    <row r="97" spans="1:15" x14ac:dyDescent="0.2">
      <c r="A97" s="490"/>
      <c r="B97" s="490"/>
      <c r="C97" s="490" t="s">
        <v>620</v>
      </c>
      <c r="D97" s="492" t="s">
        <v>607</v>
      </c>
      <c r="E97" s="493">
        <f>17327-152+4-30</f>
        <v>17149</v>
      </c>
      <c r="F97" s="493">
        <f>109-30</f>
        <v>79</v>
      </c>
      <c r="G97" s="493"/>
      <c r="H97" s="493">
        <v>1872</v>
      </c>
      <c r="I97" s="493">
        <f>E97-F97-G97-H97</f>
        <v>15198</v>
      </c>
      <c r="J97" s="495"/>
      <c r="K97" s="495"/>
      <c r="L97" s="493">
        <f>E97+J97</f>
        <v>17149</v>
      </c>
      <c r="M97" s="493"/>
      <c r="O97" s="494"/>
    </row>
    <row r="98" spans="1:15" x14ac:dyDescent="0.2">
      <c r="A98" s="490"/>
      <c r="B98" s="490"/>
      <c r="C98" s="490">
        <v>14029</v>
      </c>
      <c r="D98" s="558" t="s">
        <v>619</v>
      </c>
      <c r="E98" s="566">
        <v>1080</v>
      </c>
      <c r="F98" s="566"/>
      <c r="G98" s="566"/>
      <c r="H98" s="566"/>
      <c r="I98" s="566">
        <f>E98-F98-G98-H98</f>
        <v>1080</v>
      </c>
      <c r="J98" s="572">
        <v>30</v>
      </c>
      <c r="K98" s="572"/>
      <c r="L98" s="566">
        <f>E98+E99+J98</f>
        <v>1110</v>
      </c>
      <c r="M98" s="493"/>
      <c r="O98" s="494"/>
    </row>
    <row r="99" spans="1:15" x14ac:dyDescent="0.2">
      <c r="A99" s="490"/>
      <c r="B99" s="490"/>
      <c r="C99" s="490">
        <v>14136</v>
      </c>
      <c r="D99" s="565"/>
      <c r="E99" s="568"/>
      <c r="F99" s="568"/>
      <c r="G99" s="568"/>
      <c r="H99" s="568"/>
      <c r="I99" s="568"/>
      <c r="J99" s="568"/>
      <c r="K99" s="568"/>
      <c r="L99" s="568"/>
      <c r="M99" s="492"/>
      <c r="O99" s="494"/>
    </row>
    <row r="100" spans="1:15" s="508" customFormat="1" x14ac:dyDescent="0.2">
      <c r="A100" s="504">
        <v>70</v>
      </c>
      <c r="B100" s="517" t="s">
        <v>6</v>
      </c>
      <c r="C100" s="506" t="s">
        <v>628</v>
      </c>
      <c r="D100" s="507" t="s">
        <v>619</v>
      </c>
      <c r="E100" s="498">
        <f>SUM(E101:E110)</f>
        <v>25994</v>
      </c>
      <c r="F100" s="498">
        <f t="shared" ref="F100:L100" si="8">SUM(F101:F110)</f>
        <v>543</v>
      </c>
      <c r="G100" s="498">
        <f t="shared" si="8"/>
        <v>757</v>
      </c>
      <c r="H100" s="498">
        <f t="shared" si="8"/>
        <v>0</v>
      </c>
      <c r="I100" s="498">
        <f t="shared" si="8"/>
        <v>24694</v>
      </c>
      <c r="J100" s="498">
        <f t="shared" si="8"/>
        <v>915</v>
      </c>
      <c r="K100" s="498">
        <f t="shared" si="8"/>
        <v>100</v>
      </c>
      <c r="L100" s="498">
        <f t="shared" si="8"/>
        <v>26909</v>
      </c>
      <c r="M100" s="498"/>
      <c r="O100" s="509"/>
    </row>
    <row r="101" spans="1:15" x14ac:dyDescent="0.2">
      <c r="A101" s="490"/>
      <c r="B101" s="490"/>
      <c r="C101" s="490" t="s">
        <v>620</v>
      </c>
      <c r="D101" s="492" t="s">
        <v>607</v>
      </c>
      <c r="E101" s="493">
        <f>18995+152+1</f>
        <v>19148</v>
      </c>
      <c r="F101" s="493">
        <v>162</v>
      </c>
      <c r="G101" s="493">
        <v>757</v>
      </c>
      <c r="H101" s="493"/>
      <c r="I101" s="493">
        <f>E101-F101-G101-H101</f>
        <v>18229</v>
      </c>
      <c r="J101" s="495"/>
      <c r="K101" s="495"/>
      <c r="L101" s="493">
        <f>E101+J101</f>
        <v>19148</v>
      </c>
      <c r="M101" s="493"/>
      <c r="O101" s="494"/>
    </row>
    <row r="102" spans="1:15" x14ac:dyDescent="0.2">
      <c r="A102" s="490"/>
      <c r="B102" s="490"/>
      <c r="C102" s="490">
        <v>16044</v>
      </c>
      <c r="D102" s="558" t="s">
        <v>619</v>
      </c>
      <c r="E102" s="566">
        <f>7045+1-200</f>
        <v>6846</v>
      </c>
      <c r="F102" s="566">
        <f>580+1-200</f>
        <v>381</v>
      </c>
      <c r="G102" s="566"/>
      <c r="H102" s="566"/>
      <c r="I102" s="566">
        <f>E102-F102-G102-H102</f>
        <v>6465</v>
      </c>
      <c r="J102" s="510">
        <v>27</v>
      </c>
      <c r="K102" s="572">
        <v>100</v>
      </c>
      <c r="L102" s="566">
        <f>E102+J102+J103+J104+J105+J106+J110</f>
        <v>7761</v>
      </c>
      <c r="M102" s="515"/>
      <c r="O102" s="494"/>
    </row>
    <row r="103" spans="1:15" x14ac:dyDescent="0.2">
      <c r="A103" s="490"/>
      <c r="B103" s="490"/>
      <c r="C103" s="490">
        <v>16050</v>
      </c>
      <c r="D103" s="564"/>
      <c r="E103" s="567"/>
      <c r="F103" s="567"/>
      <c r="G103" s="567"/>
      <c r="H103" s="567"/>
      <c r="I103" s="567"/>
      <c r="J103" s="510">
        <v>20</v>
      </c>
      <c r="K103" s="567"/>
      <c r="L103" s="567"/>
      <c r="M103" s="518"/>
      <c r="O103" s="494"/>
    </row>
    <row r="104" spans="1:15" x14ac:dyDescent="0.2">
      <c r="A104" s="490"/>
      <c r="B104" s="490"/>
      <c r="C104" s="490">
        <v>16301</v>
      </c>
      <c r="D104" s="564"/>
      <c r="E104" s="567"/>
      <c r="F104" s="567"/>
      <c r="G104" s="567"/>
      <c r="H104" s="567"/>
      <c r="I104" s="567"/>
      <c r="J104" s="510">
        <v>40</v>
      </c>
      <c r="K104" s="567"/>
      <c r="L104" s="567"/>
      <c r="M104" s="518"/>
      <c r="O104" s="494"/>
    </row>
    <row r="105" spans="1:15" x14ac:dyDescent="0.2">
      <c r="A105" s="490"/>
      <c r="B105" s="490"/>
      <c r="C105" s="490">
        <v>16054</v>
      </c>
      <c r="D105" s="564"/>
      <c r="E105" s="567"/>
      <c r="F105" s="567"/>
      <c r="G105" s="567"/>
      <c r="H105" s="567"/>
      <c r="I105" s="567"/>
      <c r="J105" s="510">
        <v>100</v>
      </c>
      <c r="K105" s="567"/>
      <c r="L105" s="567"/>
      <c r="M105" s="518"/>
      <c r="O105" s="494"/>
    </row>
    <row r="106" spans="1:15" x14ac:dyDescent="0.2">
      <c r="A106" s="490"/>
      <c r="B106" s="490"/>
      <c r="C106" s="490">
        <v>16048</v>
      </c>
      <c r="D106" s="564"/>
      <c r="E106" s="567"/>
      <c r="F106" s="567"/>
      <c r="G106" s="567"/>
      <c r="H106" s="567"/>
      <c r="I106" s="567"/>
      <c r="J106" s="572">
        <v>300</v>
      </c>
      <c r="K106" s="567"/>
      <c r="L106" s="567"/>
      <c r="M106" s="518"/>
      <c r="O106" s="494"/>
    </row>
    <row r="107" spans="1:15" x14ac:dyDescent="0.2">
      <c r="A107" s="490"/>
      <c r="B107" s="490"/>
      <c r="C107" s="490">
        <v>16045</v>
      </c>
      <c r="D107" s="564"/>
      <c r="E107" s="567"/>
      <c r="F107" s="567"/>
      <c r="G107" s="567"/>
      <c r="H107" s="567"/>
      <c r="I107" s="567"/>
      <c r="J107" s="567"/>
      <c r="K107" s="567"/>
      <c r="L107" s="567"/>
      <c r="M107" s="518"/>
      <c r="O107" s="494"/>
    </row>
    <row r="108" spans="1:15" x14ac:dyDescent="0.2">
      <c r="A108" s="490"/>
      <c r="B108" s="490"/>
      <c r="C108" s="490">
        <v>16304</v>
      </c>
      <c r="D108" s="564"/>
      <c r="E108" s="567"/>
      <c r="F108" s="567"/>
      <c r="G108" s="567"/>
      <c r="H108" s="567"/>
      <c r="I108" s="567"/>
      <c r="J108" s="567"/>
      <c r="K108" s="567"/>
      <c r="L108" s="567"/>
      <c r="M108" s="518"/>
      <c r="O108" s="494"/>
    </row>
    <row r="109" spans="1:15" x14ac:dyDescent="0.2">
      <c r="A109" s="490"/>
      <c r="B109" s="490"/>
      <c r="C109" s="490">
        <v>16281</v>
      </c>
      <c r="D109" s="564"/>
      <c r="E109" s="567"/>
      <c r="F109" s="567"/>
      <c r="G109" s="567"/>
      <c r="H109" s="567"/>
      <c r="I109" s="567"/>
      <c r="J109" s="568"/>
      <c r="K109" s="567"/>
      <c r="L109" s="567"/>
      <c r="M109" s="518"/>
      <c r="O109" s="494"/>
    </row>
    <row r="110" spans="1:15" x14ac:dyDescent="0.2">
      <c r="A110" s="490"/>
      <c r="B110" s="490"/>
      <c r="C110" s="490">
        <v>16303</v>
      </c>
      <c r="D110" s="565"/>
      <c r="E110" s="568"/>
      <c r="F110" s="568"/>
      <c r="G110" s="568"/>
      <c r="H110" s="568"/>
      <c r="I110" s="568"/>
      <c r="J110" s="510">
        <v>428</v>
      </c>
      <c r="K110" s="568"/>
      <c r="L110" s="568"/>
      <c r="M110" s="516"/>
      <c r="O110" s="494"/>
    </row>
    <row r="111" spans="1:15" s="508" customFormat="1" x14ac:dyDescent="0.2">
      <c r="A111" s="504">
        <v>71</v>
      </c>
      <c r="B111" s="517" t="s">
        <v>130</v>
      </c>
      <c r="C111" s="506" t="s">
        <v>629</v>
      </c>
      <c r="D111" s="507" t="s">
        <v>619</v>
      </c>
      <c r="E111" s="498">
        <f>SUM(E112:E114)</f>
        <v>6659</v>
      </c>
      <c r="F111" s="498">
        <f t="shared" ref="F111:L111" si="9">SUM(F112:F114)</f>
        <v>0</v>
      </c>
      <c r="G111" s="498">
        <f t="shared" si="9"/>
        <v>996</v>
      </c>
      <c r="H111" s="498">
        <f t="shared" si="9"/>
        <v>1468</v>
      </c>
      <c r="I111" s="498">
        <f t="shared" si="9"/>
        <v>4195</v>
      </c>
      <c r="J111" s="498">
        <f t="shared" si="9"/>
        <v>200</v>
      </c>
      <c r="K111" s="498">
        <f t="shared" si="9"/>
        <v>0</v>
      </c>
      <c r="L111" s="498">
        <f t="shared" si="9"/>
        <v>6859</v>
      </c>
      <c r="M111" s="498"/>
      <c r="O111" s="509"/>
    </row>
    <row r="112" spans="1:15" x14ac:dyDescent="0.2">
      <c r="A112" s="490"/>
      <c r="B112" s="490"/>
      <c r="C112" s="490" t="s">
        <v>620</v>
      </c>
      <c r="D112" s="492" t="s">
        <v>611</v>
      </c>
      <c r="E112" s="493">
        <f>4486-13</f>
        <v>4473</v>
      </c>
      <c r="F112" s="493"/>
      <c r="G112" s="493">
        <v>996</v>
      </c>
      <c r="H112" s="493">
        <v>1468</v>
      </c>
      <c r="I112" s="493">
        <f>E112-F112-G112-H112</f>
        <v>2009</v>
      </c>
      <c r="J112" s="495"/>
      <c r="K112" s="495"/>
      <c r="L112" s="493">
        <f>E112+J112</f>
        <v>4473</v>
      </c>
      <c r="M112" s="493"/>
      <c r="O112" s="494"/>
    </row>
    <row r="113" spans="1:15" x14ac:dyDescent="0.2">
      <c r="A113" s="490"/>
      <c r="B113" s="490"/>
      <c r="C113" s="490">
        <v>163</v>
      </c>
      <c r="D113" s="558" t="s">
        <v>619</v>
      </c>
      <c r="E113" s="566">
        <v>2186</v>
      </c>
      <c r="F113" s="566"/>
      <c r="G113" s="566"/>
      <c r="H113" s="566"/>
      <c r="I113" s="566">
        <f>E113-F113-G113-H113</f>
        <v>2186</v>
      </c>
      <c r="J113" s="572">
        <v>200</v>
      </c>
      <c r="K113" s="572"/>
      <c r="L113" s="566">
        <f>E113+J113</f>
        <v>2386</v>
      </c>
      <c r="M113" s="493"/>
      <c r="O113" s="494"/>
    </row>
    <row r="114" spans="1:15" x14ac:dyDescent="0.2">
      <c r="A114" s="490"/>
      <c r="B114" s="490"/>
      <c r="C114" s="490">
        <v>164</v>
      </c>
      <c r="D114" s="565"/>
      <c r="E114" s="568"/>
      <c r="F114" s="568"/>
      <c r="G114" s="568"/>
      <c r="H114" s="568"/>
      <c r="I114" s="568"/>
      <c r="J114" s="568"/>
      <c r="K114" s="568"/>
      <c r="L114" s="568"/>
      <c r="M114" s="492"/>
      <c r="O114" s="494"/>
    </row>
    <row r="115" spans="1:15" s="508" customFormat="1" x14ac:dyDescent="0.2">
      <c r="A115" s="504">
        <v>72</v>
      </c>
      <c r="B115" s="517" t="s">
        <v>131</v>
      </c>
      <c r="C115" s="506" t="s">
        <v>365</v>
      </c>
      <c r="D115" s="507" t="s">
        <v>619</v>
      </c>
      <c r="E115" s="498">
        <f t="shared" ref="E115:L115" si="10">SUM(E116:E122)</f>
        <v>12406</v>
      </c>
      <c r="F115" s="498">
        <f t="shared" si="10"/>
        <v>773</v>
      </c>
      <c r="G115" s="498">
        <f t="shared" si="10"/>
        <v>655</v>
      </c>
      <c r="H115" s="498">
        <f t="shared" si="10"/>
        <v>1334</v>
      </c>
      <c r="I115" s="498">
        <f t="shared" si="10"/>
        <v>9644</v>
      </c>
      <c r="J115" s="498">
        <f t="shared" si="10"/>
        <v>373</v>
      </c>
      <c r="K115" s="498">
        <f t="shared" si="10"/>
        <v>0</v>
      </c>
      <c r="L115" s="498">
        <f t="shared" si="10"/>
        <v>12779</v>
      </c>
      <c r="M115" s="498"/>
      <c r="O115" s="509"/>
    </row>
    <row r="116" spans="1:15" x14ac:dyDescent="0.2">
      <c r="A116" s="490"/>
      <c r="B116" s="490"/>
      <c r="C116" s="490" t="s">
        <v>620</v>
      </c>
      <c r="D116" s="492" t="s">
        <v>611</v>
      </c>
      <c r="E116" s="493">
        <f>7806+2-5+92</f>
        <v>7895</v>
      </c>
      <c r="F116" s="493">
        <f>109-5</f>
        <v>104</v>
      </c>
      <c r="G116" s="493">
        <v>655</v>
      </c>
      <c r="H116" s="493">
        <v>1334</v>
      </c>
      <c r="I116" s="493">
        <f>E116-F116-G116-H116</f>
        <v>5802</v>
      </c>
      <c r="J116" s="495"/>
      <c r="K116" s="495"/>
      <c r="L116" s="493">
        <f>E116+J116</f>
        <v>7895</v>
      </c>
      <c r="M116" s="493"/>
      <c r="O116" s="494"/>
    </row>
    <row r="117" spans="1:15" x14ac:dyDescent="0.2">
      <c r="A117" s="490"/>
      <c r="B117" s="490"/>
      <c r="C117" s="490">
        <v>70</v>
      </c>
      <c r="D117" s="558" t="s">
        <v>619</v>
      </c>
      <c r="E117" s="566">
        <f>3841-210+2</f>
        <v>3633</v>
      </c>
      <c r="F117" s="566">
        <f>877-210+2</f>
        <v>669</v>
      </c>
      <c r="G117" s="566"/>
      <c r="H117" s="566"/>
      <c r="I117" s="566">
        <f>E117-F117-G117-H117</f>
        <v>2964</v>
      </c>
      <c r="J117" s="510">
        <v>100</v>
      </c>
      <c r="K117" s="572"/>
      <c r="L117" s="566">
        <f>E117+J117+J118+J119+J120</f>
        <v>4006</v>
      </c>
      <c r="M117" s="519"/>
      <c r="O117" s="494"/>
    </row>
    <row r="118" spans="1:15" x14ac:dyDescent="0.2">
      <c r="A118" s="490"/>
      <c r="B118" s="490"/>
      <c r="C118" s="490">
        <v>73</v>
      </c>
      <c r="D118" s="564"/>
      <c r="E118" s="567"/>
      <c r="F118" s="567"/>
      <c r="G118" s="567"/>
      <c r="H118" s="567"/>
      <c r="I118" s="567"/>
      <c r="J118" s="510">
        <v>170</v>
      </c>
      <c r="K118" s="567"/>
      <c r="L118" s="567"/>
      <c r="M118" s="520"/>
      <c r="O118" s="494"/>
    </row>
    <row r="119" spans="1:15" x14ac:dyDescent="0.2">
      <c r="A119" s="490"/>
      <c r="B119" s="490"/>
      <c r="C119" s="490">
        <v>74</v>
      </c>
      <c r="D119" s="564"/>
      <c r="E119" s="567"/>
      <c r="F119" s="567"/>
      <c r="G119" s="567"/>
      <c r="H119" s="567"/>
      <c r="I119" s="567"/>
      <c r="J119" s="510">
        <v>24</v>
      </c>
      <c r="K119" s="567"/>
      <c r="L119" s="567"/>
      <c r="M119" s="520"/>
      <c r="O119" s="494"/>
    </row>
    <row r="120" spans="1:15" x14ac:dyDescent="0.2">
      <c r="A120" s="490"/>
      <c r="B120" s="490"/>
      <c r="C120" s="490">
        <v>178</v>
      </c>
      <c r="D120" s="564"/>
      <c r="E120" s="567"/>
      <c r="F120" s="567"/>
      <c r="G120" s="567"/>
      <c r="H120" s="567"/>
      <c r="I120" s="567"/>
      <c r="J120" s="572">
        <v>79</v>
      </c>
      <c r="K120" s="567"/>
      <c r="L120" s="567"/>
      <c r="M120" s="520"/>
      <c r="O120" s="494"/>
    </row>
    <row r="121" spans="1:15" x14ac:dyDescent="0.2">
      <c r="A121" s="490"/>
      <c r="B121" s="490"/>
      <c r="C121" s="490">
        <v>181</v>
      </c>
      <c r="D121" s="565"/>
      <c r="E121" s="568"/>
      <c r="F121" s="568"/>
      <c r="G121" s="568"/>
      <c r="H121" s="568"/>
      <c r="I121" s="568"/>
      <c r="J121" s="568"/>
      <c r="K121" s="568"/>
      <c r="L121" s="568"/>
      <c r="M121" s="521"/>
      <c r="O121" s="494"/>
    </row>
    <row r="122" spans="1:15" x14ac:dyDescent="0.2">
      <c r="A122" s="490"/>
      <c r="B122" s="490"/>
      <c r="C122" s="490">
        <v>700</v>
      </c>
      <c r="D122" s="492" t="s">
        <v>603</v>
      </c>
      <c r="E122" s="493">
        <v>878</v>
      </c>
      <c r="F122" s="493"/>
      <c r="G122" s="493"/>
      <c r="H122" s="493"/>
      <c r="I122" s="493">
        <f>E122-F122-G122-H122</f>
        <v>878</v>
      </c>
      <c r="J122" s="495"/>
      <c r="K122" s="495"/>
      <c r="L122" s="493">
        <f>E122+J122</f>
        <v>878</v>
      </c>
      <c r="M122" s="493"/>
      <c r="O122" s="494"/>
    </row>
    <row r="123" spans="1:15" s="508" customFormat="1" x14ac:dyDescent="0.2">
      <c r="A123" s="504">
        <v>73</v>
      </c>
      <c r="B123" s="514" t="s">
        <v>126</v>
      </c>
      <c r="C123" s="506" t="s">
        <v>630</v>
      </c>
      <c r="D123" s="507" t="s">
        <v>619</v>
      </c>
      <c r="E123" s="498">
        <f t="shared" ref="E123:L123" si="11">SUM(E124:E125)</f>
        <v>16722</v>
      </c>
      <c r="F123" s="498">
        <f t="shared" si="11"/>
        <v>14</v>
      </c>
      <c r="G123" s="498">
        <f t="shared" si="11"/>
        <v>0</v>
      </c>
      <c r="H123" s="498">
        <f t="shared" si="11"/>
        <v>3795</v>
      </c>
      <c r="I123" s="498">
        <f t="shared" si="11"/>
        <v>12913</v>
      </c>
      <c r="J123" s="498">
        <f t="shared" si="11"/>
        <v>30</v>
      </c>
      <c r="K123" s="498">
        <f t="shared" si="11"/>
        <v>0</v>
      </c>
      <c r="L123" s="498">
        <f t="shared" si="11"/>
        <v>16752</v>
      </c>
      <c r="M123" s="498"/>
      <c r="O123" s="509"/>
    </row>
    <row r="124" spans="1:15" ht="14.25" customHeight="1" x14ac:dyDescent="0.2">
      <c r="A124" s="490"/>
      <c r="B124" s="490"/>
      <c r="C124" s="490" t="s">
        <v>620</v>
      </c>
      <c r="D124" s="492" t="s">
        <v>611</v>
      </c>
      <c r="E124" s="493">
        <f>14123-27+3</f>
        <v>14099</v>
      </c>
      <c r="F124" s="493">
        <v>14</v>
      </c>
      <c r="G124" s="493"/>
      <c r="H124" s="493">
        <v>3795</v>
      </c>
      <c r="I124" s="493">
        <f>E124-F124-G124-H124</f>
        <v>10290</v>
      </c>
      <c r="J124" s="495"/>
      <c r="K124" s="495"/>
      <c r="L124" s="493">
        <f>E124+J124</f>
        <v>14099</v>
      </c>
      <c r="M124" s="493"/>
      <c r="O124" s="494"/>
    </row>
    <row r="125" spans="1:15" ht="24" customHeight="1" x14ac:dyDescent="0.2">
      <c r="A125" s="490"/>
      <c r="B125" s="490"/>
      <c r="C125" s="490">
        <v>53</v>
      </c>
      <c r="D125" s="492" t="s">
        <v>619</v>
      </c>
      <c r="E125" s="493">
        <f>2643-20</f>
        <v>2623</v>
      </c>
      <c r="F125" s="493"/>
      <c r="G125" s="493"/>
      <c r="H125" s="493"/>
      <c r="I125" s="493">
        <f>E125-F125-G125-H125</f>
        <v>2623</v>
      </c>
      <c r="J125" s="510">
        <v>30</v>
      </c>
      <c r="K125" s="510"/>
      <c r="L125" s="493">
        <f>E125+J125</f>
        <v>2653</v>
      </c>
      <c r="M125" s="493"/>
      <c r="O125" s="494"/>
    </row>
    <row r="126" spans="1:15" s="508" customFormat="1" x14ac:dyDescent="0.2">
      <c r="A126" s="504">
        <v>74</v>
      </c>
      <c r="B126" s="517" t="s">
        <v>135</v>
      </c>
      <c r="C126" s="506" t="s">
        <v>631</v>
      </c>
      <c r="D126" s="507" t="s">
        <v>619</v>
      </c>
      <c r="E126" s="498">
        <f t="shared" ref="E126:L126" si="12">SUM(E127:E129)</f>
        <v>9039</v>
      </c>
      <c r="F126" s="498">
        <f t="shared" si="12"/>
        <v>0</v>
      </c>
      <c r="G126" s="498">
        <f t="shared" si="12"/>
        <v>0</v>
      </c>
      <c r="H126" s="498">
        <f t="shared" si="12"/>
        <v>0</v>
      </c>
      <c r="I126" s="498">
        <f t="shared" si="12"/>
        <v>9039</v>
      </c>
      <c r="J126" s="498">
        <f t="shared" si="12"/>
        <v>116</v>
      </c>
      <c r="K126" s="498">
        <f t="shared" si="12"/>
        <v>0</v>
      </c>
      <c r="L126" s="498">
        <f t="shared" si="12"/>
        <v>9155</v>
      </c>
      <c r="M126" s="498"/>
      <c r="O126" s="509"/>
    </row>
    <row r="127" spans="1:15" ht="21" customHeight="1" x14ac:dyDescent="0.2">
      <c r="A127" s="490"/>
      <c r="B127" s="490"/>
      <c r="C127" s="490" t="s">
        <v>620</v>
      </c>
      <c r="D127" s="492" t="s">
        <v>607</v>
      </c>
      <c r="E127" s="493">
        <v>3518</v>
      </c>
      <c r="F127" s="493"/>
      <c r="G127" s="493"/>
      <c r="H127" s="493"/>
      <c r="I127" s="493">
        <f>E127-F127-G127-H127</f>
        <v>3518</v>
      </c>
      <c r="J127" s="495"/>
      <c r="K127" s="495"/>
      <c r="L127" s="493">
        <f>E127+J127</f>
        <v>3518</v>
      </c>
      <c r="M127" s="493"/>
      <c r="O127" s="494"/>
    </row>
    <row r="128" spans="1:15" ht="15.75" customHeight="1" x14ac:dyDescent="0.2">
      <c r="A128" s="490"/>
      <c r="B128" s="490"/>
      <c r="C128" s="490">
        <v>191</v>
      </c>
      <c r="D128" s="558" t="s">
        <v>619</v>
      </c>
      <c r="E128" s="566">
        <f>5524-3</f>
        <v>5521</v>
      </c>
      <c r="F128" s="566"/>
      <c r="G128" s="566"/>
      <c r="H128" s="566"/>
      <c r="I128" s="566">
        <f>E128-F128-G128-H128</f>
        <v>5521</v>
      </c>
      <c r="J128" s="492">
        <v>76</v>
      </c>
      <c r="K128" s="566"/>
      <c r="L128" s="574">
        <f>E128+J128+J129</f>
        <v>5637</v>
      </c>
      <c r="M128" s="493"/>
      <c r="O128" s="494"/>
    </row>
    <row r="129" spans="1:15" x14ac:dyDescent="0.2">
      <c r="A129" s="490"/>
      <c r="B129" s="490"/>
      <c r="C129" s="490">
        <v>295</v>
      </c>
      <c r="D129" s="565"/>
      <c r="E129" s="568"/>
      <c r="F129" s="568"/>
      <c r="G129" s="568"/>
      <c r="H129" s="568"/>
      <c r="I129" s="568"/>
      <c r="J129" s="510">
        <v>40</v>
      </c>
      <c r="K129" s="568"/>
      <c r="L129" s="565"/>
      <c r="M129" s="493"/>
      <c r="O129" s="494"/>
    </row>
    <row r="130" spans="1:15" s="508" customFormat="1" x14ac:dyDescent="0.2">
      <c r="A130" s="504">
        <v>75</v>
      </c>
      <c r="B130" s="505" t="s">
        <v>79</v>
      </c>
      <c r="C130" s="506" t="s">
        <v>632</v>
      </c>
      <c r="D130" s="507" t="s">
        <v>619</v>
      </c>
      <c r="E130" s="498">
        <f>E131+E132</f>
        <v>590</v>
      </c>
      <c r="F130" s="498">
        <f>F131+F132</f>
        <v>21</v>
      </c>
      <c r="G130" s="498">
        <f t="shared" ref="G130:L130" si="13">G131+G132</f>
        <v>0</v>
      </c>
      <c r="H130" s="498">
        <f t="shared" si="13"/>
        <v>0</v>
      </c>
      <c r="I130" s="498">
        <f t="shared" si="13"/>
        <v>569</v>
      </c>
      <c r="J130" s="498">
        <f>J131+J132+J133</f>
        <v>42</v>
      </c>
      <c r="K130" s="498">
        <f t="shared" si="13"/>
        <v>3</v>
      </c>
      <c r="L130" s="498">
        <f t="shared" si="13"/>
        <v>632</v>
      </c>
      <c r="M130" s="522"/>
      <c r="O130" s="509"/>
    </row>
    <row r="131" spans="1:15" x14ac:dyDescent="0.2">
      <c r="A131" s="490"/>
      <c r="B131" s="490"/>
      <c r="C131" s="490" t="s">
        <v>620</v>
      </c>
      <c r="D131" s="492" t="s">
        <v>611</v>
      </c>
      <c r="E131" s="493">
        <f>444-14-15</f>
        <v>415</v>
      </c>
      <c r="F131" s="493">
        <f>52-20-15</f>
        <v>17</v>
      </c>
      <c r="G131" s="493"/>
      <c r="H131" s="493"/>
      <c r="I131" s="493">
        <f>E131-F131-G131-H131</f>
        <v>398</v>
      </c>
      <c r="J131" s="495"/>
      <c r="K131" s="495"/>
      <c r="L131" s="493">
        <f>E131+J131</f>
        <v>415</v>
      </c>
      <c r="M131" s="510"/>
      <c r="O131" s="494"/>
    </row>
    <row r="132" spans="1:15" x14ac:dyDescent="0.2">
      <c r="A132" s="490"/>
      <c r="B132" s="490"/>
      <c r="C132" s="490">
        <v>14038</v>
      </c>
      <c r="D132" s="558" t="s">
        <v>619</v>
      </c>
      <c r="E132" s="566">
        <f>161+14</f>
        <v>175</v>
      </c>
      <c r="F132" s="566">
        <v>4</v>
      </c>
      <c r="G132" s="566"/>
      <c r="H132" s="566"/>
      <c r="I132" s="566">
        <f>E132-F132-G132-H132</f>
        <v>171</v>
      </c>
      <c r="J132" s="510">
        <v>10</v>
      </c>
      <c r="K132" s="572">
        <v>3</v>
      </c>
      <c r="L132" s="572">
        <f>E132+J132+J133</f>
        <v>217</v>
      </c>
      <c r="M132" s="515"/>
      <c r="O132" s="494"/>
    </row>
    <row r="133" spans="1:15" x14ac:dyDescent="0.2">
      <c r="A133" s="490"/>
      <c r="B133" s="490"/>
      <c r="C133" s="490">
        <v>14153</v>
      </c>
      <c r="D133" s="565"/>
      <c r="E133" s="568"/>
      <c r="F133" s="568"/>
      <c r="G133" s="568"/>
      <c r="H133" s="568"/>
      <c r="I133" s="568"/>
      <c r="J133" s="510">
        <v>32</v>
      </c>
      <c r="K133" s="568"/>
      <c r="L133" s="568"/>
      <c r="M133" s="516"/>
      <c r="O133" s="494"/>
    </row>
    <row r="134" spans="1:15" s="508" customFormat="1" x14ac:dyDescent="0.2">
      <c r="A134" s="504">
        <v>76</v>
      </c>
      <c r="B134" s="514" t="s">
        <v>181</v>
      </c>
      <c r="C134" s="506" t="s">
        <v>633</v>
      </c>
      <c r="D134" s="507" t="s">
        <v>634</v>
      </c>
      <c r="E134" s="498">
        <f>E135+E136</f>
        <v>27816</v>
      </c>
      <c r="F134" s="498">
        <f>F135+F136</f>
        <v>26727</v>
      </c>
      <c r="G134" s="498">
        <f t="shared" ref="G134:L134" si="14">G135+G136</f>
        <v>0</v>
      </c>
      <c r="H134" s="498">
        <f t="shared" si="14"/>
        <v>0</v>
      </c>
      <c r="I134" s="498">
        <f t="shared" si="14"/>
        <v>1089</v>
      </c>
      <c r="J134" s="498">
        <f t="shared" si="14"/>
        <v>1587</v>
      </c>
      <c r="K134" s="498">
        <f t="shared" si="14"/>
        <v>1587</v>
      </c>
      <c r="L134" s="498">
        <f t="shared" si="14"/>
        <v>29403</v>
      </c>
      <c r="M134" s="498"/>
      <c r="O134" s="509"/>
    </row>
    <row r="135" spans="1:15" x14ac:dyDescent="0.2">
      <c r="A135" s="490"/>
      <c r="B135" s="490"/>
      <c r="C135" s="490" t="s">
        <v>620</v>
      </c>
      <c r="D135" s="492" t="s">
        <v>607</v>
      </c>
      <c r="E135" s="493">
        <f>6236+1041</f>
        <v>7277</v>
      </c>
      <c r="F135" s="493">
        <f>6236+1041</f>
        <v>7277</v>
      </c>
      <c r="G135" s="493"/>
      <c r="H135" s="493"/>
      <c r="I135" s="493">
        <f>E135-F135-G135-H135</f>
        <v>0</v>
      </c>
      <c r="J135" s="495"/>
      <c r="K135" s="495"/>
      <c r="L135" s="493">
        <f>E135+J135</f>
        <v>7277</v>
      </c>
      <c r="M135" s="493"/>
      <c r="O135" s="494"/>
    </row>
    <row r="136" spans="1:15" x14ac:dyDescent="0.2">
      <c r="A136" s="490"/>
      <c r="B136" s="490"/>
      <c r="C136" s="490">
        <v>22100</v>
      </c>
      <c r="D136" s="558" t="s">
        <v>634</v>
      </c>
      <c r="E136" s="566">
        <f>19638-2-101-5-117+1099+32-1-4</f>
        <v>20539</v>
      </c>
      <c r="F136" s="566">
        <f>18581-2-101-5-117+1099-1-4</f>
        <v>19450</v>
      </c>
      <c r="G136" s="566"/>
      <c r="H136" s="566"/>
      <c r="I136" s="566">
        <f>E136-F136-G136-H136</f>
        <v>1089</v>
      </c>
      <c r="J136" s="566">
        <v>1587</v>
      </c>
      <c r="K136" s="566">
        <v>1587</v>
      </c>
      <c r="L136" s="566">
        <f>E136+J136</f>
        <v>22126</v>
      </c>
      <c r="M136" s="493"/>
      <c r="O136" s="494"/>
    </row>
    <row r="137" spans="1:15" x14ac:dyDescent="0.2">
      <c r="A137" s="490"/>
      <c r="B137" s="490"/>
      <c r="C137" s="490">
        <v>22101</v>
      </c>
      <c r="D137" s="564"/>
      <c r="E137" s="567"/>
      <c r="F137" s="567"/>
      <c r="G137" s="567"/>
      <c r="H137" s="567"/>
      <c r="I137" s="567"/>
      <c r="J137" s="567"/>
      <c r="K137" s="567"/>
      <c r="L137" s="567"/>
      <c r="M137" s="492"/>
      <c r="O137" s="494"/>
    </row>
    <row r="138" spans="1:15" x14ac:dyDescent="0.2">
      <c r="A138" s="490"/>
      <c r="B138" s="490"/>
      <c r="C138" s="490">
        <v>22102</v>
      </c>
      <c r="D138" s="564"/>
      <c r="E138" s="567"/>
      <c r="F138" s="567"/>
      <c r="G138" s="567"/>
      <c r="H138" s="567"/>
      <c r="I138" s="567"/>
      <c r="J138" s="567"/>
      <c r="K138" s="567"/>
      <c r="L138" s="567"/>
      <c r="M138" s="492"/>
      <c r="O138" s="494"/>
    </row>
    <row r="139" spans="1:15" x14ac:dyDescent="0.2">
      <c r="A139" s="490"/>
      <c r="B139" s="490"/>
      <c r="C139" s="490">
        <v>22103</v>
      </c>
      <c r="D139" s="564"/>
      <c r="E139" s="567"/>
      <c r="F139" s="567"/>
      <c r="G139" s="567"/>
      <c r="H139" s="567"/>
      <c r="I139" s="567"/>
      <c r="J139" s="567"/>
      <c r="K139" s="567"/>
      <c r="L139" s="567"/>
      <c r="M139" s="492"/>
      <c r="O139" s="494"/>
    </row>
    <row r="140" spans="1:15" x14ac:dyDescent="0.2">
      <c r="A140" s="490"/>
      <c r="B140" s="490"/>
      <c r="C140" s="490">
        <v>22104</v>
      </c>
      <c r="D140" s="564"/>
      <c r="E140" s="567"/>
      <c r="F140" s="567"/>
      <c r="G140" s="567"/>
      <c r="H140" s="567"/>
      <c r="I140" s="567"/>
      <c r="J140" s="567"/>
      <c r="K140" s="567"/>
      <c r="L140" s="567"/>
      <c r="M140" s="492"/>
      <c r="O140" s="494"/>
    </row>
    <row r="141" spans="1:15" x14ac:dyDescent="0.2">
      <c r="A141" s="490"/>
      <c r="B141" s="490"/>
      <c r="C141" s="490">
        <v>22105</v>
      </c>
      <c r="D141" s="564"/>
      <c r="E141" s="567"/>
      <c r="F141" s="567"/>
      <c r="G141" s="567"/>
      <c r="H141" s="567"/>
      <c r="I141" s="567"/>
      <c r="J141" s="567"/>
      <c r="K141" s="567"/>
      <c r="L141" s="567"/>
      <c r="M141" s="492"/>
      <c r="O141" s="494"/>
    </row>
    <row r="142" spans="1:15" x14ac:dyDescent="0.2">
      <c r="A142" s="490"/>
      <c r="B142" s="490"/>
      <c r="C142" s="490">
        <v>22106</v>
      </c>
      <c r="D142" s="564"/>
      <c r="E142" s="567"/>
      <c r="F142" s="567"/>
      <c r="G142" s="567"/>
      <c r="H142" s="567"/>
      <c r="I142" s="567"/>
      <c r="J142" s="567"/>
      <c r="K142" s="567"/>
      <c r="L142" s="567"/>
      <c r="M142" s="492"/>
      <c r="O142" s="494"/>
    </row>
    <row r="143" spans="1:15" x14ac:dyDescent="0.2">
      <c r="A143" s="490"/>
      <c r="B143" s="490"/>
      <c r="C143" s="490">
        <v>22107</v>
      </c>
      <c r="D143" s="564"/>
      <c r="E143" s="567"/>
      <c r="F143" s="567"/>
      <c r="G143" s="567"/>
      <c r="H143" s="567"/>
      <c r="I143" s="567"/>
      <c r="J143" s="567"/>
      <c r="K143" s="567"/>
      <c r="L143" s="567"/>
      <c r="M143" s="492"/>
      <c r="O143" s="494"/>
    </row>
    <row r="144" spans="1:15" x14ac:dyDescent="0.2">
      <c r="A144" s="490"/>
      <c r="B144" s="490"/>
      <c r="C144" s="490" t="s">
        <v>635</v>
      </c>
      <c r="D144" s="564"/>
      <c r="E144" s="567"/>
      <c r="F144" s="567"/>
      <c r="G144" s="567"/>
      <c r="H144" s="567"/>
      <c r="I144" s="567"/>
      <c r="J144" s="567"/>
      <c r="K144" s="567"/>
      <c r="L144" s="567"/>
      <c r="M144" s="492"/>
      <c r="O144" s="494"/>
    </row>
    <row r="145" spans="1:15" x14ac:dyDescent="0.2">
      <c r="A145" s="490"/>
      <c r="B145" s="490"/>
      <c r="C145" s="490" t="s">
        <v>636</v>
      </c>
      <c r="D145" s="564"/>
      <c r="E145" s="567"/>
      <c r="F145" s="567"/>
      <c r="G145" s="567"/>
      <c r="H145" s="567"/>
      <c r="I145" s="567"/>
      <c r="J145" s="567"/>
      <c r="K145" s="567"/>
      <c r="L145" s="567"/>
      <c r="M145" s="492"/>
      <c r="O145" s="494"/>
    </row>
    <row r="146" spans="1:15" x14ac:dyDescent="0.2">
      <c r="A146" s="490"/>
      <c r="B146" s="490"/>
      <c r="C146" s="490" t="s">
        <v>637</v>
      </c>
      <c r="D146" s="565"/>
      <c r="E146" s="568"/>
      <c r="F146" s="568"/>
      <c r="G146" s="568"/>
      <c r="H146" s="568"/>
      <c r="I146" s="568"/>
      <c r="J146" s="568"/>
      <c r="K146" s="568"/>
      <c r="L146" s="568"/>
      <c r="M146" s="492"/>
      <c r="O146" s="494"/>
    </row>
    <row r="147" spans="1:15" s="508" customFormat="1" x14ac:dyDescent="0.2">
      <c r="A147" s="504">
        <v>77</v>
      </c>
      <c r="B147" s="514" t="s">
        <v>14</v>
      </c>
      <c r="C147" s="506" t="s">
        <v>638</v>
      </c>
      <c r="D147" s="507" t="s">
        <v>634</v>
      </c>
      <c r="E147" s="498">
        <f>E148+E149</f>
        <v>8145</v>
      </c>
      <c r="F147" s="498">
        <f t="shared" ref="F147:L147" si="15">F148+F149</f>
        <v>0</v>
      </c>
      <c r="G147" s="498">
        <f t="shared" si="15"/>
        <v>701</v>
      </c>
      <c r="H147" s="498">
        <f t="shared" si="15"/>
        <v>0</v>
      </c>
      <c r="I147" s="498">
        <f t="shared" si="15"/>
        <v>7444</v>
      </c>
      <c r="J147" s="498">
        <f t="shared" si="15"/>
        <v>3408</v>
      </c>
      <c r="K147" s="498">
        <f t="shared" si="15"/>
        <v>0</v>
      </c>
      <c r="L147" s="498">
        <f t="shared" si="15"/>
        <v>11553</v>
      </c>
      <c r="M147" s="498"/>
      <c r="O147" s="509"/>
    </row>
    <row r="148" spans="1:15" x14ac:dyDescent="0.2">
      <c r="A148" s="490"/>
      <c r="B148" s="490"/>
      <c r="C148" s="490" t="s">
        <v>620</v>
      </c>
      <c r="D148" s="492" t="s">
        <v>607</v>
      </c>
      <c r="E148" s="493">
        <v>1424</v>
      </c>
      <c r="F148" s="493"/>
      <c r="G148" s="493">
        <v>701</v>
      </c>
      <c r="H148" s="493"/>
      <c r="I148" s="493">
        <f>E148-F148-G148-H148</f>
        <v>723</v>
      </c>
      <c r="J148" s="495"/>
      <c r="K148" s="495"/>
      <c r="L148" s="493">
        <f>E148+J148</f>
        <v>1424</v>
      </c>
      <c r="M148" s="493"/>
      <c r="O148" s="494"/>
    </row>
    <row r="149" spans="1:15" x14ac:dyDescent="0.2">
      <c r="A149" s="490"/>
      <c r="B149" s="490"/>
      <c r="C149" s="490">
        <v>22137</v>
      </c>
      <c r="D149" s="573" t="s">
        <v>634</v>
      </c>
      <c r="E149" s="566">
        <f>6677+44</f>
        <v>6721</v>
      </c>
      <c r="F149" s="566"/>
      <c r="G149" s="566"/>
      <c r="H149" s="566"/>
      <c r="I149" s="566">
        <f>E149-F149-G149-H149</f>
        <v>6721</v>
      </c>
      <c r="J149" s="566">
        <f>3435-27</f>
        <v>3408</v>
      </c>
      <c r="K149" s="566"/>
      <c r="L149" s="566">
        <f>E149+J149</f>
        <v>10129</v>
      </c>
      <c r="M149" s="493"/>
      <c r="O149" s="494"/>
    </row>
    <row r="150" spans="1:15" x14ac:dyDescent="0.2">
      <c r="A150" s="490"/>
      <c r="B150" s="490"/>
      <c r="C150" s="490">
        <v>22139</v>
      </c>
      <c r="D150" s="567"/>
      <c r="E150" s="567"/>
      <c r="F150" s="567"/>
      <c r="G150" s="567"/>
      <c r="H150" s="567"/>
      <c r="I150" s="567"/>
      <c r="J150" s="567"/>
      <c r="K150" s="567"/>
      <c r="L150" s="567"/>
      <c r="M150" s="492"/>
      <c r="O150" s="494"/>
    </row>
    <row r="151" spans="1:15" x14ac:dyDescent="0.2">
      <c r="A151" s="490"/>
      <c r="B151" s="490"/>
      <c r="C151" s="490">
        <v>22140</v>
      </c>
      <c r="D151" s="567"/>
      <c r="E151" s="567"/>
      <c r="F151" s="567"/>
      <c r="G151" s="567"/>
      <c r="H151" s="567"/>
      <c r="I151" s="567"/>
      <c r="J151" s="567"/>
      <c r="K151" s="567"/>
      <c r="L151" s="567"/>
      <c r="M151" s="492"/>
      <c r="O151" s="494"/>
    </row>
    <row r="152" spans="1:15" x14ac:dyDescent="0.2">
      <c r="A152" s="490"/>
      <c r="B152" s="490"/>
      <c r="C152" s="490">
        <v>22187</v>
      </c>
      <c r="D152" s="567"/>
      <c r="E152" s="567"/>
      <c r="F152" s="567"/>
      <c r="G152" s="567"/>
      <c r="H152" s="567"/>
      <c r="I152" s="567"/>
      <c r="J152" s="567"/>
      <c r="K152" s="567"/>
      <c r="L152" s="567"/>
      <c r="M152" s="492"/>
      <c r="O152" s="494"/>
    </row>
    <row r="153" spans="1:15" x14ac:dyDescent="0.2">
      <c r="A153" s="490"/>
      <c r="B153" s="490"/>
      <c r="C153" s="490">
        <v>22223</v>
      </c>
      <c r="D153" s="567"/>
      <c r="E153" s="567"/>
      <c r="F153" s="567"/>
      <c r="G153" s="567"/>
      <c r="H153" s="567"/>
      <c r="I153" s="567"/>
      <c r="J153" s="567"/>
      <c r="K153" s="567"/>
      <c r="L153" s="567"/>
      <c r="M153" s="492"/>
      <c r="O153" s="494"/>
    </row>
    <row r="154" spans="1:15" x14ac:dyDescent="0.2">
      <c r="A154" s="490"/>
      <c r="B154" s="490"/>
      <c r="C154" s="490">
        <v>22224</v>
      </c>
      <c r="D154" s="567"/>
      <c r="E154" s="567"/>
      <c r="F154" s="567"/>
      <c r="G154" s="567"/>
      <c r="H154" s="567"/>
      <c r="I154" s="567"/>
      <c r="J154" s="567"/>
      <c r="K154" s="567"/>
      <c r="L154" s="567"/>
      <c r="M154" s="492"/>
      <c r="O154" s="494"/>
    </row>
    <row r="155" spans="1:15" x14ac:dyDescent="0.2">
      <c r="A155" s="490"/>
      <c r="B155" s="490"/>
      <c r="C155" s="490">
        <v>22349</v>
      </c>
      <c r="D155" s="567"/>
      <c r="E155" s="567"/>
      <c r="F155" s="567"/>
      <c r="G155" s="567"/>
      <c r="H155" s="567"/>
      <c r="I155" s="567"/>
      <c r="J155" s="567"/>
      <c r="K155" s="567"/>
      <c r="L155" s="567"/>
      <c r="M155" s="492"/>
      <c r="O155" s="494"/>
    </row>
    <row r="156" spans="1:15" x14ac:dyDescent="0.2">
      <c r="A156" s="490"/>
      <c r="B156" s="490"/>
      <c r="C156" s="490">
        <v>22368</v>
      </c>
      <c r="D156" s="567"/>
      <c r="E156" s="567"/>
      <c r="F156" s="567"/>
      <c r="G156" s="567"/>
      <c r="H156" s="567"/>
      <c r="I156" s="567"/>
      <c r="J156" s="567"/>
      <c r="K156" s="567"/>
      <c r="L156" s="567"/>
      <c r="M156" s="492"/>
      <c r="O156" s="494"/>
    </row>
    <row r="157" spans="1:15" x14ac:dyDescent="0.2">
      <c r="A157" s="490"/>
      <c r="B157" s="490"/>
      <c r="C157" s="490">
        <v>22569</v>
      </c>
      <c r="D157" s="567"/>
      <c r="E157" s="567"/>
      <c r="F157" s="567"/>
      <c r="G157" s="567"/>
      <c r="H157" s="567"/>
      <c r="I157" s="567"/>
      <c r="J157" s="567"/>
      <c r="K157" s="567"/>
      <c r="L157" s="567"/>
      <c r="M157" s="492"/>
      <c r="O157" s="494"/>
    </row>
    <row r="158" spans="1:15" x14ac:dyDescent="0.2">
      <c r="A158" s="490"/>
      <c r="B158" s="490"/>
      <c r="C158" s="490">
        <v>22570</v>
      </c>
      <c r="D158" s="568"/>
      <c r="E158" s="568"/>
      <c r="F158" s="568"/>
      <c r="G158" s="568"/>
      <c r="H158" s="568"/>
      <c r="I158" s="568"/>
      <c r="J158" s="568"/>
      <c r="K158" s="568"/>
      <c r="L158" s="568"/>
      <c r="M158" s="492"/>
      <c r="O158" s="494"/>
    </row>
    <row r="159" spans="1:15" s="508" customFormat="1" x14ac:dyDescent="0.2">
      <c r="A159" s="504">
        <v>78</v>
      </c>
      <c r="B159" s="517" t="s">
        <v>183</v>
      </c>
      <c r="C159" s="506" t="s">
        <v>639</v>
      </c>
      <c r="D159" s="507" t="s">
        <v>640</v>
      </c>
      <c r="E159" s="498">
        <f>E160+E161</f>
        <v>5110</v>
      </c>
      <c r="F159" s="498">
        <f t="shared" ref="F159:L159" si="16">F160+F161</f>
        <v>0</v>
      </c>
      <c r="G159" s="498">
        <f t="shared" si="16"/>
        <v>0</v>
      </c>
      <c r="H159" s="498">
        <f t="shared" si="16"/>
        <v>0</v>
      </c>
      <c r="I159" s="498">
        <f t="shared" si="16"/>
        <v>5110</v>
      </c>
      <c r="J159" s="498">
        <f t="shared" si="16"/>
        <v>52</v>
      </c>
      <c r="K159" s="498">
        <f t="shared" si="16"/>
        <v>0</v>
      </c>
      <c r="L159" s="498">
        <f t="shared" si="16"/>
        <v>5162</v>
      </c>
      <c r="M159" s="498"/>
      <c r="O159" s="509"/>
    </row>
    <row r="160" spans="1:15" x14ac:dyDescent="0.2">
      <c r="A160" s="490"/>
      <c r="B160" s="490"/>
      <c r="C160" s="490" t="s">
        <v>620</v>
      </c>
      <c r="D160" s="492" t="s">
        <v>607</v>
      </c>
      <c r="E160" s="493">
        <v>2274</v>
      </c>
      <c r="F160" s="493"/>
      <c r="G160" s="493"/>
      <c r="H160" s="493"/>
      <c r="I160" s="493">
        <f>E160-F160-G160-H160</f>
        <v>2274</v>
      </c>
      <c r="J160" s="495"/>
      <c r="K160" s="495"/>
      <c r="L160" s="493">
        <f>E160+J160</f>
        <v>2274</v>
      </c>
      <c r="M160" s="493"/>
      <c r="O160" s="494"/>
    </row>
    <row r="161" spans="1:15" x14ac:dyDescent="0.2">
      <c r="A161" s="490"/>
      <c r="B161" s="490"/>
      <c r="C161" s="490" t="s">
        <v>641</v>
      </c>
      <c r="D161" s="573" t="s">
        <v>634</v>
      </c>
      <c r="E161" s="566">
        <v>2836</v>
      </c>
      <c r="F161" s="566"/>
      <c r="G161" s="566"/>
      <c r="H161" s="566"/>
      <c r="I161" s="566">
        <f>E161-F161-G161-H161</f>
        <v>2836</v>
      </c>
      <c r="J161" s="566">
        <v>52</v>
      </c>
      <c r="K161" s="566"/>
      <c r="L161" s="566">
        <f>E161+E162+E163+E164+J161</f>
        <v>2888</v>
      </c>
      <c r="M161" s="493"/>
      <c r="O161" s="494"/>
    </row>
    <row r="162" spans="1:15" x14ac:dyDescent="0.2">
      <c r="A162" s="490"/>
      <c r="B162" s="490"/>
      <c r="C162" s="490" t="s">
        <v>642</v>
      </c>
      <c r="D162" s="567"/>
      <c r="E162" s="567"/>
      <c r="F162" s="567"/>
      <c r="G162" s="567"/>
      <c r="H162" s="567"/>
      <c r="I162" s="567"/>
      <c r="J162" s="567"/>
      <c r="K162" s="567"/>
      <c r="L162" s="567"/>
      <c r="M162" s="492"/>
      <c r="O162" s="494"/>
    </row>
    <row r="163" spans="1:15" x14ac:dyDescent="0.2">
      <c r="A163" s="490"/>
      <c r="B163" s="490"/>
      <c r="C163" s="490" t="s">
        <v>643</v>
      </c>
      <c r="D163" s="567"/>
      <c r="E163" s="567"/>
      <c r="F163" s="567"/>
      <c r="G163" s="567"/>
      <c r="H163" s="567"/>
      <c r="I163" s="567"/>
      <c r="J163" s="567"/>
      <c r="K163" s="567"/>
      <c r="L163" s="567"/>
      <c r="M163" s="492"/>
      <c r="O163" s="494"/>
    </row>
    <row r="164" spans="1:15" x14ac:dyDescent="0.2">
      <c r="A164" s="490"/>
      <c r="B164" s="490"/>
      <c r="C164" s="490" t="s">
        <v>644</v>
      </c>
      <c r="D164" s="568"/>
      <c r="E164" s="568"/>
      <c r="F164" s="568"/>
      <c r="G164" s="568"/>
      <c r="H164" s="568"/>
      <c r="I164" s="568"/>
      <c r="J164" s="568"/>
      <c r="K164" s="568"/>
      <c r="L164" s="568"/>
      <c r="M164" s="492"/>
      <c r="O164" s="494"/>
    </row>
    <row r="165" spans="1:15" s="508" customFormat="1" x14ac:dyDescent="0.2">
      <c r="A165" s="504">
        <v>79</v>
      </c>
      <c r="B165" s="517" t="s">
        <v>185</v>
      </c>
      <c r="C165" s="506" t="s">
        <v>645</v>
      </c>
      <c r="D165" s="507" t="s">
        <v>634</v>
      </c>
      <c r="E165" s="498">
        <f>E166+E167</f>
        <v>21230</v>
      </c>
      <c r="F165" s="498">
        <f t="shared" ref="F165:L165" si="17">F166+F167</f>
        <v>0</v>
      </c>
      <c r="G165" s="498">
        <f t="shared" si="17"/>
        <v>0</v>
      </c>
      <c r="H165" s="498">
        <f t="shared" si="17"/>
        <v>0</v>
      </c>
      <c r="I165" s="498">
        <f t="shared" si="17"/>
        <v>21230</v>
      </c>
      <c r="J165" s="498">
        <f>J166+J167+J171</f>
        <v>801</v>
      </c>
      <c r="K165" s="498">
        <f t="shared" si="17"/>
        <v>0</v>
      </c>
      <c r="L165" s="498">
        <f t="shared" si="17"/>
        <v>22031</v>
      </c>
      <c r="M165" s="498"/>
      <c r="O165" s="509"/>
    </row>
    <row r="166" spans="1:15" ht="15" customHeight="1" x14ac:dyDescent="0.2">
      <c r="A166" s="490"/>
      <c r="B166" s="490"/>
      <c r="C166" s="490" t="s">
        <v>620</v>
      </c>
      <c r="D166" s="492" t="s">
        <v>607</v>
      </c>
      <c r="E166" s="493">
        <f>10049-1</f>
        <v>10048</v>
      </c>
      <c r="F166" s="493"/>
      <c r="G166" s="493"/>
      <c r="H166" s="493"/>
      <c r="I166" s="493">
        <f>E166-F166-G166-H166</f>
        <v>10048</v>
      </c>
      <c r="J166" s="495"/>
      <c r="K166" s="495"/>
      <c r="L166" s="493">
        <f>E166+J166</f>
        <v>10048</v>
      </c>
      <c r="M166" s="493"/>
      <c r="O166" s="494"/>
    </row>
    <row r="167" spans="1:15" ht="15" customHeight="1" x14ac:dyDescent="0.2">
      <c r="A167" s="490"/>
      <c r="B167" s="490"/>
      <c r="C167" s="490" t="s">
        <v>646</v>
      </c>
      <c r="D167" s="558" t="s">
        <v>634</v>
      </c>
      <c r="E167" s="566">
        <f>11186-1-3</f>
        <v>11182</v>
      </c>
      <c r="F167" s="566"/>
      <c r="G167" s="566"/>
      <c r="H167" s="566"/>
      <c r="I167" s="566">
        <f>E167-F167-G167-H167</f>
        <v>11182</v>
      </c>
      <c r="J167" s="572">
        <v>230</v>
      </c>
      <c r="K167" s="566"/>
      <c r="L167" s="566">
        <f>E167+J167+J171</f>
        <v>11983</v>
      </c>
      <c r="M167" s="519"/>
      <c r="O167" s="494"/>
    </row>
    <row r="168" spans="1:15" ht="15" customHeight="1" x14ac:dyDescent="0.2">
      <c r="A168" s="490"/>
      <c r="B168" s="490"/>
      <c r="C168" s="490" t="s">
        <v>647</v>
      </c>
      <c r="D168" s="564"/>
      <c r="E168" s="567"/>
      <c r="F168" s="567"/>
      <c r="G168" s="567"/>
      <c r="H168" s="567"/>
      <c r="I168" s="567"/>
      <c r="J168" s="567"/>
      <c r="K168" s="567"/>
      <c r="L168" s="567"/>
      <c r="M168" s="520"/>
      <c r="O168" s="494"/>
    </row>
    <row r="169" spans="1:15" ht="15" customHeight="1" x14ac:dyDescent="0.2">
      <c r="A169" s="490"/>
      <c r="B169" s="490"/>
      <c r="C169" s="490" t="s">
        <v>648</v>
      </c>
      <c r="D169" s="564"/>
      <c r="E169" s="567"/>
      <c r="F169" s="567"/>
      <c r="G169" s="567"/>
      <c r="H169" s="567"/>
      <c r="I169" s="567"/>
      <c r="J169" s="567"/>
      <c r="K169" s="567"/>
      <c r="L169" s="567"/>
      <c r="M169" s="520"/>
      <c r="O169" s="494"/>
    </row>
    <row r="170" spans="1:15" ht="15" customHeight="1" x14ac:dyDescent="0.2">
      <c r="A170" s="490"/>
      <c r="B170" s="490"/>
      <c r="C170" s="490" t="s">
        <v>649</v>
      </c>
      <c r="D170" s="564"/>
      <c r="E170" s="567"/>
      <c r="F170" s="567"/>
      <c r="G170" s="567"/>
      <c r="H170" s="567"/>
      <c r="I170" s="567"/>
      <c r="J170" s="568"/>
      <c r="K170" s="567"/>
      <c r="L170" s="567"/>
      <c r="M170" s="520"/>
      <c r="O170" s="494"/>
    </row>
    <row r="171" spans="1:15" ht="15" customHeight="1" x14ac:dyDescent="0.2">
      <c r="A171" s="490"/>
      <c r="B171" s="490"/>
      <c r="C171" s="490" t="s">
        <v>650</v>
      </c>
      <c r="D171" s="564"/>
      <c r="E171" s="567"/>
      <c r="F171" s="567"/>
      <c r="G171" s="567"/>
      <c r="H171" s="567"/>
      <c r="I171" s="567"/>
      <c r="J171" s="572">
        <v>571</v>
      </c>
      <c r="K171" s="567"/>
      <c r="L171" s="567"/>
      <c r="M171" s="520"/>
      <c r="O171" s="494"/>
    </row>
    <row r="172" spans="1:15" ht="15" customHeight="1" x14ac:dyDescent="0.2">
      <c r="A172" s="490"/>
      <c r="B172" s="490"/>
      <c r="C172" s="490" t="s">
        <v>651</v>
      </c>
      <c r="D172" s="565"/>
      <c r="E172" s="568"/>
      <c r="F172" s="568"/>
      <c r="G172" s="568"/>
      <c r="H172" s="568"/>
      <c r="I172" s="568"/>
      <c r="J172" s="568"/>
      <c r="K172" s="568"/>
      <c r="L172" s="568"/>
      <c r="M172" s="521"/>
      <c r="O172" s="494"/>
    </row>
    <row r="173" spans="1:15" s="508" customFormat="1" x14ac:dyDescent="0.2">
      <c r="A173" s="504">
        <v>80</v>
      </c>
      <c r="B173" s="517" t="s">
        <v>12</v>
      </c>
      <c r="C173" s="506" t="s">
        <v>652</v>
      </c>
      <c r="D173" s="507" t="s">
        <v>634</v>
      </c>
      <c r="E173" s="498">
        <f>E174+E175</f>
        <v>22786</v>
      </c>
      <c r="F173" s="498">
        <f>F174+F175</f>
        <v>122</v>
      </c>
      <c r="G173" s="498">
        <f t="shared" ref="G173:L173" si="18">G174+G175</f>
        <v>1326</v>
      </c>
      <c r="H173" s="498">
        <f t="shared" si="18"/>
        <v>858</v>
      </c>
      <c r="I173" s="498">
        <f t="shared" si="18"/>
        <v>20480</v>
      </c>
      <c r="J173" s="498">
        <f>J174+J175+J178+J179</f>
        <v>1026</v>
      </c>
      <c r="K173" s="498">
        <f t="shared" si="18"/>
        <v>0</v>
      </c>
      <c r="L173" s="498">
        <f t="shared" si="18"/>
        <v>23812</v>
      </c>
      <c r="M173" s="498"/>
      <c r="O173" s="509"/>
    </row>
    <row r="174" spans="1:15" x14ac:dyDescent="0.2">
      <c r="A174" s="490"/>
      <c r="B174" s="490"/>
      <c r="C174" s="490" t="s">
        <v>620</v>
      </c>
      <c r="D174" s="492" t="s">
        <v>607</v>
      </c>
      <c r="E174" s="493">
        <f>16156-2-36</f>
        <v>16118</v>
      </c>
      <c r="F174" s="493">
        <f>158-36</f>
        <v>122</v>
      </c>
      <c r="G174" s="493">
        <v>1326</v>
      </c>
      <c r="H174" s="493">
        <v>858</v>
      </c>
      <c r="I174" s="493">
        <f>E174-F174-G174-H174</f>
        <v>13812</v>
      </c>
      <c r="J174" s="495"/>
      <c r="K174" s="495"/>
      <c r="L174" s="493">
        <f>E174+J174</f>
        <v>16118</v>
      </c>
      <c r="M174" s="493"/>
      <c r="O174" s="494"/>
    </row>
    <row r="175" spans="1:15" ht="15.75" customHeight="1" x14ac:dyDescent="0.2">
      <c r="A175" s="490"/>
      <c r="B175" s="490"/>
      <c r="C175" s="490" t="s">
        <v>653</v>
      </c>
      <c r="D175" s="573" t="s">
        <v>634</v>
      </c>
      <c r="E175" s="566">
        <f>6648+20</f>
        <v>6668</v>
      </c>
      <c r="F175" s="566"/>
      <c r="G175" s="566"/>
      <c r="H175" s="566"/>
      <c r="I175" s="566">
        <f>E175-F175-G175-H175</f>
        <v>6668</v>
      </c>
      <c r="J175" s="572">
        <v>396</v>
      </c>
      <c r="K175" s="566"/>
      <c r="L175" s="566">
        <f>E175+J175+J178+J179</f>
        <v>7694</v>
      </c>
      <c r="M175" s="519"/>
      <c r="O175" s="494"/>
    </row>
    <row r="176" spans="1:15" x14ac:dyDescent="0.2">
      <c r="A176" s="490"/>
      <c r="B176" s="490"/>
      <c r="C176" s="490" t="s">
        <v>654</v>
      </c>
      <c r="D176" s="567"/>
      <c r="E176" s="567"/>
      <c r="F176" s="567"/>
      <c r="G176" s="567"/>
      <c r="H176" s="567"/>
      <c r="I176" s="567"/>
      <c r="J176" s="567"/>
      <c r="K176" s="567"/>
      <c r="L176" s="567"/>
      <c r="M176" s="520"/>
      <c r="O176" s="494"/>
    </row>
    <row r="177" spans="1:15" x14ac:dyDescent="0.2">
      <c r="A177" s="490"/>
      <c r="B177" s="490"/>
      <c r="C177" s="490" t="s">
        <v>655</v>
      </c>
      <c r="D177" s="567"/>
      <c r="E177" s="567"/>
      <c r="F177" s="567"/>
      <c r="G177" s="567"/>
      <c r="H177" s="567"/>
      <c r="I177" s="567"/>
      <c r="J177" s="568"/>
      <c r="K177" s="567"/>
      <c r="L177" s="567"/>
      <c r="M177" s="520"/>
      <c r="O177" s="494"/>
    </row>
    <row r="178" spans="1:15" x14ac:dyDescent="0.2">
      <c r="A178" s="490"/>
      <c r="B178" s="490"/>
      <c r="C178" s="490" t="s">
        <v>656</v>
      </c>
      <c r="D178" s="567"/>
      <c r="E178" s="567"/>
      <c r="F178" s="567"/>
      <c r="G178" s="567"/>
      <c r="H178" s="567"/>
      <c r="I178" s="567"/>
      <c r="J178" s="510">
        <v>5</v>
      </c>
      <c r="K178" s="567"/>
      <c r="L178" s="567"/>
      <c r="M178" s="520"/>
      <c r="O178" s="494"/>
    </row>
    <row r="179" spans="1:15" x14ac:dyDescent="0.2">
      <c r="A179" s="490"/>
      <c r="B179" s="490"/>
      <c r="C179" s="490" t="s">
        <v>657</v>
      </c>
      <c r="D179" s="567"/>
      <c r="E179" s="567"/>
      <c r="F179" s="567"/>
      <c r="G179" s="567"/>
      <c r="H179" s="567"/>
      <c r="I179" s="567"/>
      <c r="J179" s="572">
        <v>625</v>
      </c>
      <c r="K179" s="567"/>
      <c r="L179" s="567"/>
      <c r="M179" s="520"/>
      <c r="O179" s="494"/>
    </row>
    <row r="180" spans="1:15" x14ac:dyDescent="0.2">
      <c r="A180" s="490"/>
      <c r="B180" s="490"/>
      <c r="C180" s="490" t="s">
        <v>658</v>
      </c>
      <c r="D180" s="567"/>
      <c r="E180" s="567"/>
      <c r="F180" s="567"/>
      <c r="G180" s="567"/>
      <c r="H180" s="567"/>
      <c r="I180" s="567"/>
      <c r="J180" s="567"/>
      <c r="K180" s="567"/>
      <c r="L180" s="567"/>
      <c r="M180" s="520"/>
      <c r="O180" s="494"/>
    </row>
    <row r="181" spans="1:15" x14ac:dyDescent="0.2">
      <c r="A181" s="490"/>
      <c r="B181" s="490"/>
      <c r="C181" s="490" t="s">
        <v>659</v>
      </c>
      <c r="D181" s="568"/>
      <c r="E181" s="568"/>
      <c r="F181" s="568"/>
      <c r="G181" s="568"/>
      <c r="H181" s="568"/>
      <c r="I181" s="568"/>
      <c r="J181" s="568"/>
      <c r="K181" s="568"/>
      <c r="L181" s="568"/>
      <c r="M181" s="521"/>
      <c r="O181" s="494"/>
    </row>
    <row r="182" spans="1:15" s="508" customFormat="1" x14ac:dyDescent="0.2">
      <c r="A182" s="504">
        <v>81</v>
      </c>
      <c r="B182" s="517" t="s">
        <v>133</v>
      </c>
      <c r="C182" s="506" t="s">
        <v>660</v>
      </c>
      <c r="D182" s="507" t="s">
        <v>634</v>
      </c>
      <c r="E182" s="498">
        <f>E183+E184</f>
        <v>14417</v>
      </c>
      <c r="F182" s="498">
        <f t="shared" ref="F182:L182" si="19">F183+F184</f>
        <v>0</v>
      </c>
      <c r="G182" s="498">
        <f t="shared" si="19"/>
        <v>3260</v>
      </c>
      <c r="H182" s="498">
        <f t="shared" si="19"/>
        <v>0</v>
      </c>
      <c r="I182" s="498">
        <f t="shared" si="19"/>
        <v>11157</v>
      </c>
      <c r="J182" s="498">
        <f>J183+J184+J186+J187+J188+J189</f>
        <v>385</v>
      </c>
      <c r="K182" s="498">
        <f t="shared" si="19"/>
        <v>0</v>
      </c>
      <c r="L182" s="498">
        <f t="shared" si="19"/>
        <v>14802</v>
      </c>
      <c r="M182" s="498"/>
      <c r="O182" s="509"/>
    </row>
    <row r="183" spans="1:15" x14ac:dyDescent="0.2">
      <c r="A183" s="490"/>
      <c r="B183" s="490"/>
      <c r="C183" s="490" t="s">
        <v>620</v>
      </c>
      <c r="D183" s="492" t="s">
        <v>607</v>
      </c>
      <c r="E183" s="493">
        <f>8942+160+2-176</f>
        <v>8928</v>
      </c>
      <c r="F183" s="493"/>
      <c r="G183" s="493">
        <f>3000+260</f>
        <v>3260</v>
      </c>
      <c r="H183" s="493"/>
      <c r="I183" s="493">
        <f>E183-F183-G183-H183</f>
        <v>5668</v>
      </c>
      <c r="J183" s="495"/>
      <c r="K183" s="495"/>
      <c r="L183" s="493">
        <f>E183+J183</f>
        <v>8928</v>
      </c>
      <c r="M183" s="493"/>
      <c r="O183" s="494"/>
    </row>
    <row r="184" spans="1:15" x14ac:dyDescent="0.2">
      <c r="A184" s="490"/>
      <c r="B184" s="490"/>
      <c r="C184" s="490">
        <v>26</v>
      </c>
      <c r="D184" s="558" t="s">
        <v>634</v>
      </c>
      <c r="E184" s="566">
        <f>5483-150-3-17+176</f>
        <v>5489</v>
      </c>
      <c r="F184" s="566"/>
      <c r="G184" s="566"/>
      <c r="H184" s="566"/>
      <c r="I184" s="566">
        <f>E184-F184-G184-H184</f>
        <v>5489</v>
      </c>
      <c r="J184" s="572">
        <v>70</v>
      </c>
      <c r="K184" s="566"/>
      <c r="L184" s="566">
        <f>E184+J184+J186+J187+J189</f>
        <v>5874</v>
      </c>
      <c r="M184" s="519"/>
      <c r="O184" s="494"/>
    </row>
    <row r="185" spans="1:15" x14ac:dyDescent="0.2">
      <c r="A185" s="490"/>
      <c r="B185" s="490"/>
      <c r="C185" s="490">
        <v>27</v>
      </c>
      <c r="D185" s="564"/>
      <c r="E185" s="567"/>
      <c r="F185" s="567"/>
      <c r="G185" s="567"/>
      <c r="H185" s="567"/>
      <c r="I185" s="567"/>
      <c r="J185" s="568"/>
      <c r="K185" s="567"/>
      <c r="L185" s="567"/>
      <c r="M185" s="520"/>
      <c r="O185" s="494"/>
    </row>
    <row r="186" spans="1:15" x14ac:dyDescent="0.2">
      <c r="A186" s="490"/>
      <c r="B186" s="490"/>
      <c r="C186" s="490">
        <v>290</v>
      </c>
      <c r="D186" s="564"/>
      <c r="E186" s="567"/>
      <c r="F186" s="567"/>
      <c r="G186" s="567"/>
      <c r="H186" s="567"/>
      <c r="I186" s="567"/>
      <c r="J186" s="510">
        <v>36</v>
      </c>
      <c r="K186" s="567"/>
      <c r="L186" s="567"/>
      <c r="M186" s="520"/>
      <c r="O186" s="494"/>
    </row>
    <row r="187" spans="1:15" x14ac:dyDescent="0.2">
      <c r="A187" s="490"/>
      <c r="B187" s="490"/>
      <c r="C187" s="490">
        <v>292</v>
      </c>
      <c r="D187" s="564"/>
      <c r="E187" s="567"/>
      <c r="F187" s="567"/>
      <c r="G187" s="567"/>
      <c r="H187" s="567"/>
      <c r="I187" s="567"/>
      <c r="J187" s="572">
        <v>259</v>
      </c>
      <c r="K187" s="567"/>
      <c r="L187" s="567"/>
      <c r="M187" s="520"/>
      <c r="O187" s="494"/>
    </row>
    <row r="188" spans="1:15" x14ac:dyDescent="0.2">
      <c r="A188" s="490"/>
      <c r="B188" s="490"/>
      <c r="C188" s="490">
        <v>289</v>
      </c>
      <c r="D188" s="564"/>
      <c r="E188" s="567"/>
      <c r="F188" s="567"/>
      <c r="G188" s="567"/>
      <c r="H188" s="567"/>
      <c r="I188" s="567"/>
      <c r="J188" s="568"/>
      <c r="K188" s="567"/>
      <c r="L188" s="567"/>
      <c r="M188" s="520"/>
      <c r="O188" s="494"/>
    </row>
    <row r="189" spans="1:15" x14ac:dyDescent="0.2">
      <c r="A189" s="490"/>
      <c r="B189" s="490"/>
      <c r="C189" s="490">
        <v>291</v>
      </c>
      <c r="D189" s="565"/>
      <c r="E189" s="568"/>
      <c r="F189" s="568"/>
      <c r="G189" s="568"/>
      <c r="H189" s="568"/>
      <c r="I189" s="568"/>
      <c r="J189" s="510">
        <v>20</v>
      </c>
      <c r="K189" s="568"/>
      <c r="L189" s="568"/>
      <c r="M189" s="521"/>
      <c r="O189" s="494"/>
    </row>
    <row r="190" spans="1:15" s="508" customFormat="1" x14ac:dyDescent="0.2">
      <c r="A190" s="504">
        <v>82</v>
      </c>
      <c r="B190" s="517" t="s">
        <v>9</v>
      </c>
      <c r="C190" s="506" t="s">
        <v>367</v>
      </c>
      <c r="D190" s="507" t="s">
        <v>634</v>
      </c>
      <c r="E190" s="498">
        <f t="shared" ref="E190:L190" si="20">E191+E192</f>
        <v>12275</v>
      </c>
      <c r="F190" s="498">
        <f t="shared" si="20"/>
        <v>79</v>
      </c>
      <c r="G190" s="498">
        <f t="shared" si="20"/>
        <v>1358</v>
      </c>
      <c r="H190" s="498">
        <f t="shared" si="20"/>
        <v>7351</v>
      </c>
      <c r="I190" s="498">
        <f t="shared" si="20"/>
        <v>3487</v>
      </c>
      <c r="J190" s="498">
        <f>J191+J192+J195+J197+J199</f>
        <v>804</v>
      </c>
      <c r="K190" s="498">
        <f t="shared" si="20"/>
        <v>0</v>
      </c>
      <c r="L190" s="498">
        <f t="shared" si="20"/>
        <v>13079</v>
      </c>
      <c r="M190" s="498"/>
      <c r="O190" s="509"/>
    </row>
    <row r="191" spans="1:15" x14ac:dyDescent="0.2">
      <c r="A191" s="490"/>
      <c r="B191" s="490"/>
      <c r="C191" s="490" t="s">
        <v>620</v>
      </c>
      <c r="D191" s="492" t="s">
        <v>607</v>
      </c>
      <c r="E191" s="493">
        <f>3247-10+4639+1943-150-70</f>
        <v>9599</v>
      </c>
      <c r="F191" s="493">
        <f>215-150</f>
        <v>65</v>
      </c>
      <c r="G191" s="493">
        <f>1428-70</f>
        <v>1358</v>
      </c>
      <c r="H191" s="493">
        <v>7351</v>
      </c>
      <c r="I191" s="493">
        <f>E191-F191-G191-H191</f>
        <v>825</v>
      </c>
      <c r="J191" s="523"/>
      <c r="K191" s="523"/>
      <c r="L191" s="493">
        <f>E191+J191</f>
        <v>9599</v>
      </c>
      <c r="M191" s="493"/>
      <c r="O191" s="494"/>
    </row>
    <row r="192" spans="1:15" x14ac:dyDescent="0.2">
      <c r="A192" s="490"/>
      <c r="B192" s="490"/>
      <c r="C192" s="490" t="s">
        <v>661</v>
      </c>
      <c r="D192" s="558" t="s">
        <v>634</v>
      </c>
      <c r="E192" s="566">
        <f>9319-4639-1-1943-50-1-9</f>
        <v>2676</v>
      </c>
      <c r="F192" s="566">
        <f>64-50</f>
        <v>14</v>
      </c>
      <c r="G192" s="566"/>
      <c r="H192" s="566"/>
      <c r="I192" s="566">
        <f>E192-F192-G192-H192</f>
        <v>2662</v>
      </c>
      <c r="J192" s="566">
        <v>264</v>
      </c>
      <c r="K192" s="566"/>
      <c r="L192" s="566">
        <f>E192+J192+J195+J197+J199</f>
        <v>3480</v>
      </c>
      <c r="M192" s="493"/>
      <c r="O192" s="494"/>
    </row>
    <row r="193" spans="1:15" x14ac:dyDescent="0.2">
      <c r="A193" s="490"/>
      <c r="B193" s="490"/>
      <c r="C193" s="490">
        <v>409</v>
      </c>
      <c r="D193" s="564"/>
      <c r="E193" s="567"/>
      <c r="F193" s="567"/>
      <c r="G193" s="567"/>
      <c r="H193" s="567"/>
      <c r="I193" s="567"/>
      <c r="J193" s="567"/>
      <c r="K193" s="567"/>
      <c r="L193" s="567"/>
      <c r="M193" s="493"/>
      <c r="O193" s="494"/>
    </row>
    <row r="194" spans="1:15" x14ac:dyDescent="0.2">
      <c r="A194" s="490"/>
      <c r="B194" s="490"/>
      <c r="C194" s="490">
        <v>707</v>
      </c>
      <c r="D194" s="564"/>
      <c r="E194" s="567"/>
      <c r="F194" s="567"/>
      <c r="G194" s="567"/>
      <c r="H194" s="567"/>
      <c r="I194" s="567"/>
      <c r="J194" s="568"/>
      <c r="K194" s="567"/>
      <c r="L194" s="567"/>
      <c r="M194" s="493"/>
      <c r="O194" s="494"/>
    </row>
    <row r="195" spans="1:15" x14ac:dyDescent="0.2">
      <c r="A195" s="490"/>
      <c r="B195" s="490"/>
      <c r="C195" s="490" t="s">
        <v>662</v>
      </c>
      <c r="D195" s="564"/>
      <c r="E195" s="567"/>
      <c r="F195" s="567"/>
      <c r="G195" s="567"/>
      <c r="H195" s="567"/>
      <c r="I195" s="567"/>
      <c r="J195" s="566">
        <v>296</v>
      </c>
      <c r="K195" s="567"/>
      <c r="L195" s="567"/>
      <c r="M195" s="493"/>
      <c r="O195" s="494"/>
    </row>
    <row r="196" spans="1:15" x14ac:dyDescent="0.2">
      <c r="A196" s="490"/>
      <c r="B196" s="490"/>
      <c r="C196" s="490">
        <v>507</v>
      </c>
      <c r="D196" s="564"/>
      <c r="E196" s="567"/>
      <c r="F196" s="567"/>
      <c r="G196" s="567"/>
      <c r="H196" s="567"/>
      <c r="I196" s="567"/>
      <c r="J196" s="568"/>
      <c r="K196" s="567"/>
      <c r="L196" s="567"/>
      <c r="M196" s="493"/>
      <c r="O196" s="494"/>
    </row>
    <row r="197" spans="1:15" x14ac:dyDescent="0.2">
      <c r="A197" s="490"/>
      <c r="B197" s="490"/>
      <c r="C197" s="490" t="s">
        <v>420</v>
      </c>
      <c r="D197" s="564"/>
      <c r="E197" s="567"/>
      <c r="F197" s="567"/>
      <c r="G197" s="567"/>
      <c r="H197" s="567"/>
      <c r="I197" s="567"/>
      <c r="J197" s="566">
        <v>129</v>
      </c>
      <c r="K197" s="567"/>
      <c r="L197" s="567"/>
      <c r="M197" s="493"/>
      <c r="O197" s="494"/>
    </row>
    <row r="198" spans="1:15" x14ac:dyDescent="0.2">
      <c r="A198" s="490"/>
      <c r="B198" s="490"/>
      <c r="C198" s="490">
        <v>351</v>
      </c>
      <c r="D198" s="564"/>
      <c r="E198" s="567"/>
      <c r="F198" s="567"/>
      <c r="G198" s="567"/>
      <c r="H198" s="567"/>
      <c r="I198" s="567"/>
      <c r="J198" s="568"/>
      <c r="K198" s="567"/>
      <c r="L198" s="567"/>
      <c r="M198" s="493"/>
      <c r="O198" s="494"/>
    </row>
    <row r="199" spans="1:15" x14ac:dyDescent="0.2">
      <c r="A199" s="490"/>
      <c r="B199" s="490"/>
      <c r="C199" s="490" t="s">
        <v>663</v>
      </c>
      <c r="D199" s="565"/>
      <c r="E199" s="568"/>
      <c r="F199" s="568"/>
      <c r="G199" s="568"/>
      <c r="H199" s="568"/>
      <c r="I199" s="568"/>
      <c r="J199" s="493">
        <f>'[8]СВОД по ВМП'!$O$16</f>
        <v>115</v>
      </c>
      <c r="K199" s="568"/>
      <c r="L199" s="568"/>
      <c r="M199" s="493"/>
      <c r="O199" s="494"/>
    </row>
    <row r="200" spans="1:15" s="508" customFormat="1" x14ac:dyDescent="0.2">
      <c r="A200" s="504">
        <v>83</v>
      </c>
      <c r="B200" s="505" t="s">
        <v>3</v>
      </c>
      <c r="C200" s="506" t="s">
        <v>664</v>
      </c>
      <c r="D200" s="507" t="s">
        <v>634</v>
      </c>
      <c r="E200" s="498">
        <f t="shared" ref="E200:L200" si="21">E201+E202+E214</f>
        <v>22701</v>
      </c>
      <c r="F200" s="498">
        <f t="shared" si="21"/>
        <v>1234</v>
      </c>
      <c r="G200" s="498">
        <f t="shared" si="21"/>
        <v>898</v>
      </c>
      <c r="H200" s="498">
        <f t="shared" si="21"/>
        <v>0</v>
      </c>
      <c r="I200" s="498">
        <f t="shared" si="21"/>
        <v>20569</v>
      </c>
      <c r="J200" s="498">
        <f>J201+J202+J204+J205+J206+J207+J208+J209+J210+J213+J214</f>
        <v>1159</v>
      </c>
      <c r="K200" s="498">
        <f t="shared" si="21"/>
        <v>0</v>
      </c>
      <c r="L200" s="498">
        <f t="shared" si="21"/>
        <v>23860</v>
      </c>
      <c r="M200" s="498"/>
      <c r="O200" s="509"/>
    </row>
    <row r="201" spans="1:15" x14ac:dyDescent="0.2">
      <c r="A201" s="490"/>
      <c r="B201" s="490"/>
      <c r="C201" s="490" t="s">
        <v>620</v>
      </c>
      <c r="D201" s="492" t="s">
        <v>607</v>
      </c>
      <c r="E201" s="493">
        <f>7190-225-2</f>
        <v>6963</v>
      </c>
      <c r="F201" s="493">
        <f>1225-225</f>
        <v>1000</v>
      </c>
      <c r="G201" s="493">
        <v>898</v>
      </c>
      <c r="H201" s="493"/>
      <c r="I201" s="493">
        <f>E201-F201-G201-H201</f>
        <v>5065</v>
      </c>
      <c r="J201" s="523"/>
      <c r="K201" s="523"/>
      <c r="L201" s="493">
        <f>E201+J201</f>
        <v>6963</v>
      </c>
      <c r="M201" s="493"/>
      <c r="O201" s="494"/>
    </row>
    <row r="202" spans="1:15" x14ac:dyDescent="0.2">
      <c r="A202" s="490"/>
      <c r="B202" s="490"/>
      <c r="C202" s="490">
        <v>22287</v>
      </c>
      <c r="D202" s="558" t="s">
        <v>634</v>
      </c>
      <c r="E202" s="566">
        <f>13640+1-20+1</f>
        <v>13622</v>
      </c>
      <c r="F202" s="566">
        <f>253-20+1</f>
        <v>234</v>
      </c>
      <c r="G202" s="566"/>
      <c r="H202" s="566"/>
      <c r="I202" s="566">
        <f>E202-F202-G202-H202</f>
        <v>13388</v>
      </c>
      <c r="J202" s="572">
        <v>65</v>
      </c>
      <c r="K202" s="572"/>
      <c r="L202" s="574">
        <f>E202+J202+J204+J205+J206+J207+J208+J209+J210+J213</f>
        <v>14781</v>
      </c>
      <c r="M202" s="519"/>
      <c r="O202" s="494"/>
    </row>
    <row r="203" spans="1:15" ht="12.75" customHeight="1" x14ac:dyDescent="0.2">
      <c r="A203" s="490"/>
      <c r="B203" s="490"/>
      <c r="C203" s="490">
        <v>22306</v>
      </c>
      <c r="D203" s="564"/>
      <c r="E203" s="567"/>
      <c r="F203" s="567"/>
      <c r="G203" s="567"/>
      <c r="H203" s="567"/>
      <c r="I203" s="567"/>
      <c r="J203" s="568"/>
      <c r="K203" s="567"/>
      <c r="L203" s="564"/>
      <c r="M203" s="520"/>
      <c r="O203" s="494"/>
    </row>
    <row r="204" spans="1:15" ht="12.75" customHeight="1" x14ac:dyDescent="0.2">
      <c r="A204" s="490"/>
      <c r="B204" s="490"/>
      <c r="C204" s="490">
        <v>22291</v>
      </c>
      <c r="D204" s="564"/>
      <c r="E204" s="567"/>
      <c r="F204" s="567"/>
      <c r="G204" s="567"/>
      <c r="H204" s="567"/>
      <c r="I204" s="567"/>
      <c r="J204" s="510">
        <v>47</v>
      </c>
      <c r="K204" s="567"/>
      <c r="L204" s="564"/>
      <c r="M204" s="520"/>
      <c r="O204" s="494"/>
    </row>
    <row r="205" spans="1:15" ht="12.75" customHeight="1" x14ac:dyDescent="0.2">
      <c r="A205" s="490"/>
      <c r="B205" s="490"/>
      <c r="C205" s="490">
        <v>22292</v>
      </c>
      <c r="D205" s="564"/>
      <c r="E205" s="567"/>
      <c r="F205" s="567"/>
      <c r="G205" s="567"/>
      <c r="H205" s="567"/>
      <c r="I205" s="567"/>
      <c r="J205" s="510">
        <v>10</v>
      </c>
      <c r="K205" s="567"/>
      <c r="L205" s="564"/>
      <c r="M205" s="520"/>
      <c r="O205" s="494"/>
    </row>
    <row r="206" spans="1:15" ht="12.75" customHeight="1" x14ac:dyDescent="0.2">
      <c r="A206" s="490"/>
      <c r="B206" s="490"/>
      <c r="C206" s="490">
        <v>22294</v>
      </c>
      <c r="D206" s="564"/>
      <c r="E206" s="567"/>
      <c r="F206" s="567"/>
      <c r="G206" s="567"/>
      <c r="H206" s="567"/>
      <c r="I206" s="567"/>
      <c r="J206" s="510">
        <v>60</v>
      </c>
      <c r="K206" s="567"/>
      <c r="L206" s="564"/>
      <c r="M206" s="520"/>
      <c r="O206" s="494"/>
    </row>
    <row r="207" spans="1:15" ht="12.75" customHeight="1" x14ac:dyDescent="0.2">
      <c r="A207" s="490"/>
      <c r="B207" s="490"/>
      <c r="C207" s="490">
        <v>22296</v>
      </c>
      <c r="D207" s="564"/>
      <c r="E207" s="567"/>
      <c r="F207" s="567"/>
      <c r="G207" s="567"/>
      <c r="H207" s="567"/>
      <c r="I207" s="567"/>
      <c r="J207" s="510">
        <v>66</v>
      </c>
      <c r="K207" s="567"/>
      <c r="L207" s="564"/>
      <c r="M207" s="520"/>
      <c r="O207" s="494"/>
    </row>
    <row r="208" spans="1:15" ht="12.75" customHeight="1" x14ac:dyDescent="0.2">
      <c r="A208" s="490"/>
      <c r="B208" s="490"/>
      <c r="C208" s="490">
        <v>22297</v>
      </c>
      <c r="D208" s="564"/>
      <c r="E208" s="567"/>
      <c r="F208" s="567"/>
      <c r="G208" s="567"/>
      <c r="H208" s="567"/>
      <c r="I208" s="567"/>
      <c r="J208" s="510">
        <v>60</v>
      </c>
      <c r="K208" s="567"/>
      <c r="L208" s="564"/>
      <c r="M208" s="520"/>
      <c r="O208" s="494"/>
    </row>
    <row r="209" spans="1:15" ht="12.75" customHeight="1" x14ac:dyDescent="0.2">
      <c r="A209" s="490"/>
      <c r="B209" s="490"/>
      <c r="C209" s="490">
        <v>22301</v>
      </c>
      <c r="D209" s="564"/>
      <c r="E209" s="567"/>
      <c r="F209" s="567"/>
      <c r="G209" s="567"/>
      <c r="H209" s="567"/>
      <c r="I209" s="567"/>
      <c r="J209" s="510">
        <v>20</v>
      </c>
      <c r="K209" s="567"/>
      <c r="L209" s="564"/>
      <c r="M209" s="520"/>
      <c r="O209" s="494"/>
    </row>
    <row r="210" spans="1:15" ht="12.75" customHeight="1" x14ac:dyDescent="0.2">
      <c r="A210" s="490"/>
      <c r="B210" s="490"/>
      <c r="C210" s="490">
        <v>22289</v>
      </c>
      <c r="D210" s="564"/>
      <c r="E210" s="567"/>
      <c r="F210" s="567"/>
      <c r="G210" s="567"/>
      <c r="H210" s="567"/>
      <c r="I210" s="567"/>
      <c r="J210" s="572">
        <v>331</v>
      </c>
      <c r="K210" s="567"/>
      <c r="L210" s="564"/>
      <c r="M210" s="520"/>
      <c r="O210" s="494"/>
    </row>
    <row r="211" spans="1:15" ht="12.75" customHeight="1" x14ac:dyDescent="0.2">
      <c r="A211" s="490"/>
      <c r="B211" s="490"/>
      <c r="C211" s="490">
        <v>22295</v>
      </c>
      <c r="D211" s="564"/>
      <c r="E211" s="567"/>
      <c r="F211" s="567"/>
      <c r="G211" s="567"/>
      <c r="H211" s="567"/>
      <c r="I211" s="567"/>
      <c r="J211" s="567"/>
      <c r="K211" s="567"/>
      <c r="L211" s="564"/>
      <c r="M211" s="520"/>
      <c r="O211" s="494"/>
    </row>
    <row r="212" spans="1:15" ht="12.75" customHeight="1" x14ac:dyDescent="0.2">
      <c r="A212" s="490"/>
      <c r="B212" s="490"/>
      <c r="C212" s="490">
        <v>22293</v>
      </c>
      <c r="D212" s="564"/>
      <c r="E212" s="567"/>
      <c r="F212" s="567"/>
      <c r="G212" s="567"/>
      <c r="H212" s="567"/>
      <c r="I212" s="567"/>
      <c r="J212" s="568"/>
      <c r="K212" s="567"/>
      <c r="L212" s="564"/>
      <c r="M212" s="520"/>
      <c r="O212" s="494"/>
    </row>
    <row r="213" spans="1:15" ht="12.75" customHeight="1" x14ac:dyDescent="0.2">
      <c r="A213" s="490"/>
      <c r="B213" s="490"/>
      <c r="C213" s="490">
        <v>22303</v>
      </c>
      <c r="D213" s="565"/>
      <c r="E213" s="568"/>
      <c r="F213" s="568"/>
      <c r="G213" s="568"/>
      <c r="H213" s="568"/>
      <c r="I213" s="568"/>
      <c r="J213" s="510">
        <v>500</v>
      </c>
      <c r="K213" s="568"/>
      <c r="L213" s="565"/>
      <c r="M213" s="521"/>
      <c r="O213" s="494"/>
    </row>
    <row r="214" spans="1:15" x14ac:dyDescent="0.2">
      <c r="A214" s="490"/>
      <c r="B214" s="490"/>
      <c r="C214" s="490">
        <v>357</v>
      </c>
      <c r="D214" s="558" t="s">
        <v>603</v>
      </c>
      <c r="E214" s="574">
        <v>2116</v>
      </c>
      <c r="F214" s="574"/>
      <c r="G214" s="574"/>
      <c r="H214" s="574"/>
      <c r="I214" s="566">
        <f>E214-F214-G214-H214</f>
        <v>2116</v>
      </c>
      <c r="J214" s="575"/>
      <c r="K214" s="573"/>
      <c r="L214" s="574">
        <v>2116</v>
      </c>
      <c r="M214" s="493"/>
      <c r="O214" s="494"/>
    </row>
    <row r="215" spans="1:15" x14ac:dyDescent="0.2">
      <c r="A215" s="490"/>
      <c r="B215" s="490"/>
      <c r="C215" s="490">
        <v>358</v>
      </c>
      <c r="D215" s="564"/>
      <c r="E215" s="564"/>
      <c r="F215" s="564"/>
      <c r="G215" s="564"/>
      <c r="H215" s="564"/>
      <c r="I215" s="567"/>
      <c r="J215" s="575"/>
      <c r="K215" s="567"/>
      <c r="L215" s="564"/>
      <c r="M215" s="492"/>
      <c r="O215" s="494"/>
    </row>
    <row r="216" spans="1:15" x14ac:dyDescent="0.2">
      <c r="A216" s="490"/>
      <c r="B216" s="490"/>
      <c r="C216" s="490">
        <v>360</v>
      </c>
      <c r="D216" s="564"/>
      <c r="E216" s="564"/>
      <c r="F216" s="564"/>
      <c r="G216" s="564"/>
      <c r="H216" s="564"/>
      <c r="I216" s="567"/>
      <c r="J216" s="575"/>
      <c r="K216" s="567"/>
      <c r="L216" s="564"/>
      <c r="M216" s="492"/>
      <c r="O216" s="494"/>
    </row>
    <row r="217" spans="1:15" x14ac:dyDescent="0.2">
      <c r="A217" s="490"/>
      <c r="B217" s="490"/>
      <c r="C217" s="490">
        <v>369</v>
      </c>
      <c r="D217" s="564"/>
      <c r="E217" s="564"/>
      <c r="F217" s="564"/>
      <c r="G217" s="564"/>
      <c r="H217" s="564"/>
      <c r="I217" s="567"/>
      <c r="J217" s="575"/>
      <c r="K217" s="567"/>
      <c r="L217" s="564"/>
      <c r="M217" s="492"/>
      <c r="O217" s="494"/>
    </row>
    <row r="218" spans="1:15" x14ac:dyDescent="0.2">
      <c r="A218" s="490"/>
      <c r="B218" s="490"/>
      <c r="C218" s="490">
        <v>370</v>
      </c>
      <c r="D218" s="564"/>
      <c r="E218" s="564"/>
      <c r="F218" s="564"/>
      <c r="G218" s="564"/>
      <c r="H218" s="564"/>
      <c r="I218" s="567"/>
      <c r="J218" s="575"/>
      <c r="K218" s="567"/>
      <c r="L218" s="564"/>
      <c r="M218" s="492"/>
      <c r="O218" s="494"/>
    </row>
    <row r="219" spans="1:15" x14ac:dyDescent="0.2">
      <c r="A219" s="490"/>
      <c r="B219" s="490"/>
      <c r="C219" s="490">
        <v>371</v>
      </c>
      <c r="D219" s="564"/>
      <c r="E219" s="564"/>
      <c r="F219" s="564"/>
      <c r="G219" s="564"/>
      <c r="H219" s="564"/>
      <c r="I219" s="567"/>
      <c r="J219" s="575"/>
      <c r="K219" s="567"/>
      <c r="L219" s="564"/>
      <c r="M219" s="492"/>
      <c r="O219" s="494"/>
    </row>
    <row r="220" spans="1:15" x14ac:dyDescent="0.2">
      <c r="A220" s="490"/>
      <c r="B220" s="490"/>
      <c r="C220" s="490">
        <v>373</v>
      </c>
      <c r="D220" s="564"/>
      <c r="E220" s="564"/>
      <c r="F220" s="564"/>
      <c r="G220" s="564"/>
      <c r="H220" s="564"/>
      <c r="I220" s="567"/>
      <c r="J220" s="575"/>
      <c r="K220" s="567"/>
      <c r="L220" s="564"/>
      <c r="M220" s="492"/>
      <c r="O220" s="494"/>
    </row>
    <row r="221" spans="1:15" x14ac:dyDescent="0.2">
      <c r="A221" s="490"/>
      <c r="B221" s="490"/>
      <c r="C221" s="490">
        <v>375</v>
      </c>
      <c r="D221" s="565"/>
      <c r="E221" s="565"/>
      <c r="F221" s="565"/>
      <c r="G221" s="565"/>
      <c r="H221" s="565"/>
      <c r="I221" s="568"/>
      <c r="J221" s="575"/>
      <c r="K221" s="568"/>
      <c r="L221" s="565"/>
      <c r="M221" s="492"/>
      <c r="O221" s="494"/>
    </row>
    <row r="222" spans="1:15" s="508" customFormat="1" x14ac:dyDescent="0.2">
      <c r="A222" s="504">
        <v>84</v>
      </c>
      <c r="B222" s="514" t="s">
        <v>393</v>
      </c>
      <c r="C222" s="506" t="s">
        <v>665</v>
      </c>
      <c r="D222" s="507" t="s">
        <v>634</v>
      </c>
      <c r="E222" s="498">
        <v>8877</v>
      </c>
      <c r="F222" s="498"/>
      <c r="G222" s="498"/>
      <c r="H222" s="498"/>
      <c r="I222" s="498">
        <f>E222-F222-G222-H222</f>
        <v>8877</v>
      </c>
      <c r="J222" s="498">
        <v>2400</v>
      </c>
      <c r="K222" s="498"/>
      <c r="L222" s="498">
        <v>11277</v>
      </c>
      <c r="M222" s="498"/>
      <c r="O222" s="509"/>
    </row>
    <row r="223" spans="1:15" s="508" customFormat="1" x14ac:dyDescent="0.2">
      <c r="A223" s="524">
        <v>85</v>
      </c>
      <c r="B223" s="514" t="s">
        <v>15</v>
      </c>
      <c r="C223" s="506" t="s">
        <v>666</v>
      </c>
      <c r="D223" s="507" t="s">
        <v>667</v>
      </c>
      <c r="E223" s="498">
        <f>E224+E225</f>
        <v>24018</v>
      </c>
      <c r="F223" s="498">
        <f t="shared" ref="F223:L223" si="22">F224+F225</f>
        <v>2117</v>
      </c>
      <c r="G223" s="498">
        <f t="shared" si="22"/>
        <v>1002</v>
      </c>
      <c r="H223" s="498">
        <f t="shared" si="22"/>
        <v>594</v>
      </c>
      <c r="I223" s="498">
        <f t="shared" si="22"/>
        <v>20305</v>
      </c>
      <c r="J223" s="498">
        <f>J224+J225+J227+J228+J229+J230+J234+J235+J236+J239+J240+J241</f>
        <v>2582</v>
      </c>
      <c r="K223" s="498">
        <f t="shared" si="22"/>
        <v>170</v>
      </c>
      <c r="L223" s="498">
        <f t="shared" si="22"/>
        <v>26600</v>
      </c>
      <c r="M223" s="498"/>
      <c r="O223" s="509"/>
    </row>
    <row r="224" spans="1:15" x14ac:dyDescent="0.2">
      <c r="A224" s="525"/>
      <c r="B224" s="525"/>
      <c r="C224" s="490" t="s">
        <v>620</v>
      </c>
      <c r="D224" s="492" t="s">
        <v>607</v>
      </c>
      <c r="E224" s="493">
        <f>6031-1+2+70</f>
        <v>6102</v>
      </c>
      <c r="F224" s="493"/>
      <c r="G224" s="493">
        <f>932+70</f>
        <v>1002</v>
      </c>
      <c r="H224" s="493">
        <v>594</v>
      </c>
      <c r="I224" s="493">
        <f>E224-F224-G224-H224</f>
        <v>4506</v>
      </c>
      <c r="J224" s="495"/>
      <c r="K224" s="495"/>
      <c r="L224" s="493">
        <f>E224+J224</f>
        <v>6102</v>
      </c>
      <c r="M224" s="493"/>
      <c r="O224" s="494"/>
    </row>
    <row r="225" spans="1:15" x14ac:dyDescent="0.2">
      <c r="A225" s="525"/>
      <c r="B225" s="525"/>
      <c r="C225" s="490" t="s">
        <v>668</v>
      </c>
      <c r="D225" s="558" t="s">
        <v>667</v>
      </c>
      <c r="E225" s="566">
        <f>18109-6-200+16-1-2</f>
        <v>17916</v>
      </c>
      <c r="F225" s="566">
        <f>1967-200+350</f>
        <v>2117</v>
      </c>
      <c r="G225" s="566"/>
      <c r="H225" s="566"/>
      <c r="I225" s="566">
        <f>E225-F225-G225-H225</f>
        <v>15799</v>
      </c>
      <c r="J225" s="572">
        <f>400-16</f>
        <v>384</v>
      </c>
      <c r="K225" s="576">
        <v>170</v>
      </c>
      <c r="L225" s="566">
        <f>E225+J225+J227+J228+J229+J230+J234+J235+J236+J239+J240+J241</f>
        <v>20498</v>
      </c>
      <c r="M225" s="519"/>
      <c r="O225" s="494"/>
    </row>
    <row r="226" spans="1:15" x14ac:dyDescent="0.2">
      <c r="A226" s="525"/>
      <c r="B226" s="525"/>
      <c r="C226" s="490" t="s">
        <v>669</v>
      </c>
      <c r="D226" s="564"/>
      <c r="E226" s="567"/>
      <c r="F226" s="567"/>
      <c r="G226" s="567"/>
      <c r="H226" s="567"/>
      <c r="I226" s="567"/>
      <c r="J226" s="568"/>
      <c r="K226" s="564"/>
      <c r="L226" s="567"/>
      <c r="M226" s="520"/>
      <c r="O226" s="494"/>
    </row>
    <row r="227" spans="1:15" x14ac:dyDescent="0.2">
      <c r="A227" s="525"/>
      <c r="B227" s="525"/>
      <c r="C227" s="490" t="s">
        <v>670</v>
      </c>
      <c r="D227" s="564"/>
      <c r="E227" s="567"/>
      <c r="F227" s="567"/>
      <c r="G227" s="567"/>
      <c r="H227" s="567"/>
      <c r="I227" s="567"/>
      <c r="J227" s="510">
        <v>400</v>
      </c>
      <c r="K227" s="564"/>
      <c r="L227" s="567"/>
      <c r="M227" s="520"/>
      <c r="O227" s="494"/>
    </row>
    <row r="228" spans="1:15" x14ac:dyDescent="0.2">
      <c r="A228" s="525"/>
      <c r="B228" s="525"/>
      <c r="C228" s="490" t="s">
        <v>671</v>
      </c>
      <c r="D228" s="564"/>
      <c r="E228" s="567"/>
      <c r="F228" s="567"/>
      <c r="G228" s="567"/>
      <c r="H228" s="567"/>
      <c r="I228" s="567"/>
      <c r="J228" s="510">
        <v>200</v>
      </c>
      <c r="K228" s="564"/>
      <c r="L228" s="567"/>
      <c r="M228" s="520"/>
      <c r="O228" s="494"/>
    </row>
    <row r="229" spans="1:15" x14ac:dyDescent="0.2">
      <c r="A229" s="525"/>
      <c r="B229" s="525"/>
      <c r="C229" s="490" t="s">
        <v>672</v>
      </c>
      <c r="D229" s="564"/>
      <c r="E229" s="567"/>
      <c r="F229" s="567"/>
      <c r="G229" s="567"/>
      <c r="H229" s="567"/>
      <c r="I229" s="567"/>
      <c r="J229" s="510">
        <v>50</v>
      </c>
      <c r="K229" s="564"/>
      <c r="L229" s="567"/>
      <c r="M229" s="520"/>
      <c r="O229" s="494"/>
    </row>
    <row r="230" spans="1:15" x14ac:dyDescent="0.2">
      <c r="A230" s="525"/>
      <c r="B230" s="525"/>
      <c r="C230" s="490" t="s">
        <v>673</v>
      </c>
      <c r="D230" s="564"/>
      <c r="E230" s="567"/>
      <c r="F230" s="567"/>
      <c r="G230" s="567"/>
      <c r="H230" s="567"/>
      <c r="I230" s="567"/>
      <c r="J230" s="572">
        <f>360+20</f>
        <v>380</v>
      </c>
      <c r="K230" s="564"/>
      <c r="L230" s="567"/>
      <c r="M230" s="520"/>
      <c r="O230" s="494"/>
    </row>
    <row r="231" spans="1:15" x14ac:dyDescent="0.2">
      <c r="A231" s="525"/>
      <c r="B231" s="525"/>
      <c r="C231" s="490" t="s">
        <v>674</v>
      </c>
      <c r="D231" s="564"/>
      <c r="E231" s="567"/>
      <c r="F231" s="567"/>
      <c r="G231" s="567"/>
      <c r="H231" s="567"/>
      <c r="I231" s="567"/>
      <c r="J231" s="567"/>
      <c r="K231" s="564"/>
      <c r="L231" s="567"/>
      <c r="M231" s="520"/>
      <c r="O231" s="494"/>
    </row>
    <row r="232" spans="1:15" x14ac:dyDescent="0.2">
      <c r="A232" s="525"/>
      <c r="B232" s="525"/>
      <c r="C232" s="490" t="s">
        <v>675</v>
      </c>
      <c r="D232" s="564"/>
      <c r="E232" s="567"/>
      <c r="F232" s="567"/>
      <c r="G232" s="567"/>
      <c r="H232" s="567"/>
      <c r="I232" s="567"/>
      <c r="J232" s="567"/>
      <c r="K232" s="564"/>
      <c r="L232" s="567"/>
      <c r="M232" s="520"/>
      <c r="O232" s="494"/>
    </row>
    <row r="233" spans="1:15" x14ac:dyDescent="0.2">
      <c r="A233" s="525"/>
      <c r="B233" s="525"/>
      <c r="C233" s="490" t="s">
        <v>676</v>
      </c>
      <c r="D233" s="564"/>
      <c r="E233" s="567"/>
      <c r="F233" s="567"/>
      <c r="G233" s="567"/>
      <c r="H233" s="567"/>
      <c r="I233" s="567"/>
      <c r="J233" s="568"/>
      <c r="K233" s="564"/>
      <c r="L233" s="567"/>
      <c r="M233" s="520"/>
      <c r="O233" s="494"/>
    </row>
    <row r="234" spans="1:15" x14ac:dyDescent="0.2">
      <c r="A234" s="525"/>
      <c r="B234" s="525"/>
      <c r="C234" s="490" t="s">
        <v>677</v>
      </c>
      <c r="D234" s="564"/>
      <c r="E234" s="567"/>
      <c r="F234" s="567"/>
      <c r="G234" s="567"/>
      <c r="H234" s="567"/>
      <c r="I234" s="567"/>
      <c r="J234" s="510">
        <v>20</v>
      </c>
      <c r="K234" s="564"/>
      <c r="L234" s="567"/>
      <c r="M234" s="520"/>
      <c r="O234" s="494"/>
    </row>
    <row r="235" spans="1:15" x14ac:dyDescent="0.2">
      <c r="A235" s="525"/>
      <c r="B235" s="525"/>
      <c r="C235" s="490" t="s">
        <v>678</v>
      </c>
      <c r="D235" s="564"/>
      <c r="E235" s="567"/>
      <c r="F235" s="567"/>
      <c r="G235" s="567"/>
      <c r="H235" s="567"/>
      <c r="I235" s="567"/>
      <c r="J235" s="510">
        <v>20</v>
      </c>
      <c r="K235" s="564"/>
      <c r="L235" s="567"/>
      <c r="M235" s="520"/>
      <c r="O235" s="494"/>
    </row>
    <row r="236" spans="1:15" x14ac:dyDescent="0.2">
      <c r="A236" s="525"/>
      <c r="B236" s="525"/>
      <c r="C236" s="490" t="s">
        <v>679</v>
      </c>
      <c r="D236" s="564"/>
      <c r="E236" s="567"/>
      <c r="F236" s="567"/>
      <c r="G236" s="567"/>
      <c r="H236" s="567"/>
      <c r="I236" s="567"/>
      <c r="J236" s="572">
        <v>714</v>
      </c>
      <c r="K236" s="564"/>
      <c r="L236" s="567"/>
      <c r="M236" s="520"/>
      <c r="O236" s="494"/>
    </row>
    <row r="237" spans="1:15" x14ac:dyDescent="0.2">
      <c r="A237" s="525"/>
      <c r="B237" s="525"/>
      <c r="C237" s="490" t="s">
        <v>680</v>
      </c>
      <c r="D237" s="564"/>
      <c r="E237" s="567"/>
      <c r="F237" s="567"/>
      <c r="G237" s="567"/>
      <c r="H237" s="567"/>
      <c r="I237" s="567"/>
      <c r="J237" s="567"/>
      <c r="K237" s="564"/>
      <c r="L237" s="567"/>
      <c r="M237" s="520"/>
      <c r="O237" s="494"/>
    </row>
    <row r="238" spans="1:15" x14ac:dyDescent="0.2">
      <c r="A238" s="525"/>
      <c r="B238" s="525"/>
      <c r="C238" s="490" t="s">
        <v>681</v>
      </c>
      <c r="D238" s="564"/>
      <c r="E238" s="567"/>
      <c r="F238" s="567"/>
      <c r="G238" s="567"/>
      <c r="H238" s="567"/>
      <c r="I238" s="567"/>
      <c r="J238" s="568"/>
      <c r="K238" s="564"/>
      <c r="L238" s="567"/>
      <c r="M238" s="520"/>
      <c r="O238" s="494"/>
    </row>
    <row r="239" spans="1:15" x14ac:dyDescent="0.2">
      <c r="A239" s="525"/>
      <c r="B239" s="525"/>
      <c r="C239" s="490" t="s">
        <v>682</v>
      </c>
      <c r="D239" s="564"/>
      <c r="E239" s="567"/>
      <c r="F239" s="567"/>
      <c r="G239" s="567"/>
      <c r="H239" s="567"/>
      <c r="I239" s="567"/>
      <c r="J239" s="510">
        <v>150</v>
      </c>
      <c r="K239" s="564"/>
      <c r="L239" s="567"/>
      <c r="M239" s="520"/>
      <c r="O239" s="494"/>
    </row>
    <row r="240" spans="1:15" x14ac:dyDescent="0.2">
      <c r="A240" s="525"/>
      <c r="B240" s="525"/>
      <c r="C240" s="490" t="s">
        <v>683</v>
      </c>
      <c r="D240" s="564"/>
      <c r="E240" s="567"/>
      <c r="F240" s="567"/>
      <c r="G240" s="567"/>
      <c r="H240" s="567"/>
      <c r="I240" s="567"/>
      <c r="J240" s="510">
        <v>134</v>
      </c>
      <c r="K240" s="564"/>
      <c r="L240" s="567"/>
      <c r="M240" s="520"/>
      <c r="O240" s="494"/>
    </row>
    <row r="241" spans="1:15" x14ac:dyDescent="0.2">
      <c r="A241" s="525"/>
      <c r="B241" s="525"/>
      <c r="C241" s="490" t="s">
        <v>684</v>
      </c>
      <c r="D241" s="564"/>
      <c r="E241" s="567"/>
      <c r="F241" s="567"/>
      <c r="G241" s="567"/>
      <c r="H241" s="567"/>
      <c r="I241" s="567"/>
      <c r="J241" s="572">
        <v>130</v>
      </c>
      <c r="K241" s="564"/>
      <c r="L241" s="567"/>
      <c r="M241" s="520"/>
      <c r="O241" s="494"/>
    </row>
    <row r="242" spans="1:15" x14ac:dyDescent="0.2">
      <c r="A242" s="525"/>
      <c r="B242" s="525"/>
      <c r="C242" s="490" t="s">
        <v>685</v>
      </c>
      <c r="D242" s="565"/>
      <c r="E242" s="568"/>
      <c r="F242" s="568"/>
      <c r="G242" s="568"/>
      <c r="H242" s="568"/>
      <c r="I242" s="568"/>
      <c r="J242" s="568"/>
      <c r="K242" s="565"/>
      <c r="L242" s="568"/>
      <c r="M242" s="521"/>
      <c r="O242" s="494"/>
    </row>
    <row r="243" spans="1:15" s="508" customFormat="1" x14ac:dyDescent="0.2">
      <c r="A243" s="504">
        <v>86</v>
      </c>
      <c r="B243" s="517" t="s">
        <v>10</v>
      </c>
      <c r="C243" s="506" t="s">
        <v>7</v>
      </c>
      <c r="D243" s="507" t="s">
        <v>667</v>
      </c>
      <c r="E243" s="498">
        <f>E244+E245</f>
        <v>16812</v>
      </c>
      <c r="F243" s="498">
        <f>F244+F245</f>
        <v>821</v>
      </c>
      <c r="G243" s="498">
        <f t="shared" ref="G243:L243" si="23">G244+G245</f>
        <v>296</v>
      </c>
      <c r="H243" s="498">
        <f t="shared" si="23"/>
        <v>0</v>
      </c>
      <c r="I243" s="498">
        <f t="shared" si="23"/>
        <v>15695</v>
      </c>
      <c r="J243" s="498">
        <f>J244+J245+J248+J249+J250+J251+J253+J257+J258+J260+J261</f>
        <v>1118</v>
      </c>
      <c r="K243" s="498">
        <f t="shared" si="23"/>
        <v>100</v>
      </c>
      <c r="L243" s="498">
        <f t="shared" si="23"/>
        <v>17930</v>
      </c>
      <c r="M243" s="498"/>
      <c r="O243" s="509"/>
    </row>
    <row r="244" spans="1:15" x14ac:dyDescent="0.2">
      <c r="A244" s="490"/>
      <c r="B244" s="490"/>
      <c r="C244" s="490" t="s">
        <v>620</v>
      </c>
      <c r="D244" s="492" t="s">
        <v>607</v>
      </c>
      <c r="E244" s="493">
        <f>5309</f>
        <v>5309</v>
      </c>
      <c r="F244" s="493"/>
      <c r="G244" s="493">
        <v>296</v>
      </c>
      <c r="H244" s="493"/>
      <c r="I244" s="493">
        <f>E244-F244-G244-H244</f>
        <v>5013</v>
      </c>
      <c r="J244" s="495"/>
      <c r="K244" s="495"/>
      <c r="L244" s="493">
        <f>E244+J244</f>
        <v>5309</v>
      </c>
      <c r="M244" s="493"/>
      <c r="O244" s="494"/>
    </row>
    <row r="245" spans="1:15" x14ac:dyDescent="0.2">
      <c r="A245" s="490"/>
      <c r="B245" s="490"/>
      <c r="C245" s="490" t="s">
        <v>686</v>
      </c>
      <c r="D245" s="558" t="s">
        <v>687</v>
      </c>
      <c r="E245" s="566">
        <f>11392-5+117-1</f>
        <v>11503</v>
      </c>
      <c r="F245" s="566">
        <f>704+117</f>
        <v>821</v>
      </c>
      <c r="G245" s="566"/>
      <c r="H245" s="566"/>
      <c r="I245" s="566">
        <f>E245-F245-G245-H245</f>
        <v>10682</v>
      </c>
      <c r="J245" s="572">
        <v>163</v>
      </c>
      <c r="K245" s="572">
        <v>100</v>
      </c>
      <c r="L245" s="566">
        <f>E245+J245+J248+J249+J250+J251+J253+J257+J258+J260+J261</f>
        <v>12621</v>
      </c>
      <c r="M245" s="519"/>
      <c r="O245" s="494"/>
    </row>
    <row r="246" spans="1:15" x14ac:dyDescent="0.2">
      <c r="A246" s="490"/>
      <c r="B246" s="490"/>
      <c r="C246" s="490" t="s">
        <v>688</v>
      </c>
      <c r="D246" s="564"/>
      <c r="E246" s="567"/>
      <c r="F246" s="567"/>
      <c r="G246" s="567"/>
      <c r="H246" s="567"/>
      <c r="I246" s="567"/>
      <c r="J246" s="567"/>
      <c r="K246" s="567"/>
      <c r="L246" s="567"/>
      <c r="M246" s="520"/>
      <c r="O246" s="494"/>
    </row>
    <row r="247" spans="1:15" x14ac:dyDescent="0.2">
      <c r="A247" s="490"/>
      <c r="B247" s="490"/>
      <c r="C247" s="490" t="s">
        <v>689</v>
      </c>
      <c r="D247" s="564"/>
      <c r="E247" s="567"/>
      <c r="F247" s="567"/>
      <c r="G247" s="567"/>
      <c r="H247" s="567"/>
      <c r="I247" s="567"/>
      <c r="J247" s="568"/>
      <c r="K247" s="567"/>
      <c r="L247" s="567"/>
      <c r="M247" s="520"/>
      <c r="O247" s="494"/>
    </row>
    <row r="248" spans="1:15" x14ac:dyDescent="0.2">
      <c r="A248" s="490"/>
      <c r="B248" s="490"/>
      <c r="C248" s="490" t="s">
        <v>690</v>
      </c>
      <c r="D248" s="564"/>
      <c r="E248" s="567"/>
      <c r="F248" s="567"/>
      <c r="G248" s="567"/>
      <c r="H248" s="567"/>
      <c r="I248" s="567"/>
      <c r="J248" s="510">
        <v>170</v>
      </c>
      <c r="K248" s="567"/>
      <c r="L248" s="567"/>
      <c r="M248" s="520"/>
      <c r="O248" s="494"/>
    </row>
    <row r="249" spans="1:15" x14ac:dyDescent="0.2">
      <c r="A249" s="490"/>
      <c r="B249" s="490"/>
      <c r="C249" s="490" t="s">
        <v>691</v>
      </c>
      <c r="D249" s="564"/>
      <c r="E249" s="567"/>
      <c r="F249" s="567"/>
      <c r="G249" s="567"/>
      <c r="H249" s="567"/>
      <c r="I249" s="567"/>
      <c r="J249" s="510">
        <v>130</v>
      </c>
      <c r="K249" s="567"/>
      <c r="L249" s="567"/>
      <c r="M249" s="520"/>
      <c r="O249" s="494"/>
    </row>
    <row r="250" spans="1:15" x14ac:dyDescent="0.2">
      <c r="A250" s="490"/>
      <c r="B250" s="490"/>
      <c r="C250" s="490" t="s">
        <v>692</v>
      </c>
      <c r="D250" s="564"/>
      <c r="E250" s="567"/>
      <c r="F250" s="567"/>
      <c r="G250" s="567"/>
      <c r="H250" s="567"/>
      <c r="I250" s="567"/>
      <c r="J250" s="510">
        <v>52</v>
      </c>
      <c r="K250" s="567"/>
      <c r="L250" s="567"/>
      <c r="M250" s="520"/>
      <c r="O250" s="494"/>
    </row>
    <row r="251" spans="1:15" x14ac:dyDescent="0.2">
      <c r="A251" s="490"/>
      <c r="B251" s="490"/>
      <c r="C251" s="490" t="s">
        <v>693</v>
      </c>
      <c r="D251" s="564"/>
      <c r="E251" s="567"/>
      <c r="F251" s="567"/>
      <c r="G251" s="567"/>
      <c r="H251" s="567"/>
      <c r="I251" s="567"/>
      <c r="J251" s="572">
        <v>80</v>
      </c>
      <c r="K251" s="567"/>
      <c r="L251" s="567"/>
      <c r="M251" s="520"/>
      <c r="O251" s="494"/>
    </row>
    <row r="252" spans="1:15" x14ac:dyDescent="0.2">
      <c r="A252" s="490"/>
      <c r="B252" s="490"/>
      <c r="C252" s="490" t="s">
        <v>694</v>
      </c>
      <c r="D252" s="564"/>
      <c r="E252" s="567"/>
      <c r="F252" s="567"/>
      <c r="G252" s="567"/>
      <c r="H252" s="567"/>
      <c r="I252" s="567"/>
      <c r="J252" s="568"/>
      <c r="K252" s="567"/>
      <c r="L252" s="567"/>
      <c r="M252" s="520"/>
      <c r="O252" s="494"/>
    </row>
    <row r="253" spans="1:15" x14ac:dyDescent="0.2">
      <c r="A253" s="490"/>
      <c r="B253" s="490"/>
      <c r="C253" s="490" t="s">
        <v>695</v>
      </c>
      <c r="D253" s="564"/>
      <c r="E253" s="567"/>
      <c r="F253" s="567"/>
      <c r="G253" s="567"/>
      <c r="H253" s="567"/>
      <c r="I253" s="567"/>
      <c r="J253" s="572">
        <v>253</v>
      </c>
      <c r="K253" s="567"/>
      <c r="L253" s="567"/>
      <c r="M253" s="520"/>
      <c r="O253" s="494"/>
    </row>
    <row r="254" spans="1:15" x14ac:dyDescent="0.2">
      <c r="A254" s="490"/>
      <c r="B254" s="490"/>
      <c r="C254" s="490" t="s">
        <v>696</v>
      </c>
      <c r="D254" s="564"/>
      <c r="E254" s="567"/>
      <c r="F254" s="567"/>
      <c r="G254" s="567"/>
      <c r="H254" s="567"/>
      <c r="I254" s="567"/>
      <c r="J254" s="567"/>
      <c r="K254" s="567"/>
      <c r="L254" s="567"/>
      <c r="M254" s="520"/>
      <c r="O254" s="494"/>
    </row>
    <row r="255" spans="1:15" x14ac:dyDescent="0.2">
      <c r="A255" s="490"/>
      <c r="B255" s="490"/>
      <c r="C255" s="490">
        <v>22213</v>
      </c>
      <c r="D255" s="564"/>
      <c r="E255" s="567"/>
      <c r="F255" s="567"/>
      <c r="G255" s="567"/>
      <c r="H255" s="567"/>
      <c r="I255" s="567"/>
      <c r="J255" s="567"/>
      <c r="K255" s="567"/>
      <c r="L255" s="567"/>
      <c r="M255" s="520"/>
      <c r="O255" s="494"/>
    </row>
    <row r="256" spans="1:15" x14ac:dyDescent="0.2">
      <c r="A256" s="490"/>
      <c r="B256" s="490"/>
      <c r="C256" s="490" t="s">
        <v>697</v>
      </c>
      <c r="D256" s="564"/>
      <c r="E256" s="567"/>
      <c r="F256" s="567"/>
      <c r="G256" s="567"/>
      <c r="H256" s="567"/>
      <c r="I256" s="567"/>
      <c r="J256" s="568"/>
      <c r="K256" s="567"/>
      <c r="L256" s="567"/>
      <c r="M256" s="520"/>
      <c r="O256" s="494"/>
    </row>
    <row r="257" spans="1:15" x14ac:dyDescent="0.2">
      <c r="A257" s="490"/>
      <c r="B257" s="490"/>
      <c r="C257" s="490" t="s">
        <v>698</v>
      </c>
      <c r="D257" s="564"/>
      <c r="E257" s="567"/>
      <c r="F257" s="567"/>
      <c r="G257" s="567"/>
      <c r="H257" s="567"/>
      <c r="I257" s="567"/>
      <c r="J257" s="510">
        <v>203</v>
      </c>
      <c r="K257" s="567"/>
      <c r="L257" s="567"/>
      <c r="M257" s="520"/>
      <c r="O257" s="494"/>
    </row>
    <row r="258" spans="1:15" ht="15.75" customHeight="1" x14ac:dyDescent="0.2">
      <c r="A258" s="490"/>
      <c r="B258" s="490"/>
      <c r="C258" s="490" t="s">
        <v>699</v>
      </c>
      <c r="D258" s="564"/>
      <c r="E258" s="567"/>
      <c r="F258" s="567"/>
      <c r="G258" s="567"/>
      <c r="H258" s="567"/>
      <c r="I258" s="567"/>
      <c r="J258" s="572">
        <v>1</v>
      </c>
      <c r="K258" s="567"/>
      <c r="L258" s="567"/>
      <c r="M258" s="520"/>
      <c r="O258" s="494"/>
    </row>
    <row r="259" spans="1:15" x14ac:dyDescent="0.2">
      <c r="A259" s="490"/>
      <c r="B259" s="490"/>
      <c r="C259" s="490" t="s">
        <v>700</v>
      </c>
      <c r="D259" s="564"/>
      <c r="E259" s="567"/>
      <c r="F259" s="567"/>
      <c r="G259" s="567"/>
      <c r="H259" s="567"/>
      <c r="I259" s="567"/>
      <c r="J259" s="568"/>
      <c r="K259" s="567"/>
      <c r="L259" s="567"/>
      <c r="M259" s="520"/>
      <c r="O259" s="494"/>
    </row>
    <row r="260" spans="1:15" x14ac:dyDescent="0.2">
      <c r="A260" s="490"/>
      <c r="B260" s="490"/>
      <c r="C260" s="490">
        <v>22205</v>
      </c>
      <c r="D260" s="564"/>
      <c r="E260" s="567"/>
      <c r="F260" s="567"/>
      <c r="G260" s="567"/>
      <c r="H260" s="567"/>
      <c r="I260" s="567"/>
      <c r="J260" s="492">
        <v>6</v>
      </c>
      <c r="K260" s="567"/>
      <c r="L260" s="567"/>
      <c r="M260" s="520"/>
      <c r="O260" s="494"/>
    </row>
    <row r="261" spans="1:15" x14ac:dyDescent="0.2">
      <c r="A261" s="490"/>
      <c r="B261" s="490"/>
      <c r="C261" s="490" t="s">
        <v>701</v>
      </c>
      <c r="D261" s="565"/>
      <c r="E261" s="568"/>
      <c r="F261" s="568"/>
      <c r="G261" s="568"/>
      <c r="H261" s="568"/>
      <c r="I261" s="568"/>
      <c r="J261" s="510">
        <v>60</v>
      </c>
      <c r="K261" s="568"/>
      <c r="L261" s="568"/>
      <c r="M261" s="521"/>
      <c r="O261" s="494"/>
    </row>
    <row r="262" spans="1:15" s="508" customFormat="1" x14ac:dyDescent="0.2">
      <c r="A262" s="504">
        <v>87</v>
      </c>
      <c r="B262" s="505" t="s">
        <v>176</v>
      </c>
      <c r="C262" s="506" t="s">
        <v>702</v>
      </c>
      <c r="D262" s="507" t="s">
        <v>667</v>
      </c>
      <c r="E262" s="498">
        <v>1086</v>
      </c>
      <c r="F262" s="498">
        <v>1000</v>
      </c>
      <c r="G262" s="498"/>
      <c r="H262" s="498"/>
      <c r="I262" s="498">
        <f>E262-F262-G262-H262</f>
        <v>86</v>
      </c>
      <c r="J262" s="498">
        <v>265</v>
      </c>
      <c r="K262" s="498"/>
      <c r="L262" s="498">
        <f>E262+J262</f>
        <v>1351</v>
      </c>
      <c r="M262" s="498"/>
      <c r="O262" s="509"/>
    </row>
    <row r="263" spans="1:15" s="508" customFormat="1" x14ac:dyDescent="0.2">
      <c r="A263" s="504">
        <v>88</v>
      </c>
      <c r="B263" s="514" t="s">
        <v>189</v>
      </c>
      <c r="C263" s="506" t="s">
        <v>190</v>
      </c>
      <c r="D263" s="507" t="s">
        <v>667</v>
      </c>
      <c r="E263" s="498">
        <f>5332+129+300</f>
        <v>5761</v>
      </c>
      <c r="F263" s="498"/>
      <c r="G263" s="498">
        <f>1472+300</f>
        <v>1772</v>
      </c>
      <c r="H263" s="498">
        <v>456</v>
      </c>
      <c r="I263" s="498">
        <f>E263-F263-G263-H263</f>
        <v>3533</v>
      </c>
      <c r="J263" s="498">
        <v>210</v>
      </c>
      <c r="K263" s="498"/>
      <c r="L263" s="498">
        <f>E263+J263</f>
        <v>5971</v>
      </c>
      <c r="M263" s="498"/>
      <c r="O263" s="509"/>
    </row>
    <row r="264" spans="1:15" s="508" customFormat="1" x14ac:dyDescent="0.2">
      <c r="A264" s="504">
        <v>89</v>
      </c>
      <c r="B264" s="514" t="s">
        <v>137</v>
      </c>
      <c r="C264" s="506" t="s">
        <v>703</v>
      </c>
      <c r="D264" s="507" t="s">
        <v>667</v>
      </c>
      <c r="E264" s="498">
        <v>704</v>
      </c>
      <c r="F264" s="498">
        <v>2</v>
      </c>
      <c r="G264" s="498">
        <f>3-2</f>
        <v>1</v>
      </c>
      <c r="H264" s="498">
        <v>370</v>
      </c>
      <c r="I264" s="498">
        <f>E264-F264-G264-H264</f>
        <v>331</v>
      </c>
      <c r="J264" s="498">
        <v>10</v>
      </c>
      <c r="K264" s="498"/>
      <c r="L264" s="498">
        <f>E264+J264</f>
        <v>714</v>
      </c>
      <c r="M264" s="498"/>
      <c r="O264" s="509"/>
    </row>
    <row r="265" spans="1:15" s="508" customFormat="1" ht="25.5" x14ac:dyDescent="0.2">
      <c r="A265" s="504"/>
      <c r="B265" s="504"/>
      <c r="C265" s="506" t="s">
        <v>704</v>
      </c>
      <c r="D265" s="507"/>
      <c r="E265" s="498">
        <f>19644-429-132</f>
        <v>19083</v>
      </c>
      <c r="F265" s="498">
        <f>649+155</f>
        <v>804</v>
      </c>
      <c r="G265" s="498"/>
      <c r="H265" s="498"/>
      <c r="I265" s="498">
        <f>E265-F265-G265-H265</f>
        <v>18279</v>
      </c>
      <c r="J265" s="498">
        <f>320-2</f>
        <v>318</v>
      </c>
      <c r="K265" s="498"/>
      <c r="L265" s="498">
        <f>E265+J265</f>
        <v>19401</v>
      </c>
      <c r="M265" s="526"/>
      <c r="O265" s="509"/>
    </row>
    <row r="266" spans="1:15" ht="14.25" customHeight="1" x14ac:dyDescent="0.2">
      <c r="A266" s="527" t="s">
        <v>16</v>
      </c>
      <c r="B266" s="528"/>
      <c r="C266" s="528"/>
      <c r="D266" s="529"/>
      <c r="E266" s="498">
        <f t="shared" ref="E266:M266" si="24">SUM(E5:E68)+E76+E81+E85+E90+E96+E100+E111+E115+E123+E126+E130+E134+E147+E159+E165+E173+E182+E190+E200+E222+E223+E243+E262+E263+E264+E265</f>
        <v>643737</v>
      </c>
      <c r="F266" s="498">
        <f t="shared" si="24"/>
        <v>36463</v>
      </c>
      <c r="G266" s="498">
        <f t="shared" si="24"/>
        <v>17024</v>
      </c>
      <c r="H266" s="498">
        <f t="shared" si="24"/>
        <v>51871</v>
      </c>
      <c r="I266" s="498">
        <f t="shared" si="24"/>
        <v>538379</v>
      </c>
      <c r="J266" s="498">
        <f t="shared" si="24"/>
        <v>18855</v>
      </c>
      <c r="K266" s="498">
        <f t="shared" si="24"/>
        <v>1970</v>
      </c>
      <c r="L266" s="498">
        <f t="shared" si="24"/>
        <v>662592</v>
      </c>
      <c r="M266" s="498">
        <f t="shared" si="24"/>
        <v>5635</v>
      </c>
      <c r="O266" s="494"/>
    </row>
  </sheetData>
  <mergeCells count="217">
    <mergeCell ref="J245:J247"/>
    <mergeCell ref="K245:K261"/>
    <mergeCell ref="L245:L261"/>
    <mergeCell ref="J251:J252"/>
    <mergeCell ref="J253:J256"/>
    <mergeCell ref="J258:J259"/>
    <mergeCell ref="K225:K242"/>
    <mergeCell ref="L225:L242"/>
    <mergeCell ref="J230:J233"/>
    <mergeCell ref="J236:J238"/>
    <mergeCell ref="J241:J242"/>
    <mergeCell ref="J214:J221"/>
    <mergeCell ref="K214:K221"/>
    <mergeCell ref="L214:L221"/>
    <mergeCell ref="D225:D242"/>
    <mergeCell ref="E225:E242"/>
    <mergeCell ref="F225:F242"/>
    <mergeCell ref="G225:G242"/>
    <mergeCell ref="H225:H242"/>
    <mergeCell ref="I225:I242"/>
    <mergeCell ref="J225:J226"/>
    <mergeCell ref="D214:D221"/>
    <mergeCell ref="E214:E221"/>
    <mergeCell ref="F214:F221"/>
    <mergeCell ref="G214:G221"/>
    <mergeCell ref="H214:H221"/>
    <mergeCell ref="I214:I221"/>
    <mergeCell ref="D245:D261"/>
    <mergeCell ref="E245:E261"/>
    <mergeCell ref="F245:F261"/>
    <mergeCell ref="G245:G261"/>
    <mergeCell ref="H245:H261"/>
    <mergeCell ref="I245:I261"/>
    <mergeCell ref="D202:D213"/>
    <mergeCell ref="E202:E213"/>
    <mergeCell ref="F202:F213"/>
    <mergeCell ref="G202:G213"/>
    <mergeCell ref="H202:H213"/>
    <mergeCell ref="I202:I213"/>
    <mergeCell ref="J202:J203"/>
    <mergeCell ref="K202:K213"/>
    <mergeCell ref="L202:L213"/>
    <mergeCell ref="J210:J212"/>
    <mergeCell ref="D192:D199"/>
    <mergeCell ref="E192:E199"/>
    <mergeCell ref="F192:F199"/>
    <mergeCell ref="G192:G199"/>
    <mergeCell ref="H192:H199"/>
    <mergeCell ref="I192:I199"/>
    <mergeCell ref="J192:J194"/>
    <mergeCell ref="K192:K199"/>
    <mergeCell ref="L192:L199"/>
    <mergeCell ref="J195:J196"/>
    <mergeCell ref="J197:J198"/>
    <mergeCell ref="D184:D189"/>
    <mergeCell ref="E184:E189"/>
    <mergeCell ref="F184:F189"/>
    <mergeCell ref="G184:G189"/>
    <mergeCell ref="H184:H189"/>
    <mergeCell ref="I184:I189"/>
    <mergeCell ref="J184:J185"/>
    <mergeCell ref="K184:K189"/>
    <mergeCell ref="L184:L189"/>
    <mergeCell ref="J187:J188"/>
    <mergeCell ref="J171:J172"/>
    <mergeCell ref="D175:D181"/>
    <mergeCell ref="E175:E181"/>
    <mergeCell ref="F175:F181"/>
    <mergeCell ref="G175:G181"/>
    <mergeCell ref="H175:H181"/>
    <mergeCell ref="I175:I181"/>
    <mergeCell ref="J175:J177"/>
    <mergeCell ref="L161:L164"/>
    <mergeCell ref="D167:D172"/>
    <mergeCell ref="E167:E172"/>
    <mergeCell ref="F167:F172"/>
    <mergeCell ref="G167:G172"/>
    <mergeCell ref="H167:H172"/>
    <mergeCell ref="I167:I172"/>
    <mergeCell ref="J167:J170"/>
    <mergeCell ref="K167:K172"/>
    <mergeCell ref="L167:L172"/>
    <mergeCell ref="K175:K181"/>
    <mergeCell ref="L175:L181"/>
    <mergeCell ref="J179:J181"/>
    <mergeCell ref="I132:I133"/>
    <mergeCell ref="K149:K158"/>
    <mergeCell ref="L149:L158"/>
    <mergeCell ref="D161:D164"/>
    <mergeCell ref="E161:E164"/>
    <mergeCell ref="F161:F164"/>
    <mergeCell ref="G161:G164"/>
    <mergeCell ref="H161:H164"/>
    <mergeCell ref="I161:I164"/>
    <mergeCell ref="J161:J164"/>
    <mergeCell ref="K161:K164"/>
    <mergeCell ref="D149:D158"/>
    <mergeCell ref="E149:E158"/>
    <mergeCell ref="F149:F158"/>
    <mergeCell ref="G149:G158"/>
    <mergeCell ref="H149:H158"/>
    <mergeCell ref="I149:I158"/>
    <mergeCell ref="J149:J158"/>
    <mergeCell ref="K132:K133"/>
    <mergeCell ref="L132:L133"/>
    <mergeCell ref="J136:J146"/>
    <mergeCell ref="K136:K146"/>
    <mergeCell ref="L136:L146"/>
    <mergeCell ref="D128:D129"/>
    <mergeCell ref="E128:E129"/>
    <mergeCell ref="F128:F129"/>
    <mergeCell ref="G128:G129"/>
    <mergeCell ref="H128:H129"/>
    <mergeCell ref="I128:I129"/>
    <mergeCell ref="K128:K129"/>
    <mergeCell ref="L128:L129"/>
    <mergeCell ref="D136:D146"/>
    <mergeCell ref="E136:E146"/>
    <mergeCell ref="F136:F146"/>
    <mergeCell ref="G136:G146"/>
    <mergeCell ref="H136:H146"/>
    <mergeCell ref="I136:I146"/>
    <mergeCell ref="D132:D133"/>
    <mergeCell ref="E132:E133"/>
    <mergeCell ref="F132:F133"/>
    <mergeCell ref="G132:G133"/>
    <mergeCell ref="H132:H133"/>
    <mergeCell ref="L113:L114"/>
    <mergeCell ref="D117:D121"/>
    <mergeCell ref="E117:E121"/>
    <mergeCell ref="F117:F121"/>
    <mergeCell ref="G117:G121"/>
    <mergeCell ref="H117:H121"/>
    <mergeCell ref="I117:I121"/>
    <mergeCell ref="K117:K121"/>
    <mergeCell ref="L117:L121"/>
    <mergeCell ref="D113:D114"/>
    <mergeCell ref="E113:E114"/>
    <mergeCell ref="F113:F114"/>
    <mergeCell ref="G113:G114"/>
    <mergeCell ref="H113:H114"/>
    <mergeCell ref="I113:I114"/>
    <mergeCell ref="J113:J114"/>
    <mergeCell ref="J120:J121"/>
    <mergeCell ref="D102:D110"/>
    <mergeCell ref="E102:E110"/>
    <mergeCell ref="F102:F110"/>
    <mergeCell ref="G102:G110"/>
    <mergeCell ref="H102:H110"/>
    <mergeCell ref="I102:I110"/>
    <mergeCell ref="K102:K110"/>
    <mergeCell ref="K113:K114"/>
    <mergeCell ref="L102:L110"/>
    <mergeCell ref="J106:J109"/>
    <mergeCell ref="J93:J95"/>
    <mergeCell ref="K93:K95"/>
    <mergeCell ref="L93:L95"/>
    <mergeCell ref="D98:D99"/>
    <mergeCell ref="E98:E99"/>
    <mergeCell ref="F98:F99"/>
    <mergeCell ref="G98:G99"/>
    <mergeCell ref="H98:H99"/>
    <mergeCell ref="I98:I99"/>
    <mergeCell ref="J98:J99"/>
    <mergeCell ref="D93:D95"/>
    <mergeCell ref="E93:E95"/>
    <mergeCell ref="F93:F95"/>
    <mergeCell ref="G93:G95"/>
    <mergeCell ref="H93:H95"/>
    <mergeCell ref="I93:I95"/>
    <mergeCell ref="L98:L99"/>
    <mergeCell ref="K98:K99"/>
    <mergeCell ref="D87:D89"/>
    <mergeCell ref="E87:E89"/>
    <mergeCell ref="F87:F89"/>
    <mergeCell ref="G87:G89"/>
    <mergeCell ref="H87:H89"/>
    <mergeCell ref="I87:I89"/>
    <mergeCell ref="K87:K89"/>
    <mergeCell ref="L87:L89"/>
    <mergeCell ref="J88:J89"/>
    <mergeCell ref="K78:K80"/>
    <mergeCell ref="L78:L80"/>
    <mergeCell ref="J79:J80"/>
    <mergeCell ref="D83:D84"/>
    <mergeCell ref="E83:E84"/>
    <mergeCell ref="F83:F84"/>
    <mergeCell ref="G83:G84"/>
    <mergeCell ref="H83:H84"/>
    <mergeCell ref="I83:I84"/>
    <mergeCell ref="K83:K84"/>
    <mergeCell ref="D78:D80"/>
    <mergeCell ref="E78:E80"/>
    <mergeCell ref="F78:F80"/>
    <mergeCell ref="G78:G80"/>
    <mergeCell ref="H78:H80"/>
    <mergeCell ref="I78:I80"/>
    <mergeCell ref="L83:L84"/>
    <mergeCell ref="M3:M4"/>
    <mergeCell ref="D71:D75"/>
    <mergeCell ref="E71:E75"/>
    <mergeCell ref="F71:F75"/>
    <mergeCell ref="G71:G75"/>
    <mergeCell ref="H71:H75"/>
    <mergeCell ref="I71:I75"/>
    <mergeCell ref="J71:J75"/>
    <mergeCell ref="K71:K75"/>
    <mergeCell ref="L71:L75"/>
    <mergeCell ref="A1:L1"/>
    <mergeCell ref="A3:A4"/>
    <mergeCell ref="B3:B4"/>
    <mergeCell ref="C3:C4"/>
    <mergeCell ref="D3:D4"/>
    <mergeCell ref="E3:E4"/>
    <mergeCell ref="F3:I3"/>
    <mergeCell ref="J3:J4"/>
    <mergeCell ref="L3:L4"/>
  </mergeCells>
  <conditionalFormatting sqref="C20">
    <cfRule type="duplicateValues" dxfId="17" priority="17" stopIfTrue="1"/>
  </conditionalFormatting>
  <conditionalFormatting sqref="C21">
    <cfRule type="duplicateValues" dxfId="16" priority="16" stopIfTrue="1"/>
  </conditionalFormatting>
  <conditionalFormatting sqref="C22">
    <cfRule type="duplicateValues" dxfId="15" priority="15" stopIfTrue="1"/>
  </conditionalFormatting>
  <conditionalFormatting sqref="C23: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">
    <cfRule type="duplicateValues" dxfId="11" priority="11" stopIfTrue="1"/>
  </conditionalFormatting>
  <conditionalFormatting sqref="C30: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6:C37">
    <cfRule type="duplicateValues" dxfId="7" priority="7" stopIfTrue="1"/>
  </conditionalFormatting>
  <conditionalFormatting sqref="C38:C39">
    <cfRule type="duplicateValues" dxfId="6" priority="6" stopIfTrue="1"/>
  </conditionalFormatting>
  <conditionalFormatting sqref="C40:C41">
    <cfRule type="duplicateValues" dxfId="5" priority="5" stopIfTrue="1"/>
  </conditionalFormatting>
  <conditionalFormatting sqref="C42:C43">
    <cfRule type="duplicateValues" dxfId="4" priority="4" stopIfTrue="1"/>
  </conditionalFormatting>
  <conditionalFormatting sqref="C44:C45">
    <cfRule type="duplicateValues" dxfId="3" priority="3" stopIfTrue="1"/>
  </conditionalFormatting>
  <conditionalFormatting sqref="C46:C47">
    <cfRule type="duplicateValues" dxfId="2" priority="2" stopIfTrue="1"/>
  </conditionalFormatting>
  <conditionalFormatting sqref="C48:C49">
    <cfRule type="duplicateValues" dxfId="1" priority="1" stopIfTrue="1"/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workbookViewId="0">
      <pane xSplit="3" ySplit="5" topLeftCell="E6" activePane="bottomRight" state="frozen"/>
      <selection pane="topRight" activeCell="C1" sqref="C1"/>
      <selection pane="bottomLeft" activeCell="A6" sqref="A6"/>
      <selection pane="bottomRight" activeCell="L34" sqref="L34"/>
    </sheetView>
  </sheetViews>
  <sheetFormatPr defaultRowHeight="11.25" x14ac:dyDescent="0.25"/>
  <cols>
    <col min="1" max="1" width="3.42578125" style="134" customWidth="1"/>
    <col min="2" max="2" width="7.28515625" style="134" customWidth="1"/>
    <col min="3" max="3" width="30.42578125" style="127" customWidth="1"/>
    <col min="4" max="4" width="8.7109375" style="135" customWidth="1"/>
    <col min="5" max="5" width="8.28515625" style="135" customWidth="1"/>
    <col min="6" max="6" width="9" style="135" customWidth="1"/>
    <col min="7" max="7" width="9.28515625" style="135" customWidth="1"/>
    <col min="8" max="8" width="12.140625" style="135" customWidth="1"/>
    <col min="9" max="9" width="7.42578125" style="135" customWidth="1"/>
    <col min="10" max="10" width="7.7109375" style="135" customWidth="1"/>
    <col min="11" max="11" width="6.42578125" style="135" customWidth="1"/>
    <col min="12" max="12" width="7" style="135" customWidth="1"/>
    <col min="13" max="13" width="7.140625" style="135" customWidth="1"/>
    <col min="14" max="14" width="10" style="135" customWidth="1"/>
    <col min="15" max="15" width="10.85546875" style="135" customWidth="1"/>
    <col min="16" max="16" width="9.85546875" style="135" customWidth="1"/>
    <col min="17" max="17" width="10.140625" style="135" customWidth="1"/>
    <col min="18" max="18" width="9.5703125" style="135" customWidth="1"/>
    <col min="19" max="19" width="9.140625" style="135" customWidth="1"/>
    <col min="20" max="20" width="11.85546875" style="127" customWidth="1"/>
    <col min="21" max="16384" width="9.140625" style="127"/>
  </cols>
  <sheetData>
    <row r="1" spans="1:19" ht="18.75" x14ac:dyDescent="0.25">
      <c r="A1" s="714" t="s">
        <v>266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</row>
    <row r="2" spans="1:19" ht="12" thickBot="1" x14ac:dyDescent="0.3"/>
    <row r="3" spans="1:19" x14ac:dyDescent="0.25">
      <c r="A3" s="715" t="s">
        <v>0</v>
      </c>
      <c r="B3" s="718" t="s">
        <v>219</v>
      </c>
      <c r="C3" s="720" t="s">
        <v>220</v>
      </c>
      <c r="D3" s="723" t="s">
        <v>267</v>
      </c>
      <c r="E3" s="724"/>
      <c r="F3" s="724"/>
      <c r="G3" s="724"/>
      <c r="H3" s="724"/>
      <c r="I3" s="724"/>
      <c r="J3" s="724"/>
      <c r="K3" s="725"/>
      <c r="L3" s="726"/>
      <c r="M3" s="727" t="s">
        <v>268</v>
      </c>
      <c r="N3" s="727" t="s">
        <v>269</v>
      </c>
      <c r="O3" s="724" t="s">
        <v>270</v>
      </c>
      <c r="P3" s="730"/>
      <c r="Q3" s="730"/>
      <c r="R3" s="731"/>
      <c r="S3" s="727" t="s">
        <v>16</v>
      </c>
    </row>
    <row r="4" spans="1:19" ht="15" customHeight="1" x14ac:dyDescent="0.25">
      <c r="A4" s="716"/>
      <c r="B4" s="719"/>
      <c r="C4" s="721"/>
      <c r="D4" s="733" t="s">
        <v>271</v>
      </c>
      <c r="E4" s="734"/>
      <c r="F4" s="734"/>
      <c r="G4" s="734"/>
      <c r="H4" s="734"/>
      <c r="I4" s="734"/>
      <c r="J4" s="735"/>
      <c r="K4" s="736" t="s">
        <v>272</v>
      </c>
      <c r="L4" s="738" t="s">
        <v>1</v>
      </c>
      <c r="M4" s="728"/>
      <c r="N4" s="728"/>
      <c r="O4" s="740" t="s">
        <v>273</v>
      </c>
      <c r="P4" s="742" t="s">
        <v>274</v>
      </c>
      <c r="Q4" s="742" t="s">
        <v>275</v>
      </c>
      <c r="R4" s="712" t="s">
        <v>1</v>
      </c>
      <c r="S4" s="728"/>
    </row>
    <row r="5" spans="1:19" ht="90" x14ac:dyDescent="0.25">
      <c r="A5" s="717"/>
      <c r="B5" s="719"/>
      <c r="C5" s="722"/>
      <c r="D5" s="380" t="s">
        <v>276</v>
      </c>
      <c r="E5" s="381" t="s">
        <v>277</v>
      </c>
      <c r="F5" s="381" t="s">
        <v>278</v>
      </c>
      <c r="G5" s="381" t="s">
        <v>279</v>
      </c>
      <c r="H5" s="381" t="s">
        <v>280</v>
      </c>
      <c r="I5" s="381" t="s">
        <v>281</v>
      </c>
      <c r="J5" s="381" t="s">
        <v>1</v>
      </c>
      <c r="K5" s="737"/>
      <c r="L5" s="739"/>
      <c r="M5" s="729"/>
      <c r="N5" s="729"/>
      <c r="O5" s="741"/>
      <c r="P5" s="743"/>
      <c r="Q5" s="743"/>
      <c r="R5" s="713"/>
      <c r="S5" s="732"/>
    </row>
    <row r="6" spans="1:19" ht="12.75" x14ac:dyDescent="0.25">
      <c r="A6" s="139"/>
      <c r="B6" s="139"/>
      <c r="C6" s="384" t="s">
        <v>1</v>
      </c>
      <c r="D6" s="386">
        <f>D7+D8</f>
        <v>4480</v>
      </c>
      <c r="E6" s="387">
        <f t="shared" ref="E6:S6" si="0">E7+E8</f>
        <v>4440</v>
      </c>
      <c r="F6" s="388">
        <f t="shared" si="0"/>
        <v>900</v>
      </c>
      <c r="G6" s="387">
        <f t="shared" si="0"/>
        <v>1430</v>
      </c>
      <c r="H6" s="387">
        <f t="shared" si="0"/>
        <v>820</v>
      </c>
      <c r="I6" s="387">
        <f t="shared" si="0"/>
        <v>1000</v>
      </c>
      <c r="J6" s="387">
        <f t="shared" si="0"/>
        <v>13070</v>
      </c>
      <c r="K6" s="391">
        <f t="shared" si="0"/>
        <v>1030</v>
      </c>
      <c r="L6" s="392">
        <f t="shared" si="0"/>
        <v>14100</v>
      </c>
      <c r="M6" s="389">
        <f t="shared" si="0"/>
        <v>13000</v>
      </c>
      <c r="N6" s="389">
        <f t="shared" si="0"/>
        <v>6245</v>
      </c>
      <c r="O6" s="393">
        <f t="shared" si="0"/>
        <v>34700</v>
      </c>
      <c r="P6" s="391">
        <f t="shared" si="0"/>
        <v>35800</v>
      </c>
      <c r="Q6" s="391">
        <f t="shared" si="0"/>
        <v>33100</v>
      </c>
      <c r="R6" s="392">
        <f t="shared" si="0"/>
        <v>103600</v>
      </c>
      <c r="S6" s="390">
        <f t="shared" si="0"/>
        <v>136945</v>
      </c>
    </row>
    <row r="7" spans="1:19" ht="24" x14ac:dyDescent="0.25">
      <c r="A7" s="139"/>
      <c r="B7" s="139"/>
      <c r="C7" s="394" t="s">
        <v>19</v>
      </c>
      <c r="D7" s="386">
        <v>0</v>
      </c>
      <c r="E7" s="387">
        <v>0</v>
      </c>
      <c r="F7" s="388">
        <v>0</v>
      </c>
      <c r="G7" s="387">
        <v>0</v>
      </c>
      <c r="H7" s="387">
        <v>0</v>
      </c>
      <c r="I7" s="387">
        <v>0</v>
      </c>
      <c r="J7" s="387">
        <v>0</v>
      </c>
      <c r="K7" s="391">
        <v>0</v>
      </c>
      <c r="L7" s="392">
        <v>0</v>
      </c>
      <c r="M7" s="389">
        <v>0</v>
      </c>
      <c r="N7" s="389">
        <v>0</v>
      </c>
      <c r="O7" s="393">
        <v>0</v>
      </c>
      <c r="P7" s="391">
        <v>0</v>
      </c>
      <c r="Q7" s="391">
        <v>0</v>
      </c>
      <c r="R7" s="392">
        <v>0</v>
      </c>
      <c r="S7" s="390">
        <v>0</v>
      </c>
    </row>
    <row r="8" spans="1:19" ht="12.75" x14ac:dyDescent="0.25">
      <c r="A8" s="139"/>
      <c r="B8" s="139"/>
      <c r="C8" s="384" t="s">
        <v>20</v>
      </c>
      <c r="D8" s="386">
        <f>SUM(D9:D31)</f>
        <v>4480</v>
      </c>
      <c r="E8" s="387">
        <f t="shared" ref="E8:S8" si="1">SUM(E9:E31)</f>
        <v>4440</v>
      </c>
      <c r="F8" s="388">
        <f t="shared" si="1"/>
        <v>900</v>
      </c>
      <c r="G8" s="387">
        <f t="shared" si="1"/>
        <v>1430</v>
      </c>
      <c r="H8" s="387">
        <f t="shared" si="1"/>
        <v>820</v>
      </c>
      <c r="I8" s="387">
        <f t="shared" si="1"/>
        <v>1000</v>
      </c>
      <c r="J8" s="387">
        <f t="shared" si="1"/>
        <v>13070</v>
      </c>
      <c r="K8" s="391">
        <f t="shared" si="1"/>
        <v>1030</v>
      </c>
      <c r="L8" s="392">
        <f t="shared" si="1"/>
        <v>14100</v>
      </c>
      <c r="M8" s="389">
        <f t="shared" si="1"/>
        <v>13000</v>
      </c>
      <c r="N8" s="389">
        <f t="shared" si="1"/>
        <v>6245</v>
      </c>
      <c r="O8" s="393">
        <f t="shared" si="1"/>
        <v>34700</v>
      </c>
      <c r="P8" s="391">
        <f t="shared" si="1"/>
        <v>35800</v>
      </c>
      <c r="Q8" s="391">
        <f t="shared" si="1"/>
        <v>33100</v>
      </c>
      <c r="R8" s="392">
        <f t="shared" si="1"/>
        <v>103600</v>
      </c>
      <c r="S8" s="390">
        <f t="shared" si="1"/>
        <v>136945</v>
      </c>
    </row>
    <row r="9" spans="1:19" x14ac:dyDescent="0.25">
      <c r="A9" s="139">
        <v>1</v>
      </c>
      <c r="B9" s="140" t="s">
        <v>24</v>
      </c>
      <c r="C9" s="385" t="s">
        <v>25</v>
      </c>
      <c r="D9" s="383"/>
      <c r="E9" s="143"/>
      <c r="F9" s="382"/>
      <c r="G9" s="143"/>
      <c r="H9" s="143"/>
      <c r="I9" s="143"/>
      <c r="J9" s="143"/>
      <c r="K9" s="139"/>
      <c r="L9" s="144"/>
      <c r="M9" s="145"/>
      <c r="N9" s="145"/>
      <c r="O9" s="146">
        <v>800</v>
      </c>
      <c r="P9" s="139">
        <v>900</v>
      </c>
      <c r="Q9" s="139">
        <v>600</v>
      </c>
      <c r="R9" s="144">
        <f t="shared" ref="R9:R25" si="2">O9+P9+Q9</f>
        <v>2300</v>
      </c>
      <c r="S9" s="138">
        <f t="shared" ref="S9:S31" si="3">L9+M9+N9+R9</f>
        <v>2300</v>
      </c>
    </row>
    <row r="10" spans="1:19" x14ac:dyDescent="0.25">
      <c r="A10" s="139">
        <v>2</v>
      </c>
      <c r="B10" s="140" t="s">
        <v>4</v>
      </c>
      <c r="C10" s="141" t="s">
        <v>29</v>
      </c>
      <c r="D10" s="142"/>
      <c r="E10" s="143"/>
      <c r="F10" s="143"/>
      <c r="G10" s="143"/>
      <c r="H10" s="143"/>
      <c r="I10" s="143"/>
      <c r="J10" s="143"/>
      <c r="K10" s="139"/>
      <c r="L10" s="144"/>
      <c r="M10" s="145"/>
      <c r="N10" s="145"/>
      <c r="O10" s="146">
        <v>2100</v>
      </c>
      <c r="P10" s="139">
        <v>2000</v>
      </c>
      <c r="Q10" s="139">
        <v>2000</v>
      </c>
      <c r="R10" s="144">
        <f t="shared" si="2"/>
        <v>6100</v>
      </c>
      <c r="S10" s="138">
        <f t="shared" si="3"/>
        <v>6100</v>
      </c>
    </row>
    <row r="11" spans="1:19" x14ac:dyDescent="0.25">
      <c r="A11" s="139">
        <v>3</v>
      </c>
      <c r="B11" s="140" t="s">
        <v>46</v>
      </c>
      <c r="C11" s="141" t="s">
        <v>47</v>
      </c>
      <c r="D11" s="142"/>
      <c r="E11" s="143"/>
      <c r="F11" s="143"/>
      <c r="G11" s="143"/>
      <c r="H11" s="143"/>
      <c r="I11" s="143"/>
      <c r="J11" s="143"/>
      <c r="K11" s="139"/>
      <c r="L11" s="144"/>
      <c r="M11" s="145"/>
      <c r="N11" s="145"/>
      <c r="O11" s="146">
        <v>2000</v>
      </c>
      <c r="P11" s="139">
        <v>2000</v>
      </c>
      <c r="Q11" s="139">
        <v>2000</v>
      </c>
      <c r="R11" s="144">
        <f t="shared" si="2"/>
        <v>6000</v>
      </c>
      <c r="S11" s="138">
        <f t="shared" si="3"/>
        <v>6000</v>
      </c>
    </row>
    <row r="12" spans="1:19" x14ac:dyDescent="0.25">
      <c r="A12" s="139">
        <v>4</v>
      </c>
      <c r="B12" s="140" t="s">
        <v>53</v>
      </c>
      <c r="C12" s="141" t="s">
        <v>54</v>
      </c>
      <c r="D12" s="142"/>
      <c r="E12" s="143"/>
      <c r="F12" s="143"/>
      <c r="G12" s="143"/>
      <c r="H12" s="143"/>
      <c r="I12" s="143"/>
      <c r="J12" s="143"/>
      <c r="K12" s="139"/>
      <c r="L12" s="144"/>
      <c r="M12" s="145"/>
      <c r="N12" s="145"/>
      <c r="O12" s="146">
        <v>1600</v>
      </c>
      <c r="P12" s="139">
        <v>1600</v>
      </c>
      <c r="Q12" s="139">
        <v>1600</v>
      </c>
      <c r="R12" s="144">
        <f t="shared" si="2"/>
        <v>4800</v>
      </c>
      <c r="S12" s="138">
        <f t="shared" si="3"/>
        <v>4800</v>
      </c>
    </row>
    <row r="13" spans="1:19" x14ac:dyDescent="0.25">
      <c r="A13" s="139">
        <v>5</v>
      </c>
      <c r="B13" s="140" t="s">
        <v>6</v>
      </c>
      <c r="C13" s="141" t="s">
        <v>59</v>
      </c>
      <c r="D13" s="142"/>
      <c r="E13" s="143"/>
      <c r="F13" s="143"/>
      <c r="G13" s="143"/>
      <c r="H13" s="143"/>
      <c r="I13" s="143"/>
      <c r="J13" s="143"/>
      <c r="K13" s="139"/>
      <c r="L13" s="144"/>
      <c r="M13" s="145">
        <f>10000+203</f>
        <v>10203</v>
      </c>
      <c r="N13" s="145"/>
      <c r="O13" s="146"/>
      <c r="P13" s="139"/>
      <c r="Q13" s="139"/>
      <c r="R13" s="144"/>
      <c r="S13" s="138">
        <f t="shared" si="3"/>
        <v>10203</v>
      </c>
    </row>
    <row r="14" spans="1:19" x14ac:dyDescent="0.25">
      <c r="A14" s="139">
        <v>6</v>
      </c>
      <c r="B14" s="140" t="s">
        <v>5</v>
      </c>
      <c r="C14" s="141" t="s">
        <v>17</v>
      </c>
      <c r="D14" s="142"/>
      <c r="E14" s="143"/>
      <c r="F14" s="143"/>
      <c r="G14" s="143"/>
      <c r="H14" s="143"/>
      <c r="I14" s="143"/>
      <c r="J14" s="143"/>
      <c r="K14" s="139"/>
      <c r="L14" s="144"/>
      <c r="M14" s="145"/>
      <c r="N14" s="145"/>
      <c r="O14" s="146">
        <v>4000</v>
      </c>
      <c r="P14" s="139">
        <v>4000</v>
      </c>
      <c r="Q14" s="139">
        <v>4000</v>
      </c>
      <c r="R14" s="144">
        <f t="shared" si="2"/>
        <v>12000</v>
      </c>
      <c r="S14" s="138">
        <f t="shared" si="3"/>
        <v>12000</v>
      </c>
    </row>
    <row r="15" spans="1:19" x14ac:dyDescent="0.25">
      <c r="A15" s="139">
        <v>7</v>
      </c>
      <c r="B15" s="140" t="s">
        <v>64</v>
      </c>
      <c r="C15" s="141" t="s">
        <v>65</v>
      </c>
      <c r="D15" s="142"/>
      <c r="E15" s="143"/>
      <c r="F15" s="143"/>
      <c r="G15" s="143"/>
      <c r="H15" s="143"/>
      <c r="I15" s="143"/>
      <c r="J15" s="143"/>
      <c r="K15" s="139"/>
      <c r="L15" s="144"/>
      <c r="M15" s="145"/>
      <c r="N15" s="145"/>
      <c r="O15" s="146">
        <v>1400</v>
      </c>
      <c r="P15" s="139">
        <v>1400</v>
      </c>
      <c r="Q15" s="139">
        <v>1400</v>
      </c>
      <c r="R15" s="144">
        <f t="shared" si="2"/>
        <v>4200</v>
      </c>
      <c r="S15" s="138">
        <f t="shared" si="3"/>
        <v>4200</v>
      </c>
    </row>
    <row r="16" spans="1:19" x14ac:dyDescent="0.25">
      <c r="A16" s="139">
        <v>8</v>
      </c>
      <c r="B16" s="140" t="s">
        <v>66</v>
      </c>
      <c r="C16" s="141" t="s">
        <v>67</v>
      </c>
      <c r="D16" s="142"/>
      <c r="E16" s="143"/>
      <c r="F16" s="143"/>
      <c r="G16" s="143"/>
      <c r="H16" s="143"/>
      <c r="I16" s="143"/>
      <c r="J16" s="143"/>
      <c r="K16" s="139"/>
      <c r="L16" s="144"/>
      <c r="M16" s="145"/>
      <c r="N16" s="145"/>
      <c r="O16" s="146">
        <v>2200</v>
      </c>
      <c r="P16" s="139">
        <v>2200</v>
      </c>
      <c r="Q16" s="139">
        <v>2200</v>
      </c>
      <c r="R16" s="144">
        <f t="shared" si="2"/>
        <v>6600</v>
      </c>
      <c r="S16" s="138">
        <f t="shared" si="3"/>
        <v>6600</v>
      </c>
    </row>
    <row r="17" spans="1:19" x14ac:dyDescent="0.25">
      <c r="A17" s="139">
        <v>9</v>
      </c>
      <c r="B17" s="140" t="s">
        <v>81</v>
      </c>
      <c r="C17" s="141" t="s">
        <v>82</v>
      </c>
      <c r="D17" s="142"/>
      <c r="E17" s="143"/>
      <c r="F17" s="143"/>
      <c r="G17" s="143"/>
      <c r="H17" s="143"/>
      <c r="I17" s="143"/>
      <c r="J17" s="143"/>
      <c r="K17" s="139"/>
      <c r="L17" s="144"/>
      <c r="M17" s="145"/>
      <c r="N17" s="145"/>
      <c r="O17" s="146">
        <v>2000</v>
      </c>
      <c r="P17" s="139">
        <v>2000</v>
      </c>
      <c r="Q17" s="139">
        <v>2000</v>
      </c>
      <c r="R17" s="144">
        <f t="shared" si="2"/>
        <v>6000</v>
      </c>
      <c r="S17" s="138">
        <f t="shared" si="3"/>
        <v>6000</v>
      </c>
    </row>
    <row r="18" spans="1:19" x14ac:dyDescent="0.25">
      <c r="A18" s="139">
        <v>10</v>
      </c>
      <c r="B18" s="140" t="s">
        <v>96</v>
      </c>
      <c r="C18" s="141" t="s">
        <v>97</v>
      </c>
      <c r="D18" s="142"/>
      <c r="E18" s="143"/>
      <c r="F18" s="143"/>
      <c r="G18" s="143"/>
      <c r="H18" s="143"/>
      <c r="I18" s="143"/>
      <c r="J18" s="143"/>
      <c r="K18" s="139"/>
      <c r="L18" s="144"/>
      <c r="M18" s="145"/>
      <c r="N18" s="145"/>
      <c r="O18" s="146">
        <v>1200</v>
      </c>
      <c r="P18" s="139">
        <v>1300</v>
      </c>
      <c r="Q18" s="139">
        <v>1100</v>
      </c>
      <c r="R18" s="144">
        <f t="shared" si="2"/>
        <v>3600</v>
      </c>
      <c r="S18" s="138">
        <f t="shared" si="3"/>
        <v>3600</v>
      </c>
    </row>
    <row r="19" spans="1:19" x14ac:dyDescent="0.25">
      <c r="A19" s="139">
        <v>11</v>
      </c>
      <c r="B19" s="140" t="s">
        <v>111</v>
      </c>
      <c r="C19" s="141" t="s">
        <v>214</v>
      </c>
      <c r="D19" s="142"/>
      <c r="E19" s="143"/>
      <c r="F19" s="143"/>
      <c r="G19" s="143"/>
      <c r="H19" s="143"/>
      <c r="I19" s="143"/>
      <c r="J19" s="143"/>
      <c r="K19" s="139"/>
      <c r="L19" s="144"/>
      <c r="M19" s="145"/>
      <c r="N19" s="145"/>
      <c r="O19" s="146">
        <v>1100</v>
      </c>
      <c r="P19" s="139">
        <v>1000</v>
      </c>
      <c r="Q19" s="139">
        <v>950</v>
      </c>
      <c r="R19" s="144">
        <f t="shared" si="2"/>
        <v>3050</v>
      </c>
      <c r="S19" s="138">
        <f t="shared" si="3"/>
        <v>3050</v>
      </c>
    </row>
    <row r="20" spans="1:19" x14ac:dyDescent="0.25">
      <c r="A20" s="139">
        <v>12</v>
      </c>
      <c r="B20" s="140" t="s">
        <v>118</v>
      </c>
      <c r="C20" s="141" t="s">
        <v>215</v>
      </c>
      <c r="D20" s="142"/>
      <c r="E20" s="143"/>
      <c r="F20" s="143"/>
      <c r="G20" s="143"/>
      <c r="H20" s="143"/>
      <c r="I20" s="143"/>
      <c r="J20" s="143"/>
      <c r="K20" s="139"/>
      <c r="L20" s="144"/>
      <c r="M20" s="145"/>
      <c r="N20" s="145"/>
      <c r="O20" s="146">
        <v>1600</v>
      </c>
      <c r="P20" s="139">
        <v>1500</v>
      </c>
      <c r="Q20" s="139">
        <v>1400</v>
      </c>
      <c r="R20" s="144">
        <f t="shared" si="2"/>
        <v>4500</v>
      </c>
      <c r="S20" s="138">
        <f t="shared" si="3"/>
        <v>4500</v>
      </c>
    </row>
    <row r="21" spans="1:19" x14ac:dyDescent="0.25">
      <c r="A21" s="139">
        <v>13</v>
      </c>
      <c r="B21" s="140" t="s">
        <v>131</v>
      </c>
      <c r="C21" s="141" t="s">
        <v>132</v>
      </c>
      <c r="D21" s="142"/>
      <c r="E21" s="143"/>
      <c r="F21" s="143"/>
      <c r="G21" s="143"/>
      <c r="H21" s="143"/>
      <c r="I21" s="143"/>
      <c r="J21" s="143"/>
      <c r="K21" s="139"/>
      <c r="L21" s="144"/>
      <c r="M21" s="145"/>
      <c r="N21" s="145"/>
      <c r="O21" s="146">
        <v>2200</v>
      </c>
      <c r="P21" s="139">
        <v>2300</v>
      </c>
      <c r="Q21" s="139">
        <v>2000</v>
      </c>
      <c r="R21" s="144">
        <f t="shared" si="2"/>
        <v>6500</v>
      </c>
      <c r="S21" s="138">
        <f t="shared" si="3"/>
        <v>6500</v>
      </c>
    </row>
    <row r="22" spans="1:19" x14ac:dyDescent="0.25">
      <c r="A22" s="139">
        <v>14</v>
      </c>
      <c r="B22" s="140" t="s">
        <v>135</v>
      </c>
      <c r="C22" s="141" t="s">
        <v>136</v>
      </c>
      <c r="D22" s="142"/>
      <c r="E22" s="143"/>
      <c r="F22" s="143"/>
      <c r="G22" s="143"/>
      <c r="H22" s="143"/>
      <c r="I22" s="143"/>
      <c r="J22" s="143"/>
      <c r="K22" s="139"/>
      <c r="L22" s="144"/>
      <c r="M22" s="145"/>
      <c r="N22" s="145"/>
      <c r="O22" s="146">
        <v>2000</v>
      </c>
      <c r="P22" s="139">
        <v>2000</v>
      </c>
      <c r="Q22" s="139">
        <v>2000</v>
      </c>
      <c r="R22" s="144">
        <f t="shared" si="2"/>
        <v>6000</v>
      </c>
      <c r="S22" s="138">
        <f t="shared" si="3"/>
        <v>6000</v>
      </c>
    </row>
    <row r="23" spans="1:19" x14ac:dyDescent="0.25">
      <c r="A23" s="139">
        <v>15</v>
      </c>
      <c r="B23" s="140" t="s">
        <v>137</v>
      </c>
      <c r="C23" s="141" t="s">
        <v>138</v>
      </c>
      <c r="D23" s="142">
        <v>1200</v>
      </c>
      <c r="E23" s="143">
        <v>170</v>
      </c>
      <c r="F23" s="143">
        <v>10</v>
      </c>
      <c r="G23" s="143"/>
      <c r="H23" s="143">
        <v>120</v>
      </c>
      <c r="I23" s="143"/>
      <c r="J23" s="143">
        <v>1500</v>
      </c>
      <c r="K23" s="139"/>
      <c r="L23" s="144">
        <f t="shared" ref="L23" si="4">J23+K23</f>
        <v>1500</v>
      </c>
      <c r="M23" s="145"/>
      <c r="N23" s="145"/>
      <c r="O23" s="146"/>
      <c r="P23" s="139"/>
      <c r="Q23" s="139"/>
      <c r="R23" s="144"/>
      <c r="S23" s="138">
        <f t="shared" si="3"/>
        <v>1500</v>
      </c>
    </row>
    <row r="24" spans="1:19" x14ac:dyDescent="0.25">
      <c r="A24" s="139">
        <v>16</v>
      </c>
      <c r="B24" s="140" t="s">
        <v>141</v>
      </c>
      <c r="C24" s="141" t="s">
        <v>142</v>
      </c>
      <c r="D24" s="142"/>
      <c r="E24" s="143"/>
      <c r="F24" s="143"/>
      <c r="G24" s="143"/>
      <c r="H24" s="143"/>
      <c r="I24" s="143"/>
      <c r="J24" s="143"/>
      <c r="K24" s="139"/>
      <c r="L24" s="144"/>
      <c r="M24" s="145"/>
      <c r="N24" s="145"/>
      <c r="O24" s="146">
        <v>500</v>
      </c>
      <c r="P24" s="139">
        <v>600</v>
      </c>
      <c r="Q24" s="139">
        <v>650</v>
      </c>
      <c r="R24" s="144">
        <f t="shared" si="2"/>
        <v>1750</v>
      </c>
      <c r="S24" s="138">
        <f t="shared" si="3"/>
        <v>1750</v>
      </c>
    </row>
    <row r="25" spans="1:19" x14ac:dyDescent="0.25">
      <c r="A25" s="139">
        <v>17</v>
      </c>
      <c r="B25" s="140" t="s">
        <v>163</v>
      </c>
      <c r="C25" s="141" t="s">
        <v>164</v>
      </c>
      <c r="D25" s="142"/>
      <c r="E25" s="143"/>
      <c r="F25" s="143"/>
      <c r="G25" s="143"/>
      <c r="H25" s="143"/>
      <c r="I25" s="143"/>
      <c r="J25" s="143"/>
      <c r="K25" s="139"/>
      <c r="L25" s="144"/>
      <c r="M25" s="145"/>
      <c r="N25" s="145"/>
      <c r="O25" s="146">
        <v>1000</v>
      </c>
      <c r="P25" s="139">
        <v>1000</v>
      </c>
      <c r="Q25" s="139">
        <v>1000</v>
      </c>
      <c r="R25" s="144">
        <f t="shared" si="2"/>
        <v>3000</v>
      </c>
      <c r="S25" s="138">
        <f t="shared" si="3"/>
        <v>3000</v>
      </c>
    </row>
    <row r="26" spans="1:19" x14ac:dyDescent="0.25">
      <c r="A26" s="139">
        <v>18</v>
      </c>
      <c r="B26" s="140" t="s">
        <v>15</v>
      </c>
      <c r="C26" s="141" t="s">
        <v>180</v>
      </c>
      <c r="D26" s="142">
        <v>380</v>
      </c>
      <c r="E26" s="143">
        <v>1640</v>
      </c>
      <c r="F26" s="143">
        <v>400</v>
      </c>
      <c r="G26" s="143">
        <v>650</v>
      </c>
      <c r="H26" s="143"/>
      <c r="I26" s="143">
        <v>1000</v>
      </c>
      <c r="J26" s="143">
        <v>4070</v>
      </c>
      <c r="K26" s="139">
        <v>1030</v>
      </c>
      <c r="L26" s="398">
        <f>J26+K26</f>
        <v>5100</v>
      </c>
      <c r="M26" s="145"/>
      <c r="N26" s="145"/>
      <c r="O26" s="146"/>
      <c r="P26" s="139"/>
      <c r="Q26" s="139"/>
      <c r="R26" s="144"/>
      <c r="S26" s="138">
        <f t="shared" si="3"/>
        <v>5100</v>
      </c>
    </row>
    <row r="27" spans="1:19" x14ac:dyDescent="0.25">
      <c r="A27" s="139">
        <v>19</v>
      </c>
      <c r="B27" s="140" t="s">
        <v>181</v>
      </c>
      <c r="C27" s="141" t="s">
        <v>182</v>
      </c>
      <c r="D27" s="142">
        <v>2900</v>
      </c>
      <c r="E27" s="143">
        <v>2300</v>
      </c>
      <c r="F27" s="143">
        <v>350</v>
      </c>
      <c r="G27" s="143">
        <v>50</v>
      </c>
      <c r="H27" s="143">
        <v>700</v>
      </c>
      <c r="I27" s="143"/>
      <c r="J27" s="143">
        <v>6300</v>
      </c>
      <c r="K27" s="139"/>
      <c r="L27" s="144">
        <f t="shared" ref="L27:L28" si="5">J27+K27</f>
        <v>6300</v>
      </c>
      <c r="M27" s="145">
        <f>3000-203</f>
        <v>2797</v>
      </c>
      <c r="N27" s="145"/>
      <c r="O27" s="146"/>
      <c r="P27" s="139"/>
      <c r="Q27" s="139"/>
      <c r="R27" s="144"/>
      <c r="S27" s="138">
        <f t="shared" si="3"/>
        <v>9097</v>
      </c>
    </row>
    <row r="28" spans="1:19" x14ac:dyDescent="0.25">
      <c r="A28" s="139">
        <v>20</v>
      </c>
      <c r="B28" s="140" t="s">
        <v>14</v>
      </c>
      <c r="C28" s="141" t="s">
        <v>13</v>
      </c>
      <c r="D28" s="142"/>
      <c r="E28" s="143">
        <v>330</v>
      </c>
      <c r="F28" s="143">
        <v>140</v>
      </c>
      <c r="G28" s="143">
        <v>730</v>
      </c>
      <c r="H28" s="143"/>
      <c r="I28" s="143"/>
      <c r="J28" s="143">
        <v>1200</v>
      </c>
      <c r="K28" s="139"/>
      <c r="L28" s="144">
        <f t="shared" si="5"/>
        <v>1200</v>
      </c>
      <c r="M28" s="145"/>
      <c r="N28" s="145"/>
      <c r="O28" s="146"/>
      <c r="P28" s="139"/>
      <c r="Q28" s="139"/>
      <c r="R28" s="144"/>
      <c r="S28" s="138">
        <f t="shared" si="3"/>
        <v>1200</v>
      </c>
    </row>
    <row r="29" spans="1:19" x14ac:dyDescent="0.25">
      <c r="A29" s="139">
        <v>21</v>
      </c>
      <c r="B29" s="140" t="s">
        <v>185</v>
      </c>
      <c r="C29" s="141" t="s">
        <v>186</v>
      </c>
      <c r="D29" s="142"/>
      <c r="E29" s="143"/>
      <c r="F29" s="143"/>
      <c r="G29" s="143"/>
      <c r="H29" s="143"/>
      <c r="I29" s="143"/>
      <c r="J29" s="143"/>
      <c r="K29" s="139"/>
      <c r="L29" s="144"/>
      <c r="M29" s="145"/>
      <c r="N29" s="145"/>
      <c r="O29" s="146">
        <v>6000</v>
      </c>
      <c r="P29" s="139">
        <v>5500</v>
      </c>
      <c r="Q29" s="139">
        <v>5500</v>
      </c>
      <c r="R29" s="144">
        <f t="shared" ref="R29:R30" si="6">O29+P29+Q29</f>
        <v>17000</v>
      </c>
      <c r="S29" s="138">
        <f t="shared" si="3"/>
        <v>17000</v>
      </c>
    </row>
    <row r="30" spans="1:19" x14ac:dyDescent="0.25">
      <c r="A30" s="139">
        <v>22</v>
      </c>
      <c r="B30" s="140" t="s">
        <v>187</v>
      </c>
      <c r="C30" s="141" t="s">
        <v>188</v>
      </c>
      <c r="D30" s="142"/>
      <c r="E30" s="143"/>
      <c r="F30" s="143"/>
      <c r="G30" s="143"/>
      <c r="H30" s="143"/>
      <c r="I30" s="143"/>
      <c r="J30" s="143"/>
      <c r="K30" s="139"/>
      <c r="L30" s="144"/>
      <c r="M30" s="145"/>
      <c r="N30" s="145"/>
      <c r="O30" s="146">
        <v>3000</v>
      </c>
      <c r="P30" s="139">
        <v>4500</v>
      </c>
      <c r="Q30" s="139">
        <v>2700</v>
      </c>
      <c r="R30" s="144">
        <f t="shared" si="6"/>
        <v>10200</v>
      </c>
      <c r="S30" s="138">
        <f>L30+M30+N30+R30</f>
        <v>10200</v>
      </c>
    </row>
    <row r="31" spans="1:19" ht="12" thickBot="1" x14ac:dyDescent="0.3">
      <c r="A31" s="147">
        <v>23</v>
      </c>
      <c r="B31" s="148" t="s">
        <v>192</v>
      </c>
      <c r="C31" s="149" t="s">
        <v>193</v>
      </c>
      <c r="D31" s="136"/>
      <c r="E31" s="137"/>
      <c r="F31" s="137"/>
      <c r="G31" s="137"/>
      <c r="H31" s="137"/>
      <c r="I31" s="137"/>
      <c r="J31" s="137"/>
      <c r="K31" s="395"/>
      <c r="L31" s="396"/>
      <c r="M31" s="214"/>
      <c r="N31" s="214">
        <v>6245</v>
      </c>
      <c r="O31" s="397"/>
      <c r="P31" s="395"/>
      <c r="Q31" s="395"/>
      <c r="R31" s="396"/>
      <c r="S31" s="150">
        <f t="shared" si="3"/>
        <v>6245</v>
      </c>
    </row>
    <row r="32" spans="1:19" s="131" customFormat="1" x14ac:dyDescent="0.25">
      <c r="A32" s="128"/>
      <c r="B32" s="128"/>
      <c r="C32" s="129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</row>
    <row r="33" spans="1:19" s="131" customFormat="1" x14ac:dyDescent="0.25">
      <c r="A33" s="128"/>
      <c r="B33" s="128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</row>
    <row r="34" spans="1:19" s="131" customFormat="1" x14ac:dyDescent="0.25">
      <c r="A34" s="128"/>
      <c r="B34" s="128"/>
      <c r="C34" s="132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" right="0" top="0.74803149606299213" bottom="0.74803149606299213" header="0.31496062992125984" footer="0.31496062992125984"/>
  <pageSetup paperSize="9" scale="7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"/>
  <sheetViews>
    <sheetView workbookViewId="0">
      <pane xSplit="3" ySplit="9" topLeftCell="D10" activePane="bottomRight" state="frozen"/>
      <selection activeCell="O15" sqref="O15"/>
      <selection pane="topRight" activeCell="O15" sqref="O15"/>
      <selection pane="bottomLeft" activeCell="O15" sqref="O15"/>
      <selection pane="bottomRight" activeCell="J26" sqref="J26"/>
    </sheetView>
  </sheetViews>
  <sheetFormatPr defaultRowHeight="12" x14ac:dyDescent="0.2"/>
  <cols>
    <col min="1" max="1" width="5" style="215" customWidth="1"/>
    <col min="2" max="2" width="7.7109375" style="215" customWidth="1"/>
    <col min="3" max="3" width="30.7109375" style="215" customWidth="1"/>
    <col min="4" max="4" width="12.140625" style="215" customWidth="1"/>
    <col min="5" max="5" width="9.7109375" style="215" customWidth="1"/>
    <col min="6" max="6" width="17" style="215" customWidth="1"/>
    <col min="7" max="7" width="12.42578125" style="215" customWidth="1"/>
    <col min="8" max="8" width="9.5703125" style="215" customWidth="1"/>
    <col min="9" max="10" width="10.7109375" style="215" customWidth="1"/>
    <col min="11" max="11" width="9.42578125" style="215" customWidth="1"/>
    <col min="12" max="12" width="19.28515625" style="215" customWidth="1"/>
    <col min="13" max="13" width="12.7109375" style="215" customWidth="1"/>
    <col min="14" max="14" width="11" style="215" customWidth="1"/>
    <col min="15" max="15" width="10.5703125" style="215" customWidth="1"/>
    <col min="16" max="16" width="17.140625" style="215" customWidth="1"/>
    <col min="17" max="17" width="15.5703125" style="215" customWidth="1"/>
    <col min="18" max="16384" width="9.140625" style="215"/>
  </cols>
  <sheetData>
    <row r="1" spans="1:26" ht="41.25" customHeight="1" x14ac:dyDescent="0.2">
      <c r="A1" s="748" t="s">
        <v>430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</row>
    <row r="2" spans="1:26" ht="15" customHeight="1" x14ac:dyDescent="0.2">
      <c r="A2" s="745" t="s">
        <v>0</v>
      </c>
      <c r="B2" s="749" t="s">
        <v>431</v>
      </c>
      <c r="C2" s="745" t="s">
        <v>432</v>
      </c>
      <c r="D2" s="745" t="s">
        <v>433</v>
      </c>
      <c r="E2" s="745" t="s">
        <v>18</v>
      </c>
      <c r="F2" s="745"/>
      <c r="G2" s="745"/>
      <c r="H2" s="745"/>
      <c r="I2" s="745"/>
      <c r="J2" s="745"/>
      <c r="K2" s="745"/>
      <c r="L2" s="745"/>
      <c r="M2" s="745"/>
      <c r="N2" s="745"/>
      <c r="O2" s="745"/>
      <c r="P2" s="745"/>
      <c r="Q2" s="745"/>
    </row>
    <row r="3" spans="1:26" ht="40.5" customHeight="1" x14ac:dyDescent="0.2">
      <c r="A3" s="745"/>
      <c r="B3" s="750"/>
      <c r="C3" s="745"/>
      <c r="D3" s="745"/>
      <c r="E3" s="752" t="s">
        <v>434</v>
      </c>
      <c r="F3" s="753"/>
      <c r="G3" s="753"/>
      <c r="H3" s="744" t="s">
        <v>435</v>
      </c>
      <c r="I3" s="744"/>
      <c r="J3" s="744"/>
      <c r="K3" s="745" t="s">
        <v>436</v>
      </c>
      <c r="L3" s="745"/>
      <c r="M3" s="745"/>
      <c r="N3" s="745"/>
      <c r="O3" s="745"/>
      <c r="P3" s="745"/>
      <c r="Q3" s="745"/>
    </row>
    <row r="4" spans="1:26" ht="12.75" customHeight="1" x14ac:dyDescent="0.2">
      <c r="A4" s="745"/>
      <c r="B4" s="750"/>
      <c r="C4" s="745"/>
      <c r="D4" s="745"/>
      <c r="E4" s="745" t="s">
        <v>1</v>
      </c>
      <c r="F4" s="760" t="s">
        <v>18</v>
      </c>
      <c r="G4" s="761"/>
      <c r="H4" s="745" t="s">
        <v>1</v>
      </c>
      <c r="I4" s="760" t="s">
        <v>437</v>
      </c>
      <c r="J4" s="761"/>
      <c r="K4" s="744" t="s">
        <v>1</v>
      </c>
      <c r="L4" s="746" t="s">
        <v>18</v>
      </c>
      <c r="M4" s="746"/>
      <c r="N4" s="746"/>
      <c r="O4" s="746"/>
      <c r="P4" s="746"/>
      <c r="Q4" s="746"/>
    </row>
    <row r="5" spans="1:26" ht="84.75" customHeight="1" x14ac:dyDescent="0.2">
      <c r="A5" s="745"/>
      <c r="B5" s="751"/>
      <c r="C5" s="745"/>
      <c r="D5" s="745"/>
      <c r="E5" s="745"/>
      <c r="F5" s="216" t="s">
        <v>438</v>
      </c>
      <c r="G5" s="217" t="s">
        <v>439</v>
      </c>
      <c r="H5" s="745"/>
      <c r="I5" s="217" t="s">
        <v>440</v>
      </c>
      <c r="J5" s="217" t="s">
        <v>441</v>
      </c>
      <c r="K5" s="745"/>
      <c r="L5" s="218" t="s">
        <v>442</v>
      </c>
      <c r="M5" s="218" t="s">
        <v>443</v>
      </c>
      <c r="N5" s="218" t="s">
        <v>444</v>
      </c>
      <c r="O5" s="218" t="s">
        <v>445</v>
      </c>
      <c r="P5" s="218" t="s">
        <v>446</v>
      </c>
      <c r="Q5" s="218" t="s">
        <v>447</v>
      </c>
    </row>
    <row r="6" spans="1:26" s="222" customFormat="1" ht="12" customHeight="1" x14ac:dyDescent="0.2">
      <c r="A6" s="219">
        <v>1</v>
      </c>
      <c r="B6" s="219">
        <v>2</v>
      </c>
      <c r="C6" s="219">
        <v>3</v>
      </c>
      <c r="D6" s="220">
        <v>4</v>
      </c>
      <c r="E6" s="220">
        <v>5</v>
      </c>
      <c r="F6" s="220">
        <v>6</v>
      </c>
      <c r="G6" s="220">
        <v>7</v>
      </c>
      <c r="H6" s="220">
        <v>8</v>
      </c>
      <c r="I6" s="220">
        <v>9</v>
      </c>
      <c r="J6" s="220">
        <v>10</v>
      </c>
      <c r="K6" s="219">
        <v>11</v>
      </c>
      <c r="L6" s="221">
        <v>12</v>
      </c>
      <c r="M6" s="221">
        <v>13</v>
      </c>
      <c r="N6" s="221">
        <v>14</v>
      </c>
      <c r="O6" s="221">
        <v>15</v>
      </c>
      <c r="P6" s="221">
        <v>16</v>
      </c>
      <c r="Q6" s="221">
        <v>17</v>
      </c>
    </row>
    <row r="7" spans="1:26" s="222" customFormat="1" ht="12" customHeight="1" x14ac:dyDescent="0.2">
      <c r="A7" s="747" t="s">
        <v>1</v>
      </c>
      <c r="B7" s="747"/>
      <c r="C7" s="747"/>
      <c r="D7" s="223">
        <f t="shared" ref="D7" si="0">E7+H7+K7</f>
        <v>11723958</v>
      </c>
      <c r="E7" s="223">
        <f t="shared" ref="E7:E8" si="1">F7+G7</f>
        <v>1040351</v>
      </c>
      <c r="F7" s="223">
        <f>F8+F9</f>
        <v>189601</v>
      </c>
      <c r="G7" s="223">
        <f>G8+G9</f>
        <v>850750</v>
      </c>
      <c r="H7" s="223">
        <f t="shared" ref="H7:H8" si="2">I7+J7</f>
        <v>760257</v>
      </c>
      <c r="I7" s="223">
        <f>I8+I9</f>
        <v>749457</v>
      </c>
      <c r="J7" s="223">
        <f>J8+J9</f>
        <v>10800</v>
      </c>
      <c r="K7" s="224">
        <f>SUM(L7:Q7)</f>
        <v>9923350</v>
      </c>
      <c r="L7" s="225">
        <f>L8+L9</f>
        <v>189612</v>
      </c>
      <c r="M7" s="225">
        <f t="shared" ref="M7:Q7" si="3">M8+M9</f>
        <v>2613467</v>
      </c>
      <c r="N7" s="225">
        <f t="shared" si="3"/>
        <v>240081</v>
      </c>
      <c r="O7" s="225">
        <f t="shared" si="3"/>
        <v>4086221</v>
      </c>
      <c r="P7" s="225">
        <f t="shared" si="3"/>
        <v>505729</v>
      </c>
      <c r="Q7" s="225">
        <f t="shared" si="3"/>
        <v>2288240</v>
      </c>
    </row>
    <row r="8" spans="1:26" s="222" customFormat="1" ht="12" customHeight="1" x14ac:dyDescent="0.2">
      <c r="A8" s="754" t="s">
        <v>19</v>
      </c>
      <c r="B8" s="755"/>
      <c r="C8" s="756"/>
      <c r="D8" s="220">
        <f>E8+K8</f>
        <v>329908</v>
      </c>
      <c r="E8" s="220">
        <f t="shared" si="1"/>
        <v>0</v>
      </c>
      <c r="F8" s="220">
        <v>0</v>
      </c>
      <c r="G8" s="220">
        <v>0</v>
      </c>
      <c r="H8" s="220">
        <f t="shared" si="2"/>
        <v>0</v>
      </c>
      <c r="I8" s="220">
        <v>0</v>
      </c>
      <c r="J8" s="220">
        <v>0</v>
      </c>
      <c r="K8" s="219">
        <f t="shared" ref="K8" si="4">L8+M8+N8+O8+P8+Q8</f>
        <v>329908</v>
      </c>
      <c r="L8" s="221">
        <v>0</v>
      </c>
      <c r="M8" s="221">
        <v>488</v>
      </c>
      <c r="N8" s="221">
        <v>0</v>
      </c>
      <c r="O8" s="221">
        <v>329420</v>
      </c>
      <c r="P8" s="221">
        <v>0</v>
      </c>
      <c r="Q8" s="221">
        <v>0</v>
      </c>
    </row>
    <row r="9" spans="1:26" s="222" customFormat="1" ht="12" customHeight="1" x14ac:dyDescent="0.2">
      <c r="A9" s="757" t="s">
        <v>20</v>
      </c>
      <c r="B9" s="758"/>
      <c r="C9" s="759"/>
      <c r="D9" s="223">
        <f>E9+H9+K9</f>
        <v>11394050</v>
      </c>
      <c r="E9" s="223">
        <f>F9+G9</f>
        <v>1040351</v>
      </c>
      <c r="F9" s="223">
        <f>SUM(F10:F157)</f>
        <v>189601</v>
      </c>
      <c r="G9" s="223">
        <f t="shared" ref="G9:J9" si="5">SUM(G10:G157)</f>
        <v>850750</v>
      </c>
      <c r="H9" s="223">
        <f>I9+J9</f>
        <v>760257</v>
      </c>
      <c r="I9" s="223">
        <f t="shared" si="5"/>
        <v>749457</v>
      </c>
      <c r="J9" s="223">
        <f t="shared" si="5"/>
        <v>10800</v>
      </c>
      <c r="K9" s="224">
        <f>SUM(L9:Q9)</f>
        <v>9593442</v>
      </c>
      <c r="L9" s="225">
        <f>SUM(L10:L157)</f>
        <v>189612</v>
      </c>
      <c r="M9" s="225">
        <f t="shared" ref="M9:Q9" si="6">SUM(M10:M157)</f>
        <v>2612979</v>
      </c>
      <c r="N9" s="225">
        <f t="shared" si="6"/>
        <v>240081</v>
      </c>
      <c r="O9" s="225">
        <f t="shared" si="6"/>
        <v>3756801</v>
      </c>
      <c r="P9" s="225">
        <f t="shared" si="6"/>
        <v>505729</v>
      </c>
      <c r="Q9" s="225">
        <f t="shared" si="6"/>
        <v>2288240</v>
      </c>
    </row>
    <row r="10" spans="1:26" ht="12.75" x14ac:dyDescent="0.2">
      <c r="A10" s="226">
        <v>1</v>
      </c>
      <c r="B10" s="227" t="s">
        <v>21</v>
      </c>
      <c r="C10" s="228" t="s">
        <v>22</v>
      </c>
      <c r="D10" s="229">
        <f t="shared" ref="D10:D80" si="7">E10+H10+K10</f>
        <v>46814</v>
      </c>
      <c r="E10" s="229">
        <f>F10+G10</f>
        <v>4456</v>
      </c>
      <c r="F10" s="229">
        <v>893</v>
      </c>
      <c r="G10" s="229">
        <v>3563</v>
      </c>
      <c r="H10" s="220">
        <f t="shared" ref="H10:H73" si="8">I10+J10</f>
        <v>3603</v>
      </c>
      <c r="I10" s="229">
        <v>3528</v>
      </c>
      <c r="J10" s="229">
        <v>75</v>
      </c>
      <c r="K10" s="229">
        <f>L10+M10+N10+O10+P10+Q10</f>
        <v>38755</v>
      </c>
      <c r="L10" s="230">
        <v>893</v>
      </c>
      <c r="M10" s="230">
        <v>23367</v>
      </c>
      <c r="N10" s="230">
        <v>0</v>
      </c>
      <c r="O10" s="230">
        <v>8763</v>
      </c>
      <c r="P10" s="230">
        <v>963</v>
      </c>
      <c r="Q10" s="230">
        <v>4769</v>
      </c>
      <c r="T10" s="231"/>
      <c r="V10" s="231"/>
      <c r="X10" s="232"/>
      <c r="Z10" s="233"/>
    </row>
    <row r="11" spans="1:26" ht="12.75" x14ac:dyDescent="0.2">
      <c r="A11" s="226">
        <v>2</v>
      </c>
      <c r="B11" s="227" t="s">
        <v>23</v>
      </c>
      <c r="C11" s="234" t="s">
        <v>195</v>
      </c>
      <c r="D11" s="229">
        <f t="shared" si="7"/>
        <v>49354</v>
      </c>
      <c r="E11" s="229">
        <f t="shared" ref="E11:E81" si="9">F11+G11</f>
        <v>4497</v>
      </c>
      <c r="F11" s="229">
        <v>918</v>
      </c>
      <c r="G11" s="229">
        <v>3579</v>
      </c>
      <c r="H11" s="220">
        <f t="shared" si="8"/>
        <v>3689</v>
      </c>
      <c r="I11" s="229">
        <v>3627</v>
      </c>
      <c r="J11" s="229">
        <v>62</v>
      </c>
      <c r="K11" s="229">
        <f t="shared" ref="K11:K81" si="10">L11+M11+N11+O11+P11+Q11</f>
        <v>41168</v>
      </c>
      <c r="L11" s="230">
        <v>918</v>
      </c>
      <c r="M11" s="230">
        <v>16369</v>
      </c>
      <c r="N11" s="230">
        <v>0</v>
      </c>
      <c r="O11" s="230">
        <v>14532</v>
      </c>
      <c r="P11" s="230">
        <v>2675</v>
      </c>
      <c r="Q11" s="230">
        <v>6674</v>
      </c>
      <c r="T11" s="231"/>
      <c r="V11" s="231"/>
      <c r="X11" s="232"/>
      <c r="Z11" s="233"/>
    </row>
    <row r="12" spans="1:26" ht="12.75" x14ac:dyDescent="0.2">
      <c r="A12" s="226">
        <v>3</v>
      </c>
      <c r="B12" s="235" t="s">
        <v>24</v>
      </c>
      <c r="C12" s="227" t="s">
        <v>25</v>
      </c>
      <c r="D12" s="229">
        <f t="shared" si="7"/>
        <v>154379</v>
      </c>
      <c r="E12" s="229">
        <f t="shared" si="9"/>
        <v>15220</v>
      </c>
      <c r="F12" s="229">
        <v>2592</v>
      </c>
      <c r="G12" s="229">
        <v>12628</v>
      </c>
      <c r="H12" s="220">
        <f t="shared" si="8"/>
        <v>10744</v>
      </c>
      <c r="I12" s="229">
        <v>10247</v>
      </c>
      <c r="J12" s="229">
        <v>497</v>
      </c>
      <c r="K12" s="229">
        <f t="shared" si="10"/>
        <v>128415</v>
      </c>
      <c r="L12" s="230">
        <v>2592</v>
      </c>
      <c r="M12" s="230">
        <v>44235</v>
      </c>
      <c r="N12" s="230">
        <v>9422</v>
      </c>
      <c r="O12" s="230">
        <v>23401</v>
      </c>
      <c r="P12" s="230">
        <v>7632</v>
      </c>
      <c r="Q12" s="230">
        <v>41133</v>
      </c>
      <c r="T12" s="231"/>
      <c r="V12" s="231"/>
      <c r="X12" s="232"/>
      <c r="Z12" s="233"/>
    </row>
    <row r="13" spans="1:26" ht="12.75" x14ac:dyDescent="0.2">
      <c r="A13" s="226">
        <v>4</v>
      </c>
      <c r="B13" s="227" t="s">
        <v>26</v>
      </c>
      <c r="C13" s="228" t="s">
        <v>448</v>
      </c>
      <c r="D13" s="229">
        <f t="shared" si="7"/>
        <v>52667</v>
      </c>
      <c r="E13" s="229">
        <f t="shared" si="9"/>
        <v>4541</v>
      </c>
      <c r="F13" s="229">
        <v>1043</v>
      </c>
      <c r="G13" s="229">
        <v>3498</v>
      </c>
      <c r="H13" s="220">
        <f t="shared" si="8"/>
        <v>4190</v>
      </c>
      <c r="I13" s="229">
        <v>4122</v>
      </c>
      <c r="J13" s="229">
        <v>68</v>
      </c>
      <c r="K13" s="229">
        <f t="shared" si="10"/>
        <v>43936</v>
      </c>
      <c r="L13" s="230">
        <v>1443</v>
      </c>
      <c r="M13" s="230">
        <v>10000</v>
      </c>
      <c r="N13" s="230">
        <v>0</v>
      </c>
      <c r="O13" s="230">
        <v>17962</v>
      </c>
      <c r="P13" s="230">
        <v>4184</v>
      </c>
      <c r="Q13" s="230">
        <v>10347</v>
      </c>
      <c r="T13" s="231"/>
      <c r="V13" s="231"/>
      <c r="X13" s="232"/>
      <c r="Z13" s="233"/>
    </row>
    <row r="14" spans="1:26" ht="12.75" x14ac:dyDescent="0.2">
      <c r="A14" s="226">
        <v>5</v>
      </c>
      <c r="B14" s="227" t="s">
        <v>27</v>
      </c>
      <c r="C14" s="228" t="s">
        <v>28</v>
      </c>
      <c r="D14" s="229">
        <f t="shared" si="7"/>
        <v>57150</v>
      </c>
      <c r="E14" s="229">
        <f t="shared" si="9"/>
        <v>5642</v>
      </c>
      <c r="F14" s="229">
        <v>1065</v>
      </c>
      <c r="G14" s="229">
        <v>4577</v>
      </c>
      <c r="H14" s="220">
        <f t="shared" si="8"/>
        <v>4293</v>
      </c>
      <c r="I14" s="229">
        <v>4210</v>
      </c>
      <c r="J14" s="229">
        <v>83</v>
      </c>
      <c r="K14" s="229">
        <f t="shared" si="10"/>
        <v>47215</v>
      </c>
      <c r="L14" s="230">
        <v>1065</v>
      </c>
      <c r="M14" s="230">
        <v>16250</v>
      </c>
      <c r="N14" s="230">
        <v>0</v>
      </c>
      <c r="O14" s="230">
        <v>15422</v>
      </c>
      <c r="P14" s="230">
        <v>6093</v>
      </c>
      <c r="Q14" s="230">
        <v>8385</v>
      </c>
      <c r="T14" s="231"/>
      <c r="V14" s="231"/>
      <c r="X14" s="232"/>
      <c r="Z14" s="233"/>
    </row>
    <row r="15" spans="1:26" ht="12.75" x14ac:dyDescent="0.2">
      <c r="A15" s="226">
        <v>6</v>
      </c>
      <c r="B15" s="235" t="s">
        <v>4</v>
      </c>
      <c r="C15" s="227" t="s">
        <v>29</v>
      </c>
      <c r="D15" s="229">
        <f t="shared" si="7"/>
        <v>414406</v>
      </c>
      <c r="E15" s="229">
        <f t="shared" si="9"/>
        <v>43260</v>
      </c>
      <c r="F15" s="229">
        <v>7131</v>
      </c>
      <c r="G15" s="229">
        <v>36129</v>
      </c>
      <c r="H15" s="220">
        <f t="shared" si="8"/>
        <v>28375</v>
      </c>
      <c r="I15" s="229">
        <v>28190</v>
      </c>
      <c r="J15" s="229">
        <v>185</v>
      </c>
      <c r="K15" s="229">
        <f t="shared" si="10"/>
        <v>342771</v>
      </c>
      <c r="L15" s="230">
        <v>7632</v>
      </c>
      <c r="M15" s="230">
        <v>97056</v>
      </c>
      <c r="N15" s="230">
        <v>16146</v>
      </c>
      <c r="O15" s="230">
        <v>116421</v>
      </c>
      <c r="P15" s="230">
        <v>12008</v>
      </c>
      <c r="Q15" s="230">
        <v>93508</v>
      </c>
      <c r="T15" s="231"/>
      <c r="V15" s="231"/>
      <c r="X15" s="232"/>
      <c r="Z15" s="233"/>
    </row>
    <row r="16" spans="1:26" ht="12.75" x14ac:dyDescent="0.2">
      <c r="A16" s="226">
        <v>7</v>
      </c>
      <c r="B16" s="236" t="s">
        <v>30</v>
      </c>
      <c r="C16" s="236" t="s">
        <v>449</v>
      </c>
      <c r="D16" s="229">
        <f t="shared" si="7"/>
        <v>155733</v>
      </c>
      <c r="E16" s="229">
        <f t="shared" si="9"/>
        <v>14300</v>
      </c>
      <c r="F16" s="229">
        <v>2692</v>
      </c>
      <c r="G16" s="229">
        <v>11608</v>
      </c>
      <c r="H16" s="220">
        <f t="shared" si="8"/>
        <v>10785</v>
      </c>
      <c r="I16" s="229">
        <v>10641</v>
      </c>
      <c r="J16" s="229">
        <v>144</v>
      </c>
      <c r="K16" s="229">
        <f t="shared" si="10"/>
        <v>130648</v>
      </c>
      <c r="L16" s="230">
        <v>2692</v>
      </c>
      <c r="M16" s="230">
        <v>31365</v>
      </c>
      <c r="N16" s="230">
        <v>8290</v>
      </c>
      <c r="O16" s="230">
        <v>48899</v>
      </c>
      <c r="P16" s="230">
        <v>4900</v>
      </c>
      <c r="Q16" s="230">
        <v>34502</v>
      </c>
      <c r="T16" s="231"/>
      <c r="V16" s="231"/>
      <c r="X16" s="232"/>
      <c r="Z16" s="233"/>
    </row>
    <row r="17" spans="1:26" ht="12.75" x14ac:dyDescent="0.2">
      <c r="A17" s="226">
        <v>8</v>
      </c>
      <c r="B17" s="235" t="s">
        <v>31</v>
      </c>
      <c r="C17" s="227" t="s">
        <v>32</v>
      </c>
      <c r="D17" s="229">
        <f t="shared" si="7"/>
        <v>60368</v>
      </c>
      <c r="E17" s="229">
        <f t="shared" si="9"/>
        <v>6001</v>
      </c>
      <c r="F17" s="229">
        <v>1116</v>
      </c>
      <c r="G17" s="229">
        <v>4885</v>
      </c>
      <c r="H17" s="220">
        <f t="shared" si="8"/>
        <v>4570</v>
      </c>
      <c r="I17" s="229">
        <v>4411</v>
      </c>
      <c r="J17" s="229">
        <v>159</v>
      </c>
      <c r="K17" s="229">
        <f t="shared" si="10"/>
        <v>49797</v>
      </c>
      <c r="L17" s="230">
        <v>1116</v>
      </c>
      <c r="M17" s="230">
        <v>19777</v>
      </c>
      <c r="N17" s="230">
        <v>0</v>
      </c>
      <c r="O17" s="230">
        <v>14574</v>
      </c>
      <c r="P17" s="230">
        <v>1778</v>
      </c>
      <c r="Q17" s="230">
        <v>12552</v>
      </c>
      <c r="T17" s="231"/>
      <c r="V17" s="231"/>
      <c r="X17" s="232"/>
      <c r="Z17" s="233"/>
    </row>
    <row r="18" spans="1:26" ht="12.75" x14ac:dyDescent="0.2">
      <c r="A18" s="226">
        <v>9</v>
      </c>
      <c r="B18" s="235" t="s">
        <v>33</v>
      </c>
      <c r="C18" s="227" t="s">
        <v>34</v>
      </c>
      <c r="D18" s="229">
        <f t="shared" si="7"/>
        <v>55444</v>
      </c>
      <c r="E18" s="229">
        <f t="shared" si="9"/>
        <v>5182</v>
      </c>
      <c r="F18" s="229">
        <v>1037</v>
      </c>
      <c r="G18" s="229">
        <v>4145</v>
      </c>
      <c r="H18" s="220">
        <f t="shared" si="8"/>
        <v>4144</v>
      </c>
      <c r="I18" s="229">
        <v>4100</v>
      </c>
      <c r="J18" s="229">
        <v>44</v>
      </c>
      <c r="K18" s="229">
        <f t="shared" si="10"/>
        <v>46118</v>
      </c>
      <c r="L18" s="230">
        <v>1187</v>
      </c>
      <c r="M18" s="230">
        <v>10000</v>
      </c>
      <c r="N18" s="230">
        <v>0</v>
      </c>
      <c r="O18" s="230">
        <v>23372</v>
      </c>
      <c r="P18" s="230">
        <v>215</v>
      </c>
      <c r="Q18" s="230">
        <v>11344</v>
      </c>
      <c r="T18" s="231"/>
      <c r="V18" s="231"/>
      <c r="X18" s="232"/>
      <c r="Z18" s="233"/>
    </row>
    <row r="19" spans="1:26" ht="12.75" x14ac:dyDescent="0.2">
      <c r="A19" s="226">
        <v>10</v>
      </c>
      <c r="B19" s="235" t="s">
        <v>35</v>
      </c>
      <c r="C19" s="227" t="s">
        <v>36</v>
      </c>
      <c r="D19" s="229">
        <f t="shared" si="7"/>
        <v>67300</v>
      </c>
      <c r="E19" s="229">
        <f t="shared" si="9"/>
        <v>6015</v>
      </c>
      <c r="F19" s="229">
        <v>1294</v>
      </c>
      <c r="G19" s="229">
        <v>4721</v>
      </c>
      <c r="H19" s="220">
        <f t="shared" si="8"/>
        <v>5175</v>
      </c>
      <c r="I19" s="229">
        <v>5115</v>
      </c>
      <c r="J19" s="229">
        <v>60</v>
      </c>
      <c r="K19" s="229">
        <f t="shared" si="10"/>
        <v>56110</v>
      </c>
      <c r="L19" s="230">
        <v>1294</v>
      </c>
      <c r="M19" s="230">
        <v>11616</v>
      </c>
      <c r="N19" s="230">
        <v>0</v>
      </c>
      <c r="O19" s="230">
        <v>20240</v>
      </c>
      <c r="P19" s="230">
        <v>5528</v>
      </c>
      <c r="Q19" s="230">
        <v>17432</v>
      </c>
      <c r="T19" s="231"/>
      <c r="V19" s="231"/>
      <c r="X19" s="232"/>
      <c r="Z19" s="233"/>
    </row>
    <row r="20" spans="1:26" ht="12.75" x14ac:dyDescent="0.2">
      <c r="A20" s="226">
        <v>11</v>
      </c>
      <c r="B20" s="235" t="s">
        <v>37</v>
      </c>
      <c r="C20" s="227" t="s">
        <v>38</v>
      </c>
      <c r="D20" s="229">
        <f t="shared" si="7"/>
        <v>54600</v>
      </c>
      <c r="E20" s="229">
        <f t="shared" si="9"/>
        <v>5725</v>
      </c>
      <c r="F20" s="229">
        <v>997</v>
      </c>
      <c r="G20" s="229">
        <v>4728</v>
      </c>
      <c r="H20" s="220">
        <f t="shared" si="8"/>
        <v>4032</v>
      </c>
      <c r="I20" s="229">
        <v>3940</v>
      </c>
      <c r="J20" s="229">
        <v>92</v>
      </c>
      <c r="K20" s="229">
        <f t="shared" si="10"/>
        <v>44843</v>
      </c>
      <c r="L20" s="230">
        <v>997</v>
      </c>
      <c r="M20" s="230">
        <v>14143</v>
      </c>
      <c r="N20" s="230">
        <v>0</v>
      </c>
      <c r="O20" s="230">
        <v>13332</v>
      </c>
      <c r="P20" s="230">
        <v>5232</v>
      </c>
      <c r="Q20" s="230">
        <v>11139</v>
      </c>
      <c r="T20" s="231"/>
      <c r="V20" s="231"/>
      <c r="X20" s="232"/>
      <c r="Z20" s="233"/>
    </row>
    <row r="21" spans="1:26" ht="12.75" x14ac:dyDescent="0.2">
      <c r="A21" s="226">
        <v>12</v>
      </c>
      <c r="B21" s="235" t="s">
        <v>39</v>
      </c>
      <c r="C21" s="227" t="s">
        <v>40</v>
      </c>
      <c r="D21" s="229">
        <f t="shared" si="7"/>
        <v>110533</v>
      </c>
      <c r="E21" s="229">
        <f t="shared" si="9"/>
        <v>10764</v>
      </c>
      <c r="F21" s="229">
        <v>2035</v>
      </c>
      <c r="G21" s="229">
        <v>8729</v>
      </c>
      <c r="H21" s="220">
        <f t="shared" si="8"/>
        <v>8202</v>
      </c>
      <c r="I21" s="229">
        <v>8045</v>
      </c>
      <c r="J21" s="229">
        <v>157</v>
      </c>
      <c r="K21" s="229">
        <f t="shared" si="10"/>
        <v>91567</v>
      </c>
      <c r="L21" s="230">
        <v>2535</v>
      </c>
      <c r="M21" s="230">
        <v>34746</v>
      </c>
      <c r="N21" s="230">
        <v>0</v>
      </c>
      <c r="O21" s="230">
        <v>27620</v>
      </c>
      <c r="P21" s="230">
        <v>3572</v>
      </c>
      <c r="Q21" s="230">
        <v>23094</v>
      </c>
      <c r="T21" s="231"/>
      <c r="V21" s="231"/>
      <c r="X21" s="232"/>
      <c r="Z21" s="233"/>
    </row>
    <row r="22" spans="1:26" x14ac:dyDescent="0.2">
      <c r="A22" s="226">
        <v>13</v>
      </c>
      <c r="B22" s="237" t="s">
        <v>307</v>
      </c>
      <c r="C22" s="238" t="s">
        <v>450</v>
      </c>
      <c r="D22" s="229">
        <f t="shared" si="7"/>
        <v>0</v>
      </c>
      <c r="E22" s="229">
        <f t="shared" si="9"/>
        <v>0</v>
      </c>
      <c r="F22" s="229">
        <v>0</v>
      </c>
      <c r="G22" s="229">
        <v>0</v>
      </c>
      <c r="H22" s="220">
        <f t="shared" si="8"/>
        <v>0</v>
      </c>
      <c r="I22" s="229">
        <v>0</v>
      </c>
      <c r="J22" s="229">
        <v>0</v>
      </c>
      <c r="K22" s="229">
        <f t="shared" si="10"/>
        <v>0</v>
      </c>
      <c r="L22" s="230">
        <v>0</v>
      </c>
      <c r="M22" s="230">
        <v>0</v>
      </c>
      <c r="N22" s="230">
        <v>0</v>
      </c>
      <c r="O22" s="230">
        <v>0</v>
      </c>
      <c r="P22" s="230">
        <v>0</v>
      </c>
      <c r="Q22" s="230">
        <v>0</v>
      </c>
      <c r="T22" s="231"/>
      <c r="V22" s="231"/>
      <c r="X22" s="232"/>
      <c r="Z22" s="233"/>
    </row>
    <row r="23" spans="1:26" x14ac:dyDescent="0.2">
      <c r="A23" s="226">
        <v>14</v>
      </c>
      <c r="B23" s="237" t="s">
        <v>309</v>
      </c>
      <c r="C23" s="234" t="s">
        <v>451</v>
      </c>
      <c r="D23" s="229">
        <f t="shared" si="7"/>
        <v>0</v>
      </c>
      <c r="E23" s="229">
        <f t="shared" si="9"/>
        <v>0</v>
      </c>
      <c r="F23" s="229">
        <v>0</v>
      </c>
      <c r="G23" s="229">
        <v>0</v>
      </c>
      <c r="H23" s="220">
        <f t="shared" si="8"/>
        <v>0</v>
      </c>
      <c r="I23" s="229">
        <v>0</v>
      </c>
      <c r="J23" s="229">
        <v>0</v>
      </c>
      <c r="K23" s="229">
        <f t="shared" si="10"/>
        <v>0</v>
      </c>
      <c r="L23" s="230">
        <v>0</v>
      </c>
      <c r="M23" s="230">
        <v>0</v>
      </c>
      <c r="N23" s="230">
        <v>0</v>
      </c>
      <c r="O23" s="230">
        <v>0</v>
      </c>
      <c r="P23" s="230">
        <v>0</v>
      </c>
      <c r="Q23" s="230">
        <v>0</v>
      </c>
      <c r="T23" s="231"/>
      <c r="V23" s="231"/>
      <c r="X23" s="232"/>
      <c r="Z23" s="233"/>
    </row>
    <row r="24" spans="1:26" ht="12.75" x14ac:dyDescent="0.2">
      <c r="A24" s="226">
        <v>15</v>
      </c>
      <c r="B24" s="235" t="s">
        <v>41</v>
      </c>
      <c r="C24" s="227" t="s">
        <v>42</v>
      </c>
      <c r="D24" s="229">
        <f t="shared" si="7"/>
        <v>72558</v>
      </c>
      <c r="E24" s="229">
        <f t="shared" si="9"/>
        <v>7975</v>
      </c>
      <c r="F24" s="229">
        <v>1289</v>
      </c>
      <c r="G24" s="229">
        <v>6686</v>
      </c>
      <c r="H24" s="220">
        <f t="shared" si="8"/>
        <v>5215</v>
      </c>
      <c r="I24" s="229">
        <v>5095</v>
      </c>
      <c r="J24" s="229">
        <v>120</v>
      </c>
      <c r="K24" s="229">
        <f t="shared" si="10"/>
        <v>59368</v>
      </c>
      <c r="L24" s="230">
        <v>1289</v>
      </c>
      <c r="M24" s="230">
        <v>9573</v>
      </c>
      <c r="N24" s="230">
        <v>0</v>
      </c>
      <c r="O24" s="230">
        <v>14054</v>
      </c>
      <c r="P24" s="230">
        <v>9287</v>
      </c>
      <c r="Q24" s="230">
        <v>25165</v>
      </c>
      <c r="T24" s="231"/>
      <c r="V24" s="231"/>
      <c r="X24" s="232"/>
      <c r="Z24" s="233"/>
    </row>
    <row r="25" spans="1:26" ht="12.75" x14ac:dyDescent="0.2">
      <c r="A25" s="226">
        <v>16</v>
      </c>
      <c r="B25" s="235" t="s">
        <v>43</v>
      </c>
      <c r="C25" s="227" t="s">
        <v>44</v>
      </c>
      <c r="D25" s="229">
        <f t="shared" si="7"/>
        <v>103437</v>
      </c>
      <c r="E25" s="229">
        <f t="shared" si="9"/>
        <v>12444</v>
      </c>
      <c r="F25" s="229">
        <v>1751</v>
      </c>
      <c r="G25" s="229">
        <v>10693</v>
      </c>
      <c r="H25" s="220">
        <f t="shared" si="8"/>
        <v>7128</v>
      </c>
      <c r="I25" s="229">
        <v>6921</v>
      </c>
      <c r="J25" s="229">
        <v>207</v>
      </c>
      <c r="K25" s="229">
        <f t="shared" si="10"/>
        <v>83865</v>
      </c>
      <c r="L25" s="230">
        <v>1751</v>
      </c>
      <c r="M25" s="230">
        <v>35468</v>
      </c>
      <c r="N25" s="230">
        <v>0</v>
      </c>
      <c r="O25" s="230">
        <v>21412</v>
      </c>
      <c r="P25" s="230">
        <v>3555</v>
      </c>
      <c r="Q25" s="230">
        <v>21679</v>
      </c>
      <c r="T25" s="231"/>
      <c r="V25" s="231"/>
      <c r="X25" s="232"/>
      <c r="Z25" s="233"/>
    </row>
    <row r="26" spans="1:26" ht="12.75" x14ac:dyDescent="0.2">
      <c r="A26" s="226">
        <v>17</v>
      </c>
      <c r="B26" s="235" t="s">
        <v>45</v>
      </c>
      <c r="C26" s="227" t="s">
        <v>452</v>
      </c>
      <c r="D26" s="229">
        <f t="shared" si="7"/>
        <v>136795</v>
      </c>
      <c r="E26" s="229">
        <f t="shared" si="9"/>
        <v>16229</v>
      </c>
      <c r="F26" s="229">
        <v>2353</v>
      </c>
      <c r="G26" s="229">
        <v>13876</v>
      </c>
      <c r="H26" s="220">
        <f t="shared" si="8"/>
        <v>9425</v>
      </c>
      <c r="I26" s="229">
        <v>9302</v>
      </c>
      <c r="J26" s="229">
        <v>123</v>
      </c>
      <c r="K26" s="229">
        <f t="shared" si="10"/>
        <v>111141</v>
      </c>
      <c r="L26" s="230">
        <v>2353</v>
      </c>
      <c r="M26" s="230">
        <v>35000</v>
      </c>
      <c r="N26" s="230">
        <v>0</v>
      </c>
      <c r="O26" s="230">
        <v>41092</v>
      </c>
      <c r="P26" s="230">
        <v>15561</v>
      </c>
      <c r="Q26" s="230">
        <v>17135</v>
      </c>
      <c r="T26" s="231"/>
      <c r="V26" s="231"/>
      <c r="X26" s="232"/>
      <c r="Z26" s="233"/>
    </row>
    <row r="27" spans="1:26" ht="12.75" x14ac:dyDescent="0.2">
      <c r="A27" s="226">
        <v>18</v>
      </c>
      <c r="B27" s="235" t="s">
        <v>46</v>
      </c>
      <c r="C27" s="227" t="s">
        <v>47</v>
      </c>
      <c r="D27" s="229">
        <f t="shared" si="7"/>
        <v>267868</v>
      </c>
      <c r="E27" s="229">
        <f t="shared" si="9"/>
        <v>25982</v>
      </c>
      <c r="F27" s="229">
        <v>4596</v>
      </c>
      <c r="G27" s="229">
        <v>21386</v>
      </c>
      <c r="H27" s="220">
        <f t="shared" si="8"/>
        <v>18792</v>
      </c>
      <c r="I27" s="229">
        <v>18166</v>
      </c>
      <c r="J27" s="229">
        <v>626</v>
      </c>
      <c r="K27" s="229">
        <f t="shared" si="10"/>
        <v>223094</v>
      </c>
      <c r="L27" s="230">
        <v>4596</v>
      </c>
      <c r="M27" s="230">
        <v>60000</v>
      </c>
      <c r="N27" s="230">
        <v>14248</v>
      </c>
      <c r="O27" s="230">
        <v>56140</v>
      </c>
      <c r="P27" s="230">
        <v>41986</v>
      </c>
      <c r="Q27" s="230">
        <v>46124</v>
      </c>
      <c r="T27" s="231"/>
      <c r="V27" s="231"/>
      <c r="X27" s="232"/>
      <c r="Z27" s="233"/>
    </row>
    <row r="28" spans="1:26" ht="12.75" x14ac:dyDescent="0.2">
      <c r="A28" s="226">
        <v>19</v>
      </c>
      <c r="B28" s="227" t="s">
        <v>48</v>
      </c>
      <c r="C28" s="228" t="s">
        <v>49</v>
      </c>
      <c r="D28" s="229">
        <f t="shared" si="7"/>
        <v>42635</v>
      </c>
      <c r="E28" s="229">
        <f t="shared" si="9"/>
        <v>5592</v>
      </c>
      <c r="F28" s="229">
        <v>705</v>
      </c>
      <c r="G28" s="229">
        <v>4887</v>
      </c>
      <c r="H28" s="220">
        <f t="shared" si="8"/>
        <v>2816</v>
      </c>
      <c r="I28" s="229">
        <v>2785</v>
      </c>
      <c r="J28" s="229">
        <v>31</v>
      </c>
      <c r="K28" s="229">
        <f t="shared" si="10"/>
        <v>34227</v>
      </c>
      <c r="L28" s="230">
        <v>705</v>
      </c>
      <c r="M28" s="230">
        <v>12848</v>
      </c>
      <c r="N28" s="230">
        <v>0</v>
      </c>
      <c r="O28" s="230">
        <v>9628</v>
      </c>
      <c r="P28" s="230">
        <v>2151</v>
      </c>
      <c r="Q28" s="230">
        <v>8895</v>
      </c>
      <c r="T28" s="231"/>
      <c r="V28" s="231"/>
      <c r="X28" s="232"/>
      <c r="Z28" s="233"/>
    </row>
    <row r="29" spans="1:26" ht="12.75" x14ac:dyDescent="0.2">
      <c r="A29" s="226">
        <v>20</v>
      </c>
      <c r="B29" s="227" t="s">
        <v>50</v>
      </c>
      <c r="C29" s="228" t="s">
        <v>453</v>
      </c>
      <c r="D29" s="229">
        <f t="shared" si="7"/>
        <v>34046</v>
      </c>
      <c r="E29" s="229">
        <f t="shared" si="9"/>
        <v>3397</v>
      </c>
      <c r="F29" s="229">
        <v>619</v>
      </c>
      <c r="G29" s="229">
        <v>2778</v>
      </c>
      <c r="H29" s="220">
        <f t="shared" si="8"/>
        <v>2644</v>
      </c>
      <c r="I29" s="229">
        <v>2446</v>
      </c>
      <c r="J29" s="229">
        <v>198</v>
      </c>
      <c r="K29" s="229">
        <f t="shared" si="10"/>
        <v>28005</v>
      </c>
      <c r="L29" s="230">
        <v>619</v>
      </c>
      <c r="M29" s="230">
        <v>7000</v>
      </c>
      <c r="N29" s="230">
        <v>0</v>
      </c>
      <c r="O29" s="230">
        <v>7040</v>
      </c>
      <c r="P29" s="230">
        <v>3270</v>
      </c>
      <c r="Q29" s="230">
        <v>10076</v>
      </c>
      <c r="T29" s="231"/>
      <c r="V29" s="231"/>
      <c r="X29" s="232"/>
      <c r="Z29" s="233"/>
    </row>
    <row r="30" spans="1:26" ht="12.75" x14ac:dyDescent="0.2">
      <c r="A30" s="226">
        <v>21</v>
      </c>
      <c r="B30" s="227" t="s">
        <v>51</v>
      </c>
      <c r="C30" s="228" t="s">
        <v>52</v>
      </c>
      <c r="D30" s="229">
        <f t="shared" si="7"/>
        <v>176672</v>
      </c>
      <c r="E30" s="229">
        <f t="shared" si="9"/>
        <v>18807</v>
      </c>
      <c r="F30" s="229">
        <v>3167</v>
      </c>
      <c r="G30" s="229">
        <v>15640</v>
      </c>
      <c r="H30" s="220">
        <f t="shared" si="8"/>
        <v>12800</v>
      </c>
      <c r="I30" s="229">
        <v>12519</v>
      </c>
      <c r="J30" s="229">
        <v>281</v>
      </c>
      <c r="K30" s="229">
        <f t="shared" si="10"/>
        <v>145065</v>
      </c>
      <c r="L30" s="230">
        <v>3167</v>
      </c>
      <c r="M30" s="230">
        <v>31743</v>
      </c>
      <c r="N30" s="230">
        <v>0</v>
      </c>
      <c r="O30" s="230">
        <v>52360</v>
      </c>
      <c r="P30" s="230">
        <v>13716</v>
      </c>
      <c r="Q30" s="230">
        <v>44079</v>
      </c>
      <c r="T30" s="231"/>
      <c r="V30" s="231"/>
      <c r="X30" s="232"/>
      <c r="Z30" s="233"/>
    </row>
    <row r="31" spans="1:26" ht="12.75" x14ac:dyDescent="0.2">
      <c r="A31" s="226">
        <v>22</v>
      </c>
      <c r="B31" s="227" t="s">
        <v>53</v>
      </c>
      <c r="C31" s="228" t="s">
        <v>54</v>
      </c>
      <c r="D31" s="229">
        <f t="shared" si="7"/>
        <v>166470</v>
      </c>
      <c r="E31" s="229">
        <f t="shared" si="9"/>
        <v>16887</v>
      </c>
      <c r="F31" s="229">
        <v>2786</v>
      </c>
      <c r="G31" s="229">
        <v>14101</v>
      </c>
      <c r="H31" s="220">
        <f t="shared" si="8"/>
        <v>11185</v>
      </c>
      <c r="I31" s="229">
        <v>11011</v>
      </c>
      <c r="J31" s="229">
        <v>174</v>
      </c>
      <c r="K31" s="229">
        <f t="shared" si="10"/>
        <v>138398</v>
      </c>
      <c r="L31" s="230">
        <v>2786</v>
      </c>
      <c r="M31" s="230">
        <v>25000</v>
      </c>
      <c r="N31" s="230">
        <v>9310</v>
      </c>
      <c r="O31" s="230">
        <v>54396</v>
      </c>
      <c r="P31" s="230">
        <v>7438</v>
      </c>
      <c r="Q31" s="230">
        <v>39468</v>
      </c>
      <c r="T31" s="231"/>
      <c r="V31" s="231"/>
      <c r="X31" s="232"/>
      <c r="Z31" s="233"/>
    </row>
    <row r="32" spans="1:26" ht="12.75" x14ac:dyDescent="0.2">
      <c r="A32" s="226">
        <v>23</v>
      </c>
      <c r="B32" s="235" t="s">
        <v>55</v>
      </c>
      <c r="C32" s="227" t="s">
        <v>56</v>
      </c>
      <c r="D32" s="229">
        <f t="shared" si="7"/>
        <v>41366</v>
      </c>
      <c r="E32" s="229">
        <f t="shared" si="9"/>
        <v>3428</v>
      </c>
      <c r="F32" s="229">
        <v>685</v>
      </c>
      <c r="G32" s="229">
        <v>2743</v>
      </c>
      <c r="H32" s="220">
        <f t="shared" si="8"/>
        <v>2756</v>
      </c>
      <c r="I32" s="229">
        <v>2709</v>
      </c>
      <c r="J32" s="229">
        <v>47</v>
      </c>
      <c r="K32" s="229">
        <f t="shared" si="10"/>
        <v>35182</v>
      </c>
      <c r="L32" s="230">
        <v>685</v>
      </c>
      <c r="M32" s="230">
        <v>6011</v>
      </c>
      <c r="N32" s="230">
        <v>0</v>
      </c>
      <c r="O32" s="230">
        <v>15303</v>
      </c>
      <c r="P32" s="230">
        <v>3695</v>
      </c>
      <c r="Q32" s="230">
        <v>9488</v>
      </c>
      <c r="T32" s="231"/>
      <c r="V32" s="231"/>
      <c r="X32" s="232"/>
      <c r="Z32" s="233"/>
    </row>
    <row r="33" spans="1:26" x14ac:dyDescent="0.2">
      <c r="A33" s="226">
        <v>24</v>
      </c>
      <c r="B33" s="239" t="s">
        <v>57</v>
      </c>
      <c r="C33" s="238" t="s">
        <v>58</v>
      </c>
      <c r="D33" s="229">
        <f t="shared" si="7"/>
        <v>0</v>
      </c>
      <c r="E33" s="229">
        <f t="shared" si="9"/>
        <v>0</v>
      </c>
      <c r="F33" s="229">
        <v>0</v>
      </c>
      <c r="G33" s="229">
        <v>0</v>
      </c>
      <c r="H33" s="220">
        <f t="shared" si="8"/>
        <v>0</v>
      </c>
      <c r="I33" s="229">
        <v>0</v>
      </c>
      <c r="J33" s="229">
        <v>0</v>
      </c>
      <c r="K33" s="229">
        <f t="shared" si="10"/>
        <v>0</v>
      </c>
      <c r="L33" s="230">
        <v>0</v>
      </c>
      <c r="M33" s="230">
        <v>0</v>
      </c>
      <c r="N33" s="230">
        <v>0</v>
      </c>
      <c r="O33" s="230">
        <v>0</v>
      </c>
      <c r="P33" s="230">
        <v>0</v>
      </c>
      <c r="Q33" s="230">
        <v>0</v>
      </c>
      <c r="T33" s="231"/>
      <c r="V33" s="231"/>
      <c r="X33" s="232"/>
      <c r="Z33" s="233"/>
    </row>
    <row r="34" spans="1:26" ht="24" x14ac:dyDescent="0.2">
      <c r="A34" s="226">
        <v>25</v>
      </c>
      <c r="B34" s="239" t="s">
        <v>454</v>
      </c>
      <c r="C34" s="238" t="s">
        <v>455</v>
      </c>
      <c r="D34" s="229">
        <f t="shared" si="7"/>
        <v>0</v>
      </c>
      <c r="E34" s="229">
        <f t="shared" si="9"/>
        <v>0</v>
      </c>
      <c r="F34" s="229">
        <v>0</v>
      </c>
      <c r="G34" s="229">
        <v>0</v>
      </c>
      <c r="H34" s="220">
        <f t="shared" si="8"/>
        <v>0</v>
      </c>
      <c r="I34" s="229">
        <v>0</v>
      </c>
      <c r="J34" s="229">
        <v>0</v>
      </c>
      <c r="K34" s="229">
        <f t="shared" si="10"/>
        <v>0</v>
      </c>
      <c r="L34" s="230">
        <v>0</v>
      </c>
      <c r="M34" s="230">
        <v>0</v>
      </c>
      <c r="N34" s="230">
        <v>0</v>
      </c>
      <c r="O34" s="230">
        <v>0</v>
      </c>
      <c r="P34" s="230">
        <v>0</v>
      </c>
      <c r="Q34" s="230">
        <v>0</v>
      </c>
      <c r="T34" s="231"/>
      <c r="V34" s="231"/>
      <c r="X34" s="232"/>
      <c r="Z34" s="233"/>
    </row>
    <row r="35" spans="1:26" ht="12.75" x14ac:dyDescent="0.2">
      <c r="A35" s="226">
        <v>26</v>
      </c>
      <c r="B35" s="227" t="s">
        <v>6</v>
      </c>
      <c r="C35" s="236" t="s">
        <v>59</v>
      </c>
      <c r="D35" s="229">
        <f t="shared" si="7"/>
        <v>239467</v>
      </c>
      <c r="E35" s="229">
        <f t="shared" si="9"/>
        <v>7306</v>
      </c>
      <c r="F35" s="229">
        <v>7306</v>
      </c>
      <c r="G35" s="229">
        <v>0</v>
      </c>
      <c r="H35" s="220">
        <f t="shared" si="8"/>
        <v>28879</v>
      </c>
      <c r="I35" s="229">
        <v>28879</v>
      </c>
      <c r="J35" s="229">
        <v>0</v>
      </c>
      <c r="K35" s="229">
        <f t="shared" si="10"/>
        <v>203282</v>
      </c>
      <c r="L35" s="230">
        <v>7306</v>
      </c>
      <c r="M35" s="230">
        <v>75937</v>
      </c>
      <c r="N35" s="230">
        <v>21896</v>
      </c>
      <c r="O35" s="230">
        <v>61128</v>
      </c>
      <c r="P35" s="230">
        <v>8093</v>
      </c>
      <c r="Q35" s="230">
        <v>28922</v>
      </c>
      <c r="T35" s="231"/>
      <c r="V35" s="231"/>
      <c r="X35" s="232"/>
      <c r="Z35" s="233"/>
    </row>
    <row r="36" spans="1:26" ht="12.75" x14ac:dyDescent="0.2">
      <c r="A36" s="226">
        <v>27</v>
      </c>
      <c r="B36" s="235" t="s">
        <v>5</v>
      </c>
      <c r="C36" s="227" t="s">
        <v>17</v>
      </c>
      <c r="D36" s="229">
        <f t="shared" si="7"/>
        <v>356012</v>
      </c>
      <c r="E36" s="229">
        <f t="shared" si="9"/>
        <v>32128</v>
      </c>
      <c r="F36" s="229">
        <v>7289</v>
      </c>
      <c r="G36" s="229">
        <v>24839</v>
      </c>
      <c r="H36" s="220">
        <f t="shared" si="8"/>
        <v>28885</v>
      </c>
      <c r="I36" s="229">
        <v>28812</v>
      </c>
      <c r="J36" s="229">
        <v>73</v>
      </c>
      <c r="K36" s="229">
        <f t="shared" si="10"/>
        <v>294999</v>
      </c>
      <c r="L36" s="230">
        <v>7290</v>
      </c>
      <c r="M36" s="230">
        <v>83139</v>
      </c>
      <c r="N36" s="230">
        <v>0</v>
      </c>
      <c r="O36" s="230">
        <v>94612</v>
      </c>
      <c r="P36" s="230">
        <v>56198</v>
      </c>
      <c r="Q36" s="230">
        <v>53760</v>
      </c>
      <c r="T36" s="231"/>
      <c r="V36" s="231"/>
      <c r="X36" s="232"/>
      <c r="Z36" s="233"/>
    </row>
    <row r="37" spans="1:26" ht="12.75" x14ac:dyDescent="0.2">
      <c r="A37" s="226">
        <v>28</v>
      </c>
      <c r="B37" s="235" t="s">
        <v>60</v>
      </c>
      <c r="C37" s="227" t="s">
        <v>61</v>
      </c>
      <c r="D37" s="229">
        <f t="shared" si="7"/>
        <v>220862</v>
      </c>
      <c r="E37" s="229">
        <f t="shared" si="9"/>
        <v>45076</v>
      </c>
      <c r="F37" s="229">
        <v>0</v>
      </c>
      <c r="G37" s="229">
        <v>45076</v>
      </c>
      <c r="H37" s="220">
        <f t="shared" si="8"/>
        <v>280</v>
      </c>
      <c r="I37" s="229">
        <v>0</v>
      </c>
      <c r="J37" s="229">
        <v>280</v>
      </c>
      <c r="K37" s="229">
        <f t="shared" si="10"/>
        <v>175506</v>
      </c>
      <c r="L37" s="230">
        <v>0</v>
      </c>
      <c r="M37" s="230">
        <v>11225</v>
      </c>
      <c r="N37" s="230">
        <v>6231</v>
      </c>
      <c r="O37" s="230">
        <v>60332</v>
      </c>
      <c r="P37" s="230">
        <v>10410</v>
      </c>
      <c r="Q37" s="230">
        <v>87308</v>
      </c>
      <c r="T37" s="231"/>
      <c r="V37" s="231"/>
      <c r="X37" s="232"/>
      <c r="Z37" s="233"/>
    </row>
    <row r="38" spans="1:26" ht="12.75" x14ac:dyDescent="0.2">
      <c r="A38" s="226">
        <v>29</v>
      </c>
      <c r="B38" s="227" t="s">
        <v>315</v>
      </c>
      <c r="C38" s="228" t="s">
        <v>316</v>
      </c>
      <c r="D38" s="229">
        <f t="shared" si="7"/>
        <v>10266</v>
      </c>
      <c r="E38" s="229">
        <f t="shared" si="9"/>
        <v>0</v>
      </c>
      <c r="F38" s="229">
        <v>0</v>
      </c>
      <c r="G38" s="229">
        <v>0</v>
      </c>
      <c r="H38" s="220">
        <f t="shared" si="8"/>
        <v>0</v>
      </c>
      <c r="I38" s="229">
        <v>0</v>
      </c>
      <c r="J38" s="229">
        <v>0</v>
      </c>
      <c r="K38" s="229">
        <f t="shared" si="10"/>
        <v>10266</v>
      </c>
      <c r="L38" s="230">
        <v>0</v>
      </c>
      <c r="M38" s="230">
        <v>700</v>
      </c>
      <c r="N38" s="230">
        <v>0</v>
      </c>
      <c r="O38" s="230">
        <v>7586</v>
      </c>
      <c r="P38" s="230">
        <v>0</v>
      </c>
      <c r="Q38" s="230">
        <v>1980</v>
      </c>
      <c r="T38" s="231"/>
      <c r="V38" s="231"/>
      <c r="X38" s="232"/>
      <c r="Z38" s="233"/>
    </row>
    <row r="39" spans="1:26" ht="12.75" x14ac:dyDescent="0.2">
      <c r="A39" s="226">
        <v>30</v>
      </c>
      <c r="B39" s="227" t="s">
        <v>317</v>
      </c>
      <c r="C39" s="236" t="s">
        <v>318</v>
      </c>
      <c r="D39" s="229">
        <f t="shared" si="7"/>
        <v>13320</v>
      </c>
      <c r="E39" s="229">
        <f t="shared" si="9"/>
        <v>0</v>
      </c>
      <c r="F39" s="229">
        <v>0</v>
      </c>
      <c r="G39" s="229">
        <v>0</v>
      </c>
      <c r="H39" s="220">
        <f t="shared" si="8"/>
        <v>0</v>
      </c>
      <c r="I39" s="229">
        <v>0</v>
      </c>
      <c r="J39" s="229">
        <v>0</v>
      </c>
      <c r="K39" s="229">
        <f t="shared" si="10"/>
        <v>13320</v>
      </c>
      <c r="L39" s="230">
        <v>0</v>
      </c>
      <c r="M39" s="230">
        <v>0</v>
      </c>
      <c r="N39" s="230">
        <v>0</v>
      </c>
      <c r="O39" s="230">
        <v>9694</v>
      </c>
      <c r="P39" s="230">
        <v>3603</v>
      </c>
      <c r="Q39" s="230">
        <v>23</v>
      </c>
      <c r="T39" s="231"/>
      <c r="V39" s="231"/>
      <c r="X39" s="232"/>
      <c r="Z39" s="233"/>
    </row>
    <row r="40" spans="1:26" ht="24" x14ac:dyDescent="0.2">
      <c r="A40" s="226">
        <v>31</v>
      </c>
      <c r="B40" s="240" t="s">
        <v>456</v>
      </c>
      <c r="C40" s="241" t="s">
        <v>457</v>
      </c>
      <c r="D40" s="229">
        <f t="shared" si="7"/>
        <v>0</v>
      </c>
      <c r="E40" s="229">
        <f t="shared" si="9"/>
        <v>0</v>
      </c>
      <c r="F40" s="229">
        <v>0</v>
      </c>
      <c r="G40" s="229">
        <v>0</v>
      </c>
      <c r="H40" s="220">
        <f t="shared" si="8"/>
        <v>0</v>
      </c>
      <c r="I40" s="229">
        <v>0</v>
      </c>
      <c r="J40" s="229">
        <v>0</v>
      </c>
      <c r="K40" s="229">
        <f t="shared" si="10"/>
        <v>0</v>
      </c>
      <c r="L40" s="230">
        <v>0</v>
      </c>
      <c r="M40" s="230">
        <v>0</v>
      </c>
      <c r="N40" s="230">
        <v>0</v>
      </c>
      <c r="O40" s="230">
        <v>0</v>
      </c>
      <c r="P40" s="230">
        <v>0</v>
      </c>
      <c r="Q40" s="230">
        <v>0</v>
      </c>
      <c r="T40" s="231"/>
      <c r="V40" s="231"/>
      <c r="X40" s="232"/>
      <c r="Z40" s="233"/>
    </row>
    <row r="41" spans="1:26" ht="25.5" x14ac:dyDescent="0.2">
      <c r="A41" s="226">
        <v>32</v>
      </c>
      <c r="B41" s="235" t="s">
        <v>62</v>
      </c>
      <c r="C41" s="227" t="s">
        <v>63</v>
      </c>
      <c r="D41" s="229">
        <f t="shared" si="7"/>
        <v>14885</v>
      </c>
      <c r="E41" s="229">
        <f t="shared" si="9"/>
        <v>498</v>
      </c>
      <c r="F41" s="229">
        <v>498</v>
      </c>
      <c r="G41" s="229">
        <v>0</v>
      </c>
      <c r="H41" s="220">
        <f t="shared" si="8"/>
        <v>1969</v>
      </c>
      <c r="I41" s="229">
        <v>1969</v>
      </c>
      <c r="J41" s="229">
        <v>0</v>
      </c>
      <c r="K41" s="229">
        <f t="shared" si="10"/>
        <v>12418</v>
      </c>
      <c r="L41" s="230">
        <v>498</v>
      </c>
      <c r="M41" s="230">
        <v>2100</v>
      </c>
      <c r="N41" s="230">
        <v>0</v>
      </c>
      <c r="O41" s="230">
        <v>6055</v>
      </c>
      <c r="P41" s="230">
        <v>127</v>
      </c>
      <c r="Q41" s="230">
        <v>3638</v>
      </c>
      <c r="T41" s="231"/>
      <c r="V41" s="231"/>
      <c r="X41" s="232"/>
      <c r="Z41" s="233"/>
    </row>
    <row r="42" spans="1:26" ht="12.75" x14ac:dyDescent="0.2">
      <c r="A42" s="226">
        <v>33</v>
      </c>
      <c r="B42" s="227" t="s">
        <v>64</v>
      </c>
      <c r="C42" s="228" t="s">
        <v>65</v>
      </c>
      <c r="D42" s="229">
        <f t="shared" si="7"/>
        <v>225327</v>
      </c>
      <c r="E42" s="229">
        <f t="shared" si="9"/>
        <v>20843</v>
      </c>
      <c r="F42" s="229">
        <v>4098</v>
      </c>
      <c r="G42" s="229">
        <v>16745</v>
      </c>
      <c r="H42" s="220">
        <f t="shared" si="8"/>
        <v>16494</v>
      </c>
      <c r="I42" s="229">
        <v>16199</v>
      </c>
      <c r="J42" s="229">
        <v>295</v>
      </c>
      <c r="K42" s="229">
        <f t="shared" si="10"/>
        <v>187990</v>
      </c>
      <c r="L42" s="230">
        <v>4098</v>
      </c>
      <c r="M42" s="230">
        <v>60463</v>
      </c>
      <c r="N42" s="230">
        <v>8618</v>
      </c>
      <c r="O42" s="230">
        <v>64225</v>
      </c>
      <c r="P42" s="230">
        <v>4156</v>
      </c>
      <c r="Q42" s="230">
        <v>46430</v>
      </c>
      <c r="T42" s="231"/>
      <c r="V42" s="231"/>
      <c r="X42" s="232"/>
      <c r="Z42" s="233"/>
    </row>
    <row r="43" spans="1:26" ht="12.75" x14ac:dyDescent="0.2">
      <c r="A43" s="226">
        <v>34</v>
      </c>
      <c r="B43" s="236" t="s">
        <v>66</v>
      </c>
      <c r="C43" s="236" t="s">
        <v>67</v>
      </c>
      <c r="D43" s="229">
        <f t="shared" si="7"/>
        <v>324426</v>
      </c>
      <c r="E43" s="229">
        <f t="shared" si="9"/>
        <v>33017</v>
      </c>
      <c r="F43" s="229">
        <v>5580</v>
      </c>
      <c r="G43" s="229">
        <v>27437</v>
      </c>
      <c r="H43" s="220">
        <f t="shared" si="8"/>
        <v>22347</v>
      </c>
      <c r="I43" s="229">
        <v>22056</v>
      </c>
      <c r="J43" s="229">
        <v>291</v>
      </c>
      <c r="K43" s="229">
        <f t="shared" si="10"/>
        <v>269062</v>
      </c>
      <c r="L43" s="230">
        <v>5580</v>
      </c>
      <c r="M43" s="230">
        <v>58500</v>
      </c>
      <c r="N43" s="230">
        <v>13437</v>
      </c>
      <c r="O43" s="230">
        <v>101391</v>
      </c>
      <c r="P43" s="230">
        <v>32075</v>
      </c>
      <c r="Q43" s="230">
        <v>58079</v>
      </c>
      <c r="T43" s="231"/>
      <c r="V43" s="231"/>
      <c r="X43" s="232"/>
      <c r="Z43" s="233"/>
    </row>
    <row r="44" spans="1:26" ht="12.75" x14ac:dyDescent="0.2">
      <c r="A44" s="226">
        <v>35</v>
      </c>
      <c r="B44" s="227" t="s">
        <v>320</v>
      </c>
      <c r="C44" s="228" t="s">
        <v>321</v>
      </c>
      <c r="D44" s="229">
        <f t="shared" si="7"/>
        <v>11900</v>
      </c>
      <c r="E44" s="229">
        <f t="shared" si="9"/>
        <v>0</v>
      </c>
      <c r="F44" s="229">
        <v>0</v>
      </c>
      <c r="G44" s="229">
        <v>0</v>
      </c>
      <c r="H44" s="220">
        <f t="shared" si="8"/>
        <v>0</v>
      </c>
      <c r="I44" s="229">
        <v>0</v>
      </c>
      <c r="J44" s="229">
        <v>0</v>
      </c>
      <c r="K44" s="229">
        <f t="shared" si="10"/>
        <v>11900</v>
      </c>
      <c r="L44" s="230">
        <v>0</v>
      </c>
      <c r="M44" s="230">
        <v>200</v>
      </c>
      <c r="N44" s="230">
        <v>0</v>
      </c>
      <c r="O44" s="230">
        <v>1507</v>
      </c>
      <c r="P44" s="230">
        <v>0</v>
      </c>
      <c r="Q44" s="230">
        <v>10193</v>
      </c>
      <c r="T44" s="231"/>
      <c r="V44" s="231"/>
      <c r="X44" s="232"/>
      <c r="Z44" s="233"/>
    </row>
    <row r="45" spans="1:26" ht="12.75" x14ac:dyDescent="0.2">
      <c r="A45" s="226">
        <v>36</v>
      </c>
      <c r="B45" s="227" t="s">
        <v>68</v>
      </c>
      <c r="C45" s="228" t="s">
        <v>69</v>
      </c>
      <c r="D45" s="229">
        <f t="shared" si="7"/>
        <v>62352</v>
      </c>
      <c r="E45" s="229">
        <f t="shared" si="9"/>
        <v>6796</v>
      </c>
      <c r="F45" s="229">
        <v>1115</v>
      </c>
      <c r="G45" s="229">
        <v>5681</v>
      </c>
      <c r="H45" s="220">
        <f t="shared" si="8"/>
        <v>4430</v>
      </c>
      <c r="I45" s="229">
        <v>4405</v>
      </c>
      <c r="J45" s="229">
        <v>25</v>
      </c>
      <c r="K45" s="229">
        <f t="shared" si="10"/>
        <v>51126</v>
      </c>
      <c r="L45" s="230">
        <v>1114</v>
      </c>
      <c r="M45" s="230">
        <v>16526</v>
      </c>
      <c r="N45" s="230">
        <v>0</v>
      </c>
      <c r="O45" s="230">
        <v>13640</v>
      </c>
      <c r="P45" s="230">
        <v>8270</v>
      </c>
      <c r="Q45" s="230">
        <v>11576</v>
      </c>
      <c r="T45" s="231"/>
      <c r="V45" s="231"/>
      <c r="X45" s="232"/>
      <c r="Z45" s="233"/>
    </row>
    <row r="46" spans="1:26" ht="12.75" x14ac:dyDescent="0.2">
      <c r="A46" s="226">
        <v>37</v>
      </c>
      <c r="B46" s="235" t="s">
        <v>70</v>
      </c>
      <c r="C46" s="227" t="s">
        <v>71</v>
      </c>
      <c r="D46" s="229">
        <f t="shared" si="7"/>
        <v>212429</v>
      </c>
      <c r="E46" s="229">
        <f t="shared" si="9"/>
        <v>21050</v>
      </c>
      <c r="F46" s="229">
        <v>3831</v>
      </c>
      <c r="G46" s="229">
        <v>17219</v>
      </c>
      <c r="H46" s="220">
        <f t="shared" si="8"/>
        <v>15487</v>
      </c>
      <c r="I46" s="229">
        <v>15143</v>
      </c>
      <c r="J46" s="229">
        <v>344</v>
      </c>
      <c r="K46" s="229">
        <f t="shared" si="10"/>
        <v>175892</v>
      </c>
      <c r="L46" s="230">
        <v>3831</v>
      </c>
      <c r="M46" s="230">
        <v>55000</v>
      </c>
      <c r="N46" s="230">
        <v>4417</v>
      </c>
      <c r="O46" s="230">
        <v>45238</v>
      </c>
      <c r="P46" s="230">
        <v>33247</v>
      </c>
      <c r="Q46" s="230">
        <v>34159</v>
      </c>
      <c r="T46" s="231"/>
      <c r="V46" s="231"/>
      <c r="X46" s="232"/>
      <c r="Z46" s="233"/>
    </row>
    <row r="47" spans="1:26" ht="12.75" x14ac:dyDescent="0.2">
      <c r="A47" s="226">
        <v>38</v>
      </c>
      <c r="B47" s="227" t="s">
        <v>72</v>
      </c>
      <c r="C47" s="228" t="s">
        <v>73</v>
      </c>
      <c r="D47" s="229">
        <f t="shared" si="7"/>
        <v>78984</v>
      </c>
      <c r="E47" s="229">
        <f t="shared" si="9"/>
        <v>8480</v>
      </c>
      <c r="F47" s="229">
        <v>1432</v>
      </c>
      <c r="G47" s="229">
        <v>7048</v>
      </c>
      <c r="H47" s="220">
        <f t="shared" si="8"/>
        <v>5746</v>
      </c>
      <c r="I47" s="229">
        <v>5661</v>
      </c>
      <c r="J47" s="229">
        <v>85</v>
      </c>
      <c r="K47" s="229">
        <f t="shared" si="10"/>
        <v>64758</v>
      </c>
      <c r="L47" s="230">
        <v>1432</v>
      </c>
      <c r="M47" s="230">
        <v>22926</v>
      </c>
      <c r="N47" s="230">
        <v>0</v>
      </c>
      <c r="O47" s="230">
        <v>20882</v>
      </c>
      <c r="P47" s="230">
        <v>2294</v>
      </c>
      <c r="Q47" s="230">
        <v>17224</v>
      </c>
      <c r="T47" s="231"/>
      <c r="V47" s="231"/>
      <c r="X47" s="232"/>
      <c r="Z47" s="233"/>
    </row>
    <row r="48" spans="1:26" ht="12.75" x14ac:dyDescent="0.2">
      <c r="A48" s="226">
        <v>39</v>
      </c>
      <c r="B48" s="227" t="s">
        <v>74</v>
      </c>
      <c r="C48" s="228" t="s">
        <v>458</v>
      </c>
      <c r="D48" s="229">
        <f t="shared" si="7"/>
        <v>203987</v>
      </c>
      <c r="E48" s="229">
        <f t="shared" si="9"/>
        <v>21041</v>
      </c>
      <c r="F48" s="229">
        <v>3696</v>
      </c>
      <c r="G48" s="229">
        <v>17345</v>
      </c>
      <c r="H48" s="220">
        <f t="shared" si="8"/>
        <v>14958</v>
      </c>
      <c r="I48" s="229">
        <v>14609</v>
      </c>
      <c r="J48" s="229">
        <v>349</v>
      </c>
      <c r="K48" s="229">
        <f t="shared" si="10"/>
        <v>167988</v>
      </c>
      <c r="L48" s="230">
        <v>3696</v>
      </c>
      <c r="M48" s="230">
        <v>50000</v>
      </c>
      <c r="N48" s="230">
        <v>0</v>
      </c>
      <c r="O48" s="230">
        <v>72250</v>
      </c>
      <c r="P48" s="230">
        <v>5933</v>
      </c>
      <c r="Q48" s="230">
        <v>36109</v>
      </c>
      <c r="T48" s="231"/>
      <c r="V48" s="231"/>
      <c r="X48" s="232"/>
      <c r="Z48" s="233"/>
    </row>
    <row r="49" spans="1:26" ht="12.75" x14ac:dyDescent="0.2">
      <c r="A49" s="226">
        <v>40</v>
      </c>
      <c r="B49" s="242" t="s">
        <v>75</v>
      </c>
      <c r="C49" s="243" t="s">
        <v>459</v>
      </c>
      <c r="D49" s="229">
        <f t="shared" si="7"/>
        <v>72717</v>
      </c>
      <c r="E49" s="229">
        <f t="shared" si="9"/>
        <v>7588</v>
      </c>
      <c r="F49" s="229">
        <v>1326</v>
      </c>
      <c r="G49" s="229">
        <v>6262</v>
      </c>
      <c r="H49" s="220">
        <f t="shared" si="8"/>
        <v>5294</v>
      </c>
      <c r="I49" s="229">
        <v>5241</v>
      </c>
      <c r="J49" s="229">
        <v>53</v>
      </c>
      <c r="K49" s="229">
        <f t="shared" si="10"/>
        <v>59835</v>
      </c>
      <c r="L49" s="230">
        <v>1326</v>
      </c>
      <c r="M49" s="230">
        <v>17741</v>
      </c>
      <c r="N49" s="230">
        <v>0</v>
      </c>
      <c r="O49" s="230">
        <v>19387</v>
      </c>
      <c r="P49" s="230">
        <v>9401</v>
      </c>
      <c r="Q49" s="230">
        <v>11980</v>
      </c>
      <c r="T49" s="231"/>
      <c r="V49" s="231"/>
      <c r="X49" s="232"/>
      <c r="Z49" s="233"/>
    </row>
    <row r="50" spans="1:26" ht="12.75" x14ac:dyDescent="0.2">
      <c r="A50" s="226">
        <v>41</v>
      </c>
      <c r="B50" s="227" t="s">
        <v>76</v>
      </c>
      <c r="C50" s="228" t="s">
        <v>460</v>
      </c>
      <c r="D50" s="229">
        <f t="shared" si="7"/>
        <v>45762</v>
      </c>
      <c r="E50" s="229">
        <f t="shared" si="9"/>
        <v>4028</v>
      </c>
      <c r="F50" s="229">
        <v>885</v>
      </c>
      <c r="G50" s="229">
        <v>3143</v>
      </c>
      <c r="H50" s="220">
        <f t="shared" si="8"/>
        <v>3639</v>
      </c>
      <c r="I50" s="229">
        <v>3499</v>
      </c>
      <c r="J50" s="229">
        <v>140</v>
      </c>
      <c r="K50" s="229">
        <f t="shared" si="10"/>
        <v>38095</v>
      </c>
      <c r="L50" s="230">
        <v>885</v>
      </c>
      <c r="M50" s="230">
        <v>13606</v>
      </c>
      <c r="N50" s="230">
        <v>0</v>
      </c>
      <c r="O50" s="230">
        <v>12236</v>
      </c>
      <c r="P50" s="230">
        <v>4904</v>
      </c>
      <c r="Q50" s="230">
        <v>6464</v>
      </c>
      <c r="T50" s="231"/>
      <c r="V50" s="231"/>
      <c r="X50" s="232"/>
      <c r="Z50" s="233"/>
    </row>
    <row r="51" spans="1:26" ht="12.75" x14ac:dyDescent="0.2">
      <c r="A51" s="226">
        <v>42</v>
      </c>
      <c r="B51" s="236" t="s">
        <v>77</v>
      </c>
      <c r="C51" s="236" t="s">
        <v>78</v>
      </c>
      <c r="D51" s="229">
        <f t="shared" si="7"/>
        <v>79255</v>
      </c>
      <c r="E51" s="229">
        <f t="shared" si="9"/>
        <v>7232</v>
      </c>
      <c r="F51" s="229">
        <v>1528</v>
      </c>
      <c r="G51" s="229">
        <v>5704</v>
      </c>
      <c r="H51" s="220">
        <f t="shared" si="8"/>
        <v>6145</v>
      </c>
      <c r="I51" s="229">
        <v>6039</v>
      </c>
      <c r="J51" s="229">
        <v>106</v>
      </c>
      <c r="K51" s="229">
        <f t="shared" si="10"/>
        <v>65878</v>
      </c>
      <c r="L51" s="230">
        <v>1528</v>
      </c>
      <c r="M51" s="230">
        <v>25000</v>
      </c>
      <c r="N51" s="230">
        <v>0</v>
      </c>
      <c r="O51" s="230">
        <v>18112</v>
      </c>
      <c r="P51" s="230">
        <v>1703</v>
      </c>
      <c r="Q51" s="230">
        <v>19535</v>
      </c>
      <c r="T51" s="231"/>
      <c r="V51" s="231"/>
      <c r="X51" s="232"/>
      <c r="Z51" s="233"/>
    </row>
    <row r="52" spans="1:26" ht="12.75" x14ac:dyDescent="0.2">
      <c r="A52" s="226">
        <v>43</v>
      </c>
      <c r="B52" s="235" t="s">
        <v>322</v>
      </c>
      <c r="C52" s="227" t="s">
        <v>323</v>
      </c>
      <c r="D52" s="229">
        <f t="shared" si="7"/>
        <v>36999</v>
      </c>
      <c r="E52" s="229">
        <f t="shared" si="9"/>
        <v>3025</v>
      </c>
      <c r="F52" s="229">
        <v>730</v>
      </c>
      <c r="G52" s="229">
        <v>2295</v>
      </c>
      <c r="H52" s="220">
        <f t="shared" si="8"/>
        <v>2951</v>
      </c>
      <c r="I52" s="229">
        <v>2885</v>
      </c>
      <c r="J52" s="229">
        <v>66</v>
      </c>
      <c r="K52" s="229">
        <f t="shared" si="10"/>
        <v>31023</v>
      </c>
      <c r="L52" s="230">
        <v>730</v>
      </c>
      <c r="M52" s="230">
        <v>10491</v>
      </c>
      <c r="N52" s="230">
        <v>0</v>
      </c>
      <c r="O52" s="230">
        <v>10463</v>
      </c>
      <c r="P52" s="230">
        <v>3858</v>
      </c>
      <c r="Q52" s="230">
        <v>5481</v>
      </c>
      <c r="T52" s="231"/>
      <c r="V52" s="231"/>
      <c r="X52" s="232"/>
      <c r="Z52" s="233"/>
    </row>
    <row r="53" spans="1:26" ht="12.75" x14ac:dyDescent="0.2">
      <c r="A53" s="226">
        <v>44</v>
      </c>
      <c r="B53" s="227" t="s">
        <v>79</v>
      </c>
      <c r="C53" s="228" t="s">
        <v>80</v>
      </c>
      <c r="D53" s="229">
        <f t="shared" si="7"/>
        <v>29820</v>
      </c>
      <c r="E53" s="229">
        <f t="shared" si="9"/>
        <v>1011</v>
      </c>
      <c r="F53" s="229">
        <v>1011</v>
      </c>
      <c r="G53" s="229">
        <v>0</v>
      </c>
      <c r="H53" s="220">
        <f t="shared" si="8"/>
        <v>3995</v>
      </c>
      <c r="I53" s="229">
        <v>3995</v>
      </c>
      <c r="J53" s="229">
        <v>0</v>
      </c>
      <c r="K53" s="229">
        <f t="shared" si="10"/>
        <v>24814</v>
      </c>
      <c r="L53" s="230">
        <v>1011</v>
      </c>
      <c r="M53" s="230">
        <v>10000</v>
      </c>
      <c r="N53" s="230">
        <v>0</v>
      </c>
      <c r="O53" s="230">
        <v>11079</v>
      </c>
      <c r="P53" s="230">
        <v>0</v>
      </c>
      <c r="Q53" s="230">
        <v>2724</v>
      </c>
      <c r="T53" s="231"/>
      <c r="V53" s="231"/>
      <c r="X53" s="232"/>
      <c r="Z53" s="233"/>
    </row>
    <row r="54" spans="1:26" ht="12.75" x14ac:dyDescent="0.2">
      <c r="A54" s="226">
        <v>45</v>
      </c>
      <c r="B54" s="235" t="s">
        <v>81</v>
      </c>
      <c r="C54" s="227" t="s">
        <v>82</v>
      </c>
      <c r="D54" s="229">
        <f t="shared" si="7"/>
        <v>293115</v>
      </c>
      <c r="E54" s="229">
        <f t="shared" si="9"/>
        <v>28950</v>
      </c>
      <c r="F54" s="229">
        <v>4847</v>
      </c>
      <c r="G54" s="229">
        <v>24103</v>
      </c>
      <c r="H54" s="220">
        <f t="shared" si="8"/>
        <v>19527</v>
      </c>
      <c r="I54" s="229">
        <v>19158</v>
      </c>
      <c r="J54" s="229">
        <v>369</v>
      </c>
      <c r="K54" s="229">
        <f t="shared" si="10"/>
        <v>244638</v>
      </c>
      <c r="L54" s="230">
        <v>4847</v>
      </c>
      <c r="M54" s="230">
        <v>87008</v>
      </c>
      <c r="N54" s="230">
        <v>22301</v>
      </c>
      <c r="O54" s="230">
        <v>59854</v>
      </c>
      <c r="P54" s="230">
        <v>7157</v>
      </c>
      <c r="Q54" s="230">
        <v>63471</v>
      </c>
      <c r="T54" s="231"/>
      <c r="V54" s="231"/>
      <c r="X54" s="232"/>
      <c r="Z54" s="233"/>
    </row>
    <row r="55" spans="1:26" ht="12.75" x14ac:dyDescent="0.2">
      <c r="A55" s="226">
        <v>46</v>
      </c>
      <c r="B55" s="227" t="s">
        <v>83</v>
      </c>
      <c r="C55" s="228" t="s">
        <v>461</v>
      </c>
      <c r="D55" s="229">
        <f t="shared" si="7"/>
        <v>66563</v>
      </c>
      <c r="E55" s="229">
        <f t="shared" si="9"/>
        <v>6343</v>
      </c>
      <c r="F55" s="229">
        <v>1253</v>
      </c>
      <c r="G55" s="229">
        <v>5090</v>
      </c>
      <c r="H55" s="220">
        <f t="shared" si="8"/>
        <v>5069</v>
      </c>
      <c r="I55" s="229">
        <v>4954</v>
      </c>
      <c r="J55" s="229">
        <v>115</v>
      </c>
      <c r="K55" s="229">
        <f t="shared" si="10"/>
        <v>55151</v>
      </c>
      <c r="L55" s="230">
        <v>1253</v>
      </c>
      <c r="M55" s="230">
        <v>22421</v>
      </c>
      <c r="N55" s="230">
        <v>0</v>
      </c>
      <c r="O55" s="230">
        <v>21505</v>
      </c>
      <c r="P55" s="230">
        <v>3959</v>
      </c>
      <c r="Q55" s="230">
        <v>6013</v>
      </c>
      <c r="T55" s="231"/>
      <c r="V55" s="231"/>
      <c r="X55" s="232"/>
      <c r="Z55" s="233"/>
    </row>
    <row r="56" spans="1:26" ht="12.75" x14ac:dyDescent="0.2">
      <c r="A56" s="226">
        <v>47</v>
      </c>
      <c r="B56" s="227" t="s">
        <v>84</v>
      </c>
      <c r="C56" s="228" t="s">
        <v>85</v>
      </c>
      <c r="D56" s="229">
        <f t="shared" si="7"/>
        <v>227661</v>
      </c>
      <c r="E56" s="229">
        <f t="shared" si="9"/>
        <v>22128</v>
      </c>
      <c r="F56" s="229">
        <v>4239</v>
      </c>
      <c r="G56" s="229">
        <v>17889</v>
      </c>
      <c r="H56" s="220">
        <f t="shared" si="8"/>
        <v>16915</v>
      </c>
      <c r="I56" s="229">
        <v>16756</v>
      </c>
      <c r="J56" s="229">
        <v>159</v>
      </c>
      <c r="K56" s="229">
        <f t="shared" si="10"/>
        <v>188618</v>
      </c>
      <c r="L56" s="230">
        <v>4239</v>
      </c>
      <c r="M56" s="230">
        <v>58356</v>
      </c>
      <c r="N56" s="230">
        <v>0</v>
      </c>
      <c r="O56" s="230">
        <v>63425</v>
      </c>
      <c r="P56" s="230">
        <v>5812</v>
      </c>
      <c r="Q56" s="230">
        <v>56786</v>
      </c>
      <c r="T56" s="231"/>
      <c r="V56" s="231"/>
      <c r="X56" s="232"/>
      <c r="Z56" s="233"/>
    </row>
    <row r="57" spans="1:26" ht="12.75" x14ac:dyDescent="0.2">
      <c r="A57" s="226">
        <v>48</v>
      </c>
      <c r="B57" s="244" t="s">
        <v>86</v>
      </c>
      <c r="C57" s="245" t="s">
        <v>87</v>
      </c>
      <c r="D57" s="229">
        <f t="shared" si="7"/>
        <v>50542</v>
      </c>
      <c r="E57" s="229">
        <f t="shared" si="9"/>
        <v>4719</v>
      </c>
      <c r="F57" s="229">
        <v>956</v>
      </c>
      <c r="G57" s="229">
        <v>3763</v>
      </c>
      <c r="H57" s="220">
        <f t="shared" si="8"/>
        <v>3943</v>
      </c>
      <c r="I57" s="229">
        <v>3777</v>
      </c>
      <c r="J57" s="229">
        <v>166</v>
      </c>
      <c r="K57" s="229">
        <f t="shared" si="10"/>
        <v>41880</v>
      </c>
      <c r="L57" s="230">
        <v>956</v>
      </c>
      <c r="M57" s="230">
        <v>15315</v>
      </c>
      <c r="N57" s="230">
        <v>0</v>
      </c>
      <c r="O57" s="230">
        <v>14981</v>
      </c>
      <c r="P57" s="230">
        <v>2255</v>
      </c>
      <c r="Q57" s="230">
        <v>8373</v>
      </c>
      <c r="T57" s="231"/>
      <c r="V57" s="231"/>
      <c r="X57" s="232"/>
      <c r="Z57" s="233"/>
    </row>
    <row r="58" spans="1:26" ht="12.75" x14ac:dyDescent="0.2">
      <c r="A58" s="226">
        <v>49</v>
      </c>
      <c r="B58" s="235" t="s">
        <v>88</v>
      </c>
      <c r="C58" s="227" t="s">
        <v>462</v>
      </c>
      <c r="D58" s="229">
        <f t="shared" si="7"/>
        <v>77683</v>
      </c>
      <c r="E58" s="229">
        <f t="shared" si="9"/>
        <v>7468</v>
      </c>
      <c r="F58" s="229">
        <v>1471</v>
      </c>
      <c r="G58" s="229">
        <v>5997</v>
      </c>
      <c r="H58" s="220">
        <f t="shared" si="8"/>
        <v>5943</v>
      </c>
      <c r="I58" s="229">
        <v>5813</v>
      </c>
      <c r="J58" s="229">
        <v>130</v>
      </c>
      <c r="K58" s="229">
        <f t="shared" si="10"/>
        <v>64272</v>
      </c>
      <c r="L58" s="230">
        <v>1821</v>
      </c>
      <c r="M58" s="230">
        <v>22903</v>
      </c>
      <c r="N58" s="230">
        <v>0</v>
      </c>
      <c r="O58" s="230">
        <v>18702</v>
      </c>
      <c r="P58" s="230">
        <v>5181</v>
      </c>
      <c r="Q58" s="230">
        <v>15665</v>
      </c>
      <c r="T58" s="231"/>
      <c r="V58" s="231"/>
      <c r="X58" s="232"/>
      <c r="Z58" s="233"/>
    </row>
    <row r="59" spans="1:26" ht="12.75" x14ac:dyDescent="0.2">
      <c r="A59" s="226">
        <v>50</v>
      </c>
      <c r="B59" s="227" t="s">
        <v>89</v>
      </c>
      <c r="C59" s="228" t="s">
        <v>90</v>
      </c>
      <c r="D59" s="229">
        <f t="shared" si="7"/>
        <v>91828</v>
      </c>
      <c r="E59" s="229">
        <f t="shared" si="9"/>
        <v>9248</v>
      </c>
      <c r="F59" s="229">
        <v>1714</v>
      </c>
      <c r="G59" s="229">
        <v>7534</v>
      </c>
      <c r="H59" s="220">
        <f t="shared" si="8"/>
        <v>6902</v>
      </c>
      <c r="I59" s="229">
        <v>6777</v>
      </c>
      <c r="J59" s="229">
        <v>125</v>
      </c>
      <c r="K59" s="229">
        <f t="shared" si="10"/>
        <v>75678</v>
      </c>
      <c r="L59" s="230">
        <v>1715</v>
      </c>
      <c r="M59" s="230">
        <v>13591</v>
      </c>
      <c r="N59" s="230">
        <v>0</v>
      </c>
      <c r="O59" s="230">
        <v>39884</v>
      </c>
      <c r="P59" s="230">
        <v>2812</v>
      </c>
      <c r="Q59" s="230">
        <v>17676</v>
      </c>
      <c r="T59" s="231"/>
      <c r="V59" s="231"/>
      <c r="X59" s="232"/>
      <c r="Z59" s="233"/>
    </row>
    <row r="60" spans="1:26" ht="12.75" x14ac:dyDescent="0.2">
      <c r="A60" s="226">
        <v>51</v>
      </c>
      <c r="B60" s="235" t="s">
        <v>91</v>
      </c>
      <c r="C60" s="227" t="s">
        <v>92</v>
      </c>
      <c r="D60" s="229">
        <f t="shared" si="7"/>
        <v>31628</v>
      </c>
      <c r="E60" s="229">
        <f t="shared" si="9"/>
        <v>2639</v>
      </c>
      <c r="F60" s="229">
        <v>621</v>
      </c>
      <c r="G60" s="229">
        <v>2018</v>
      </c>
      <c r="H60" s="220">
        <f t="shared" si="8"/>
        <v>2494</v>
      </c>
      <c r="I60" s="229">
        <v>2454</v>
      </c>
      <c r="J60" s="229">
        <v>40</v>
      </c>
      <c r="K60" s="229">
        <f t="shared" si="10"/>
        <v>26495</v>
      </c>
      <c r="L60" s="230">
        <v>621</v>
      </c>
      <c r="M60" s="230">
        <v>14596</v>
      </c>
      <c r="N60" s="230">
        <v>0</v>
      </c>
      <c r="O60" s="230">
        <v>8524</v>
      </c>
      <c r="P60" s="230">
        <v>31</v>
      </c>
      <c r="Q60" s="230">
        <v>2723</v>
      </c>
      <c r="T60" s="231"/>
      <c r="V60" s="231"/>
      <c r="X60" s="232"/>
      <c r="Z60" s="233"/>
    </row>
    <row r="61" spans="1:26" ht="12.75" x14ac:dyDescent="0.2">
      <c r="A61" s="226">
        <v>52</v>
      </c>
      <c r="B61" s="227" t="s">
        <v>93</v>
      </c>
      <c r="C61" s="228" t="s">
        <v>94</v>
      </c>
      <c r="D61" s="229">
        <f t="shared" si="7"/>
        <v>64208</v>
      </c>
      <c r="E61" s="229">
        <f t="shared" si="9"/>
        <v>6129</v>
      </c>
      <c r="F61" s="229">
        <v>1189</v>
      </c>
      <c r="G61" s="229">
        <v>4940</v>
      </c>
      <c r="H61" s="220">
        <f t="shared" si="8"/>
        <v>4718</v>
      </c>
      <c r="I61" s="229">
        <v>4698</v>
      </c>
      <c r="J61" s="229">
        <v>20</v>
      </c>
      <c r="K61" s="229">
        <f t="shared" si="10"/>
        <v>53361</v>
      </c>
      <c r="L61" s="230">
        <v>1189</v>
      </c>
      <c r="M61" s="230">
        <v>20820</v>
      </c>
      <c r="N61" s="230">
        <v>0</v>
      </c>
      <c r="O61" s="230">
        <v>15083</v>
      </c>
      <c r="P61" s="230">
        <v>1672</v>
      </c>
      <c r="Q61" s="230">
        <v>14597</v>
      </c>
      <c r="T61" s="231"/>
      <c r="V61" s="231"/>
      <c r="X61" s="232"/>
      <c r="Z61" s="233"/>
    </row>
    <row r="62" spans="1:26" ht="12.75" x14ac:dyDescent="0.2">
      <c r="A62" s="226">
        <v>53</v>
      </c>
      <c r="B62" s="235" t="s">
        <v>95</v>
      </c>
      <c r="C62" s="227" t="s">
        <v>463</v>
      </c>
      <c r="D62" s="229">
        <f t="shared" si="7"/>
        <v>93169</v>
      </c>
      <c r="E62" s="229">
        <f t="shared" si="9"/>
        <v>9202</v>
      </c>
      <c r="F62" s="229">
        <v>1768</v>
      </c>
      <c r="G62" s="229">
        <v>7434</v>
      </c>
      <c r="H62" s="220">
        <f t="shared" si="8"/>
        <v>7106</v>
      </c>
      <c r="I62" s="229">
        <v>6987</v>
      </c>
      <c r="J62" s="229">
        <v>119</v>
      </c>
      <c r="K62" s="229">
        <f t="shared" si="10"/>
        <v>76861</v>
      </c>
      <c r="L62" s="230">
        <v>1768</v>
      </c>
      <c r="M62" s="230">
        <v>36845</v>
      </c>
      <c r="N62" s="230">
        <v>0</v>
      </c>
      <c r="O62" s="230">
        <v>15351</v>
      </c>
      <c r="P62" s="230">
        <v>2061</v>
      </c>
      <c r="Q62" s="230">
        <v>20836</v>
      </c>
      <c r="T62" s="231"/>
      <c r="V62" s="231"/>
      <c r="X62" s="232"/>
      <c r="Z62" s="233"/>
    </row>
    <row r="63" spans="1:26" ht="12.75" x14ac:dyDescent="0.2">
      <c r="A63" s="226">
        <v>54</v>
      </c>
      <c r="B63" s="235" t="s">
        <v>96</v>
      </c>
      <c r="C63" s="227" t="s">
        <v>97</v>
      </c>
      <c r="D63" s="229">
        <f t="shared" si="7"/>
        <v>328278</v>
      </c>
      <c r="E63" s="229">
        <f t="shared" si="9"/>
        <v>33764</v>
      </c>
      <c r="F63" s="229">
        <v>5882</v>
      </c>
      <c r="G63" s="229">
        <v>27882</v>
      </c>
      <c r="H63" s="220">
        <f t="shared" si="8"/>
        <v>23914</v>
      </c>
      <c r="I63" s="229">
        <v>23252</v>
      </c>
      <c r="J63" s="229">
        <v>662</v>
      </c>
      <c r="K63" s="229">
        <f t="shared" si="10"/>
        <v>270600</v>
      </c>
      <c r="L63" s="230">
        <v>5883</v>
      </c>
      <c r="M63" s="230">
        <v>96804</v>
      </c>
      <c r="N63" s="230">
        <v>3072</v>
      </c>
      <c r="O63" s="230">
        <v>97455</v>
      </c>
      <c r="P63" s="230">
        <v>14869</v>
      </c>
      <c r="Q63" s="230">
        <v>52517</v>
      </c>
      <c r="T63" s="231"/>
      <c r="V63" s="231"/>
      <c r="X63" s="232"/>
      <c r="Z63" s="233"/>
    </row>
    <row r="64" spans="1:26" ht="12.75" x14ac:dyDescent="0.2">
      <c r="A64" s="226">
        <v>55</v>
      </c>
      <c r="B64" s="235" t="s">
        <v>98</v>
      </c>
      <c r="C64" s="227" t="s">
        <v>464</v>
      </c>
      <c r="D64" s="229">
        <f t="shared" si="7"/>
        <v>51454</v>
      </c>
      <c r="E64" s="229">
        <f t="shared" si="9"/>
        <v>4884</v>
      </c>
      <c r="F64" s="229">
        <v>968</v>
      </c>
      <c r="G64" s="229">
        <v>3916</v>
      </c>
      <c r="H64" s="220">
        <f t="shared" si="8"/>
        <v>3923</v>
      </c>
      <c r="I64" s="229">
        <v>3828</v>
      </c>
      <c r="J64" s="229">
        <v>95</v>
      </c>
      <c r="K64" s="229">
        <f t="shared" si="10"/>
        <v>42647</v>
      </c>
      <c r="L64" s="230">
        <v>968</v>
      </c>
      <c r="M64" s="230">
        <v>10206</v>
      </c>
      <c r="N64" s="230">
        <v>0</v>
      </c>
      <c r="O64" s="230">
        <v>13307</v>
      </c>
      <c r="P64" s="230">
        <v>1637</v>
      </c>
      <c r="Q64" s="230">
        <v>16529</v>
      </c>
      <c r="T64" s="231"/>
      <c r="V64" s="231"/>
      <c r="X64" s="232"/>
      <c r="Z64" s="233"/>
    </row>
    <row r="65" spans="1:26" x14ac:dyDescent="0.2">
      <c r="A65" s="226">
        <v>56</v>
      </c>
      <c r="B65" s="239" t="s">
        <v>325</v>
      </c>
      <c r="C65" s="238" t="s">
        <v>465</v>
      </c>
      <c r="D65" s="229">
        <f t="shared" si="7"/>
        <v>0</v>
      </c>
      <c r="E65" s="229">
        <f t="shared" si="9"/>
        <v>0</v>
      </c>
      <c r="F65" s="229">
        <v>0</v>
      </c>
      <c r="G65" s="229">
        <v>0</v>
      </c>
      <c r="H65" s="220">
        <f t="shared" si="8"/>
        <v>0</v>
      </c>
      <c r="I65" s="229">
        <v>0</v>
      </c>
      <c r="J65" s="229">
        <v>0</v>
      </c>
      <c r="K65" s="229">
        <f t="shared" si="10"/>
        <v>0</v>
      </c>
      <c r="L65" s="230">
        <v>0</v>
      </c>
      <c r="M65" s="230">
        <v>0</v>
      </c>
      <c r="N65" s="230">
        <v>0</v>
      </c>
      <c r="O65" s="230">
        <v>0</v>
      </c>
      <c r="P65" s="230">
        <v>0</v>
      </c>
      <c r="Q65" s="230">
        <v>0</v>
      </c>
      <c r="T65" s="231"/>
      <c r="V65" s="231"/>
      <c r="X65" s="232"/>
      <c r="Z65" s="233"/>
    </row>
    <row r="66" spans="1:26" x14ac:dyDescent="0.2">
      <c r="A66" s="226">
        <v>57</v>
      </c>
      <c r="B66" s="239" t="s">
        <v>466</v>
      </c>
      <c r="C66" s="238" t="s">
        <v>467</v>
      </c>
      <c r="D66" s="229">
        <f t="shared" si="7"/>
        <v>0</v>
      </c>
      <c r="E66" s="229">
        <f t="shared" si="9"/>
        <v>0</v>
      </c>
      <c r="F66" s="229">
        <v>0</v>
      </c>
      <c r="G66" s="229">
        <v>0</v>
      </c>
      <c r="H66" s="220">
        <f t="shared" si="8"/>
        <v>0</v>
      </c>
      <c r="I66" s="229">
        <v>0</v>
      </c>
      <c r="J66" s="229">
        <v>0</v>
      </c>
      <c r="K66" s="229">
        <f t="shared" si="10"/>
        <v>0</v>
      </c>
      <c r="L66" s="230">
        <v>0</v>
      </c>
      <c r="M66" s="230">
        <v>0</v>
      </c>
      <c r="N66" s="230">
        <v>0</v>
      </c>
      <c r="O66" s="230">
        <v>0</v>
      </c>
      <c r="P66" s="230">
        <v>0</v>
      </c>
      <c r="Q66" s="230">
        <v>0</v>
      </c>
      <c r="T66" s="231"/>
      <c r="V66" s="231"/>
      <c r="X66" s="232"/>
      <c r="Z66" s="233"/>
    </row>
    <row r="67" spans="1:26" ht="25.5" x14ac:dyDescent="0.2">
      <c r="A67" s="226">
        <v>58</v>
      </c>
      <c r="B67" s="235" t="s">
        <v>99</v>
      </c>
      <c r="C67" s="227" t="s">
        <v>100</v>
      </c>
      <c r="D67" s="229">
        <f t="shared" si="7"/>
        <v>182093</v>
      </c>
      <c r="E67" s="229">
        <f t="shared" si="9"/>
        <v>38315</v>
      </c>
      <c r="F67" s="229">
        <v>0</v>
      </c>
      <c r="G67" s="229">
        <v>38315</v>
      </c>
      <c r="H67" s="220">
        <f t="shared" si="8"/>
        <v>270</v>
      </c>
      <c r="I67" s="229">
        <v>0</v>
      </c>
      <c r="J67" s="229">
        <v>270</v>
      </c>
      <c r="K67" s="229">
        <f t="shared" si="10"/>
        <v>143508</v>
      </c>
      <c r="L67" s="230">
        <v>0</v>
      </c>
      <c r="M67" s="230">
        <v>14035</v>
      </c>
      <c r="N67" s="230">
        <v>0</v>
      </c>
      <c r="O67" s="230">
        <v>46788</v>
      </c>
      <c r="P67" s="230">
        <v>0</v>
      </c>
      <c r="Q67" s="230">
        <v>82685</v>
      </c>
      <c r="T67" s="231"/>
      <c r="V67" s="231"/>
      <c r="X67" s="232"/>
      <c r="Z67" s="233"/>
    </row>
    <row r="68" spans="1:26" ht="25.5" x14ac:dyDescent="0.2">
      <c r="A68" s="226">
        <v>59</v>
      </c>
      <c r="B68" s="227" t="s">
        <v>101</v>
      </c>
      <c r="C68" s="227" t="s">
        <v>468</v>
      </c>
      <c r="D68" s="229">
        <f t="shared" si="7"/>
        <v>150274</v>
      </c>
      <c r="E68" s="229">
        <f t="shared" si="9"/>
        <v>31452</v>
      </c>
      <c r="F68" s="229">
        <v>0</v>
      </c>
      <c r="G68" s="229">
        <v>31452</v>
      </c>
      <c r="H68" s="220">
        <f t="shared" si="8"/>
        <v>418</v>
      </c>
      <c r="I68" s="229">
        <v>0</v>
      </c>
      <c r="J68" s="229">
        <v>418</v>
      </c>
      <c r="K68" s="229">
        <f t="shared" si="10"/>
        <v>118404</v>
      </c>
      <c r="L68" s="230">
        <v>0</v>
      </c>
      <c r="M68" s="230">
        <v>16566</v>
      </c>
      <c r="N68" s="230">
        <v>0</v>
      </c>
      <c r="O68" s="230">
        <v>37376</v>
      </c>
      <c r="P68" s="230">
        <v>0</v>
      </c>
      <c r="Q68" s="230">
        <v>64462</v>
      </c>
      <c r="T68" s="231"/>
      <c r="V68" s="231"/>
      <c r="X68" s="232"/>
      <c r="Z68" s="233"/>
    </row>
    <row r="69" spans="1:26" ht="25.5" x14ac:dyDescent="0.2">
      <c r="A69" s="226">
        <v>60</v>
      </c>
      <c r="B69" s="236" t="s">
        <v>102</v>
      </c>
      <c r="C69" s="236" t="s">
        <v>103</v>
      </c>
      <c r="D69" s="229">
        <f t="shared" si="7"/>
        <v>216106</v>
      </c>
      <c r="E69" s="229">
        <f t="shared" si="9"/>
        <v>45589</v>
      </c>
      <c r="F69" s="229">
        <v>0</v>
      </c>
      <c r="G69" s="229">
        <v>45589</v>
      </c>
      <c r="H69" s="220">
        <f t="shared" si="8"/>
        <v>100</v>
      </c>
      <c r="I69" s="229">
        <v>0</v>
      </c>
      <c r="J69" s="229">
        <v>100</v>
      </c>
      <c r="K69" s="229">
        <f t="shared" si="10"/>
        <v>170417</v>
      </c>
      <c r="L69" s="230">
        <v>0</v>
      </c>
      <c r="M69" s="230">
        <v>30998</v>
      </c>
      <c r="N69" s="230">
        <v>0</v>
      </c>
      <c r="O69" s="230">
        <v>57190</v>
      </c>
      <c r="P69" s="230">
        <v>692</v>
      </c>
      <c r="Q69" s="230">
        <v>81537</v>
      </c>
      <c r="T69" s="231"/>
      <c r="V69" s="231"/>
      <c r="X69" s="232"/>
      <c r="Z69" s="233"/>
    </row>
    <row r="70" spans="1:26" ht="25.5" x14ac:dyDescent="0.2">
      <c r="A70" s="226">
        <v>61</v>
      </c>
      <c r="B70" s="227" t="s">
        <v>104</v>
      </c>
      <c r="C70" s="227" t="s">
        <v>469</v>
      </c>
      <c r="D70" s="229">
        <f t="shared" si="7"/>
        <v>259742</v>
      </c>
      <c r="E70" s="229">
        <f t="shared" si="9"/>
        <v>53158</v>
      </c>
      <c r="F70" s="229">
        <v>0</v>
      </c>
      <c r="G70" s="229">
        <v>53158</v>
      </c>
      <c r="H70" s="220">
        <f t="shared" si="8"/>
        <v>245</v>
      </c>
      <c r="I70" s="229">
        <v>0</v>
      </c>
      <c r="J70" s="229">
        <v>245</v>
      </c>
      <c r="K70" s="229">
        <f t="shared" si="10"/>
        <v>206339</v>
      </c>
      <c r="L70" s="230">
        <v>0</v>
      </c>
      <c r="M70" s="230">
        <v>24806</v>
      </c>
      <c r="N70" s="230">
        <v>9541</v>
      </c>
      <c r="O70" s="230">
        <v>46249</v>
      </c>
      <c r="P70" s="230">
        <v>0</v>
      </c>
      <c r="Q70" s="230">
        <v>125743</v>
      </c>
      <c r="T70" s="231"/>
      <c r="V70" s="231"/>
      <c r="X70" s="232"/>
      <c r="Z70" s="233"/>
    </row>
    <row r="71" spans="1:26" ht="25.5" x14ac:dyDescent="0.2">
      <c r="A71" s="226">
        <v>62</v>
      </c>
      <c r="B71" s="235" t="s">
        <v>105</v>
      </c>
      <c r="C71" s="227" t="s">
        <v>106</v>
      </c>
      <c r="D71" s="229">
        <f t="shared" si="7"/>
        <v>100015</v>
      </c>
      <c r="E71" s="229">
        <f t="shared" si="9"/>
        <v>21147</v>
      </c>
      <c r="F71" s="229">
        <v>0</v>
      </c>
      <c r="G71" s="229">
        <v>21147</v>
      </c>
      <c r="H71" s="220">
        <f t="shared" si="8"/>
        <v>95</v>
      </c>
      <c r="I71" s="229">
        <v>0</v>
      </c>
      <c r="J71" s="229">
        <v>95</v>
      </c>
      <c r="K71" s="229">
        <f t="shared" si="10"/>
        <v>78773</v>
      </c>
      <c r="L71" s="230">
        <v>0</v>
      </c>
      <c r="M71" s="230">
        <v>17670</v>
      </c>
      <c r="N71" s="230">
        <v>0</v>
      </c>
      <c r="O71" s="230">
        <v>20353</v>
      </c>
      <c r="P71" s="230">
        <v>0</v>
      </c>
      <c r="Q71" s="230">
        <v>40750</v>
      </c>
      <c r="T71" s="231"/>
      <c r="V71" s="231"/>
      <c r="X71" s="232"/>
      <c r="Z71" s="233"/>
    </row>
    <row r="72" spans="1:26" ht="38.25" x14ac:dyDescent="0.2">
      <c r="A72" s="226">
        <v>63</v>
      </c>
      <c r="B72" s="227" t="s">
        <v>332</v>
      </c>
      <c r="C72" s="227" t="s">
        <v>470</v>
      </c>
      <c r="D72" s="229">
        <f t="shared" si="7"/>
        <v>31559</v>
      </c>
      <c r="E72" s="229">
        <f t="shared" si="9"/>
        <v>0</v>
      </c>
      <c r="F72" s="229">
        <v>0</v>
      </c>
      <c r="G72" s="229">
        <v>0</v>
      </c>
      <c r="H72" s="220">
        <f t="shared" si="8"/>
        <v>0</v>
      </c>
      <c r="I72" s="229">
        <v>0</v>
      </c>
      <c r="J72" s="229">
        <v>0</v>
      </c>
      <c r="K72" s="229">
        <f t="shared" si="10"/>
        <v>31559</v>
      </c>
      <c r="L72" s="230">
        <v>0</v>
      </c>
      <c r="M72" s="230">
        <v>0</v>
      </c>
      <c r="N72" s="230">
        <v>0</v>
      </c>
      <c r="O72" s="230">
        <v>24364</v>
      </c>
      <c r="P72" s="230">
        <v>7183</v>
      </c>
      <c r="Q72" s="230">
        <v>12</v>
      </c>
      <c r="T72" s="231"/>
      <c r="V72" s="231"/>
      <c r="X72" s="232"/>
      <c r="Z72" s="233"/>
    </row>
    <row r="73" spans="1:26" ht="38.25" x14ac:dyDescent="0.2">
      <c r="A73" s="226">
        <v>64</v>
      </c>
      <c r="B73" s="227" t="s">
        <v>334</v>
      </c>
      <c r="C73" s="227" t="s">
        <v>471</v>
      </c>
      <c r="D73" s="229">
        <f t="shared" si="7"/>
        <v>37897</v>
      </c>
      <c r="E73" s="229">
        <f t="shared" si="9"/>
        <v>0</v>
      </c>
      <c r="F73" s="229">
        <v>0</v>
      </c>
      <c r="G73" s="229">
        <v>0</v>
      </c>
      <c r="H73" s="220">
        <f t="shared" si="8"/>
        <v>0</v>
      </c>
      <c r="I73" s="229">
        <v>0</v>
      </c>
      <c r="J73" s="229">
        <v>0</v>
      </c>
      <c r="K73" s="229">
        <f t="shared" si="10"/>
        <v>37897</v>
      </c>
      <c r="L73" s="230">
        <v>0</v>
      </c>
      <c r="M73" s="230">
        <v>0</v>
      </c>
      <c r="N73" s="230">
        <v>0</v>
      </c>
      <c r="O73" s="230">
        <v>15121</v>
      </c>
      <c r="P73" s="230">
        <v>22746</v>
      </c>
      <c r="Q73" s="230">
        <v>30</v>
      </c>
      <c r="T73" s="231"/>
      <c r="V73" s="231"/>
      <c r="X73" s="232"/>
      <c r="Z73" s="233"/>
    </row>
    <row r="74" spans="1:26" ht="12.75" x14ac:dyDescent="0.2">
      <c r="A74" s="226">
        <v>65</v>
      </c>
      <c r="B74" s="227" t="s">
        <v>107</v>
      </c>
      <c r="C74" s="227" t="s">
        <v>472</v>
      </c>
      <c r="D74" s="229">
        <f t="shared" si="7"/>
        <v>135015</v>
      </c>
      <c r="E74" s="229">
        <f t="shared" si="9"/>
        <v>8471</v>
      </c>
      <c r="F74" s="229">
        <v>4125</v>
      </c>
      <c r="G74" s="229">
        <v>4346</v>
      </c>
      <c r="H74" s="220">
        <f t="shared" ref="H74:H137" si="11">I74+J74</f>
        <v>16304</v>
      </c>
      <c r="I74" s="229">
        <v>16304</v>
      </c>
      <c r="J74" s="229">
        <v>0</v>
      </c>
      <c r="K74" s="229">
        <f t="shared" si="10"/>
        <v>110240</v>
      </c>
      <c r="L74" s="230">
        <v>1908</v>
      </c>
      <c r="M74" s="230">
        <v>34716</v>
      </c>
      <c r="N74" s="230">
        <v>0</v>
      </c>
      <c r="O74" s="230">
        <v>51478</v>
      </c>
      <c r="P74" s="230">
        <v>1437</v>
      </c>
      <c r="Q74" s="230">
        <v>20701</v>
      </c>
      <c r="T74" s="231"/>
      <c r="V74" s="231"/>
      <c r="X74" s="232"/>
      <c r="Z74" s="233"/>
    </row>
    <row r="75" spans="1:26" ht="12.75" x14ac:dyDescent="0.2">
      <c r="A75" s="226">
        <v>66</v>
      </c>
      <c r="B75" s="227" t="s">
        <v>108</v>
      </c>
      <c r="C75" s="227" t="s">
        <v>473</v>
      </c>
      <c r="D75" s="229">
        <f t="shared" si="7"/>
        <v>78003</v>
      </c>
      <c r="E75" s="229">
        <f t="shared" si="9"/>
        <v>2655</v>
      </c>
      <c r="F75" s="229">
        <v>2655</v>
      </c>
      <c r="G75" s="229">
        <v>0</v>
      </c>
      <c r="H75" s="220">
        <f t="shared" si="11"/>
        <v>10494</v>
      </c>
      <c r="I75" s="229">
        <v>10494</v>
      </c>
      <c r="J75" s="229">
        <v>0</v>
      </c>
      <c r="K75" s="229">
        <f t="shared" si="10"/>
        <v>64854</v>
      </c>
      <c r="L75" s="230">
        <v>2905</v>
      </c>
      <c r="M75" s="230">
        <v>45000</v>
      </c>
      <c r="N75" s="230">
        <v>11187</v>
      </c>
      <c r="O75" s="230">
        <v>3625</v>
      </c>
      <c r="P75" s="230">
        <v>0</v>
      </c>
      <c r="Q75" s="230">
        <v>2137</v>
      </c>
      <c r="T75" s="231"/>
      <c r="V75" s="231"/>
      <c r="X75" s="232"/>
      <c r="Z75" s="233"/>
    </row>
    <row r="76" spans="1:26" ht="12.75" x14ac:dyDescent="0.2">
      <c r="A76" s="226">
        <v>67</v>
      </c>
      <c r="B76" s="227" t="s">
        <v>109</v>
      </c>
      <c r="C76" s="227" t="s">
        <v>474</v>
      </c>
      <c r="D76" s="229">
        <f t="shared" si="7"/>
        <v>69504</v>
      </c>
      <c r="E76" s="229">
        <f t="shared" si="9"/>
        <v>2591</v>
      </c>
      <c r="F76" s="229">
        <v>2591</v>
      </c>
      <c r="G76" s="229">
        <v>0</v>
      </c>
      <c r="H76" s="220">
        <f t="shared" si="11"/>
        <v>10243</v>
      </c>
      <c r="I76" s="229">
        <v>10243</v>
      </c>
      <c r="J76" s="229">
        <v>0</v>
      </c>
      <c r="K76" s="229">
        <f t="shared" si="10"/>
        <v>56670</v>
      </c>
      <c r="L76" s="230">
        <v>2658</v>
      </c>
      <c r="M76" s="230">
        <v>28000</v>
      </c>
      <c r="N76" s="230">
        <v>0</v>
      </c>
      <c r="O76" s="230">
        <v>20738</v>
      </c>
      <c r="P76" s="230">
        <v>254</v>
      </c>
      <c r="Q76" s="230">
        <v>5020</v>
      </c>
      <c r="T76" s="231"/>
      <c r="V76" s="231"/>
      <c r="X76" s="232"/>
      <c r="Z76" s="233"/>
    </row>
    <row r="77" spans="1:26" ht="12.75" x14ac:dyDescent="0.2">
      <c r="A77" s="226">
        <v>68</v>
      </c>
      <c r="B77" s="227" t="s">
        <v>110</v>
      </c>
      <c r="C77" s="227" t="s">
        <v>475</v>
      </c>
      <c r="D77" s="229">
        <f t="shared" si="7"/>
        <v>66019</v>
      </c>
      <c r="E77" s="229">
        <f t="shared" si="9"/>
        <v>1953</v>
      </c>
      <c r="F77" s="229">
        <v>1953</v>
      </c>
      <c r="G77" s="229">
        <v>0</v>
      </c>
      <c r="H77" s="220">
        <f t="shared" si="11"/>
        <v>7721</v>
      </c>
      <c r="I77" s="229">
        <v>7721</v>
      </c>
      <c r="J77" s="229">
        <v>0</v>
      </c>
      <c r="K77" s="229">
        <f t="shared" si="10"/>
        <v>56345</v>
      </c>
      <c r="L77" s="230">
        <v>1953</v>
      </c>
      <c r="M77" s="230">
        <v>19715</v>
      </c>
      <c r="N77" s="230">
        <v>16484</v>
      </c>
      <c r="O77" s="230">
        <v>10103</v>
      </c>
      <c r="P77" s="230">
        <v>0</v>
      </c>
      <c r="Q77" s="230">
        <v>8090</v>
      </c>
      <c r="T77" s="231"/>
      <c r="V77" s="231"/>
      <c r="X77" s="232"/>
      <c r="Z77" s="233"/>
    </row>
    <row r="78" spans="1:26" ht="12.75" x14ac:dyDescent="0.2">
      <c r="A78" s="226">
        <v>69</v>
      </c>
      <c r="B78" s="227" t="s">
        <v>111</v>
      </c>
      <c r="C78" s="227" t="s">
        <v>476</v>
      </c>
      <c r="D78" s="229">
        <f t="shared" si="7"/>
        <v>156092</v>
      </c>
      <c r="E78" s="229">
        <f t="shared" si="9"/>
        <v>5117</v>
      </c>
      <c r="F78" s="229">
        <v>5117</v>
      </c>
      <c r="G78" s="229">
        <v>0</v>
      </c>
      <c r="H78" s="220">
        <f t="shared" si="11"/>
        <v>20227</v>
      </c>
      <c r="I78" s="229">
        <v>20227</v>
      </c>
      <c r="J78" s="229">
        <v>0</v>
      </c>
      <c r="K78" s="229">
        <f t="shared" si="10"/>
        <v>130748</v>
      </c>
      <c r="L78" s="230">
        <v>5117</v>
      </c>
      <c r="M78" s="230">
        <v>42596</v>
      </c>
      <c r="N78" s="230">
        <v>0</v>
      </c>
      <c r="O78" s="230">
        <v>64880</v>
      </c>
      <c r="P78" s="230">
        <v>0</v>
      </c>
      <c r="Q78" s="230">
        <v>18155</v>
      </c>
      <c r="T78" s="231"/>
      <c r="V78" s="231"/>
      <c r="X78" s="232"/>
      <c r="Z78" s="233"/>
    </row>
    <row r="79" spans="1:26" ht="12.75" x14ac:dyDescent="0.2">
      <c r="A79" s="226">
        <v>70</v>
      </c>
      <c r="B79" s="235" t="s">
        <v>112</v>
      </c>
      <c r="C79" s="227" t="s">
        <v>113</v>
      </c>
      <c r="D79" s="229">
        <f t="shared" si="7"/>
        <v>79742</v>
      </c>
      <c r="E79" s="229">
        <f t="shared" si="9"/>
        <v>2587</v>
      </c>
      <c r="F79" s="229">
        <v>2587</v>
      </c>
      <c r="G79" s="229">
        <v>0</v>
      </c>
      <c r="H79" s="220">
        <f t="shared" si="11"/>
        <v>10224</v>
      </c>
      <c r="I79" s="229">
        <v>10224</v>
      </c>
      <c r="J79" s="229">
        <v>0</v>
      </c>
      <c r="K79" s="229">
        <f t="shared" si="10"/>
        <v>66931</v>
      </c>
      <c r="L79" s="230">
        <v>2587</v>
      </c>
      <c r="M79" s="230">
        <v>39112</v>
      </c>
      <c r="N79" s="230">
        <v>0</v>
      </c>
      <c r="O79" s="230">
        <v>17841</v>
      </c>
      <c r="P79" s="230">
        <v>0</v>
      </c>
      <c r="Q79" s="230">
        <v>7391</v>
      </c>
      <c r="T79" s="231"/>
      <c r="V79" s="231"/>
      <c r="X79" s="232"/>
      <c r="Z79" s="233"/>
    </row>
    <row r="80" spans="1:26" ht="12.75" x14ac:dyDescent="0.2">
      <c r="A80" s="226">
        <v>71</v>
      </c>
      <c r="B80" s="227" t="s">
        <v>114</v>
      </c>
      <c r="C80" s="228" t="s">
        <v>115</v>
      </c>
      <c r="D80" s="229">
        <f t="shared" si="7"/>
        <v>98253</v>
      </c>
      <c r="E80" s="229">
        <f t="shared" si="9"/>
        <v>3037</v>
      </c>
      <c r="F80" s="229">
        <v>3037</v>
      </c>
      <c r="G80" s="229">
        <v>0</v>
      </c>
      <c r="H80" s="220">
        <f t="shared" si="11"/>
        <v>12006</v>
      </c>
      <c r="I80" s="229">
        <v>12006</v>
      </c>
      <c r="J80" s="229">
        <v>0</v>
      </c>
      <c r="K80" s="229">
        <f t="shared" si="10"/>
        <v>83210</v>
      </c>
      <c r="L80" s="230">
        <v>3038</v>
      </c>
      <c r="M80" s="230">
        <v>39220</v>
      </c>
      <c r="N80" s="230">
        <v>10890</v>
      </c>
      <c r="O80" s="230">
        <v>20972</v>
      </c>
      <c r="P80" s="230">
        <v>0</v>
      </c>
      <c r="Q80" s="230">
        <v>9090</v>
      </c>
      <c r="T80" s="231"/>
      <c r="V80" s="231"/>
      <c r="X80" s="232"/>
      <c r="Z80" s="233"/>
    </row>
    <row r="81" spans="1:26" ht="12.75" x14ac:dyDescent="0.2">
      <c r="A81" s="226">
        <v>72</v>
      </c>
      <c r="B81" s="235" t="s">
        <v>116</v>
      </c>
      <c r="C81" s="227" t="s">
        <v>117</v>
      </c>
      <c r="D81" s="229">
        <f t="shared" ref="D81:D157" si="12">E81+H81+K81</f>
        <v>44004</v>
      </c>
      <c r="E81" s="229">
        <f t="shared" si="9"/>
        <v>1740</v>
      </c>
      <c r="F81" s="229">
        <v>1740</v>
      </c>
      <c r="G81" s="229">
        <v>0</v>
      </c>
      <c r="H81" s="220">
        <f t="shared" si="11"/>
        <v>6877</v>
      </c>
      <c r="I81" s="229">
        <v>6877</v>
      </c>
      <c r="J81" s="229">
        <v>0</v>
      </c>
      <c r="K81" s="229">
        <f t="shared" si="10"/>
        <v>35387</v>
      </c>
      <c r="L81" s="230">
        <v>1740</v>
      </c>
      <c r="M81" s="230">
        <v>20471</v>
      </c>
      <c r="N81" s="230">
        <v>0</v>
      </c>
      <c r="O81" s="230">
        <v>7459</v>
      </c>
      <c r="P81" s="230">
        <v>0</v>
      </c>
      <c r="Q81" s="230">
        <v>5717</v>
      </c>
      <c r="T81" s="231"/>
      <c r="V81" s="231"/>
      <c r="X81" s="232"/>
      <c r="Z81" s="233"/>
    </row>
    <row r="82" spans="1:26" ht="12.75" x14ac:dyDescent="0.2">
      <c r="A82" s="226">
        <v>73</v>
      </c>
      <c r="B82" s="227" t="s">
        <v>118</v>
      </c>
      <c r="C82" s="227" t="s">
        <v>477</v>
      </c>
      <c r="D82" s="229">
        <f t="shared" si="12"/>
        <v>159453</v>
      </c>
      <c r="E82" s="229">
        <f t="shared" ref="E82:E157" si="13">F82+G82</f>
        <v>4939</v>
      </c>
      <c r="F82" s="229">
        <v>4939</v>
      </c>
      <c r="G82" s="229">
        <v>0</v>
      </c>
      <c r="H82" s="220">
        <f t="shared" si="11"/>
        <v>19522</v>
      </c>
      <c r="I82" s="229">
        <v>19522</v>
      </c>
      <c r="J82" s="229">
        <v>0</v>
      </c>
      <c r="K82" s="229">
        <f t="shared" ref="K82:K157" si="14">L82+M82+N82+O82+P82+Q82</f>
        <v>134992</v>
      </c>
      <c r="L82" s="230">
        <v>4939</v>
      </c>
      <c r="M82" s="230">
        <v>50000</v>
      </c>
      <c r="N82" s="230">
        <v>0</v>
      </c>
      <c r="O82" s="230">
        <v>60023</v>
      </c>
      <c r="P82" s="230">
        <v>0</v>
      </c>
      <c r="Q82" s="230">
        <v>20030</v>
      </c>
      <c r="T82" s="231"/>
      <c r="V82" s="231"/>
      <c r="X82" s="232"/>
      <c r="Z82" s="233"/>
    </row>
    <row r="83" spans="1:26" ht="12.75" x14ac:dyDescent="0.2">
      <c r="A83" s="226">
        <v>74</v>
      </c>
      <c r="B83" s="235" t="s">
        <v>119</v>
      </c>
      <c r="C83" s="227" t="s">
        <v>120</v>
      </c>
      <c r="D83" s="229">
        <f t="shared" si="12"/>
        <v>56771</v>
      </c>
      <c r="E83" s="229">
        <f t="shared" si="13"/>
        <v>2240</v>
      </c>
      <c r="F83" s="229">
        <v>2240</v>
      </c>
      <c r="G83" s="229">
        <v>0</v>
      </c>
      <c r="H83" s="220">
        <f t="shared" si="11"/>
        <v>8856</v>
      </c>
      <c r="I83" s="229">
        <v>8856</v>
      </c>
      <c r="J83" s="229">
        <v>0</v>
      </c>
      <c r="K83" s="229">
        <f t="shared" si="14"/>
        <v>45675</v>
      </c>
      <c r="L83" s="230">
        <v>2241</v>
      </c>
      <c r="M83" s="230">
        <v>24000</v>
      </c>
      <c r="N83" s="230">
        <v>0</v>
      </c>
      <c r="O83" s="230">
        <v>11083</v>
      </c>
      <c r="P83" s="230">
        <v>0</v>
      </c>
      <c r="Q83" s="230">
        <v>8351</v>
      </c>
      <c r="T83" s="231"/>
      <c r="V83" s="231"/>
      <c r="X83" s="232"/>
      <c r="Z83" s="233"/>
    </row>
    <row r="84" spans="1:26" ht="12.75" x14ac:dyDescent="0.2">
      <c r="A84" s="226">
        <v>75</v>
      </c>
      <c r="B84" s="235" t="s">
        <v>121</v>
      </c>
      <c r="C84" s="227" t="s">
        <v>122</v>
      </c>
      <c r="D84" s="229">
        <f t="shared" si="12"/>
        <v>55972</v>
      </c>
      <c r="E84" s="229">
        <f t="shared" si="13"/>
        <v>2206</v>
      </c>
      <c r="F84" s="229">
        <v>2206</v>
      </c>
      <c r="G84" s="229">
        <v>0</v>
      </c>
      <c r="H84" s="220">
        <f t="shared" si="11"/>
        <v>8721</v>
      </c>
      <c r="I84" s="229">
        <v>8721</v>
      </c>
      <c r="J84" s="229">
        <v>0</v>
      </c>
      <c r="K84" s="229">
        <f t="shared" si="14"/>
        <v>45045</v>
      </c>
      <c r="L84" s="230">
        <v>2206</v>
      </c>
      <c r="M84" s="230">
        <v>18777</v>
      </c>
      <c r="N84" s="230">
        <v>0</v>
      </c>
      <c r="O84" s="230">
        <v>15248</v>
      </c>
      <c r="P84" s="230">
        <v>0</v>
      </c>
      <c r="Q84" s="230">
        <v>8814</v>
      </c>
      <c r="T84" s="231"/>
      <c r="V84" s="231"/>
      <c r="X84" s="232"/>
      <c r="Z84" s="233"/>
    </row>
    <row r="85" spans="1:26" ht="25.5" x14ac:dyDescent="0.2">
      <c r="A85" s="226">
        <v>76</v>
      </c>
      <c r="B85" s="245" t="s">
        <v>347</v>
      </c>
      <c r="C85" s="245" t="s">
        <v>478</v>
      </c>
      <c r="D85" s="229">
        <f t="shared" si="12"/>
        <v>3257</v>
      </c>
      <c r="E85" s="229">
        <f t="shared" si="13"/>
        <v>0</v>
      </c>
      <c r="F85" s="229">
        <v>0</v>
      </c>
      <c r="G85" s="229">
        <v>0</v>
      </c>
      <c r="H85" s="220">
        <f t="shared" si="11"/>
        <v>0</v>
      </c>
      <c r="I85" s="229">
        <v>0</v>
      </c>
      <c r="J85" s="229">
        <v>0</v>
      </c>
      <c r="K85" s="229">
        <f t="shared" si="14"/>
        <v>3257</v>
      </c>
      <c r="L85" s="230">
        <v>0</v>
      </c>
      <c r="M85" s="230">
        <v>0</v>
      </c>
      <c r="N85" s="230">
        <v>0</v>
      </c>
      <c r="O85" s="230">
        <v>2456</v>
      </c>
      <c r="P85" s="230">
        <v>473</v>
      </c>
      <c r="Q85" s="230">
        <v>328</v>
      </c>
      <c r="T85" s="231"/>
      <c r="V85" s="231"/>
      <c r="X85" s="232"/>
      <c r="Z85" s="233"/>
    </row>
    <row r="86" spans="1:26" ht="25.5" x14ac:dyDescent="0.2">
      <c r="A86" s="226">
        <v>77</v>
      </c>
      <c r="B86" s="227" t="s">
        <v>349</v>
      </c>
      <c r="C86" s="227" t="s">
        <v>479</v>
      </c>
      <c r="D86" s="229">
        <f t="shared" si="12"/>
        <v>3757</v>
      </c>
      <c r="E86" s="229">
        <f t="shared" si="13"/>
        <v>0</v>
      </c>
      <c r="F86" s="229">
        <v>0</v>
      </c>
      <c r="G86" s="229">
        <v>0</v>
      </c>
      <c r="H86" s="220">
        <f t="shared" si="11"/>
        <v>0</v>
      </c>
      <c r="I86" s="229">
        <v>0</v>
      </c>
      <c r="J86" s="229">
        <v>0</v>
      </c>
      <c r="K86" s="229">
        <f t="shared" si="14"/>
        <v>3757</v>
      </c>
      <c r="L86" s="230">
        <v>0</v>
      </c>
      <c r="M86" s="230">
        <v>0</v>
      </c>
      <c r="N86" s="230">
        <v>0</v>
      </c>
      <c r="O86" s="230">
        <v>3636</v>
      </c>
      <c r="P86" s="230">
        <v>26</v>
      </c>
      <c r="Q86" s="230">
        <v>95</v>
      </c>
      <c r="T86" s="231"/>
      <c r="V86" s="231"/>
      <c r="X86" s="232"/>
      <c r="Z86" s="233"/>
    </row>
    <row r="87" spans="1:26" ht="25.5" x14ac:dyDescent="0.2">
      <c r="A87" s="226">
        <v>78</v>
      </c>
      <c r="B87" s="227" t="s">
        <v>351</v>
      </c>
      <c r="C87" s="227" t="s">
        <v>480</v>
      </c>
      <c r="D87" s="229">
        <f t="shared" si="12"/>
        <v>4246</v>
      </c>
      <c r="E87" s="229">
        <f t="shared" si="13"/>
        <v>0</v>
      </c>
      <c r="F87" s="229">
        <v>0</v>
      </c>
      <c r="G87" s="229">
        <v>0</v>
      </c>
      <c r="H87" s="220">
        <f t="shared" si="11"/>
        <v>0</v>
      </c>
      <c r="I87" s="229">
        <v>0</v>
      </c>
      <c r="J87" s="229">
        <v>0</v>
      </c>
      <c r="K87" s="229">
        <f t="shared" si="14"/>
        <v>4246</v>
      </c>
      <c r="L87" s="230">
        <v>0</v>
      </c>
      <c r="M87" s="230">
        <v>0</v>
      </c>
      <c r="N87" s="230">
        <v>0</v>
      </c>
      <c r="O87" s="230">
        <v>3977</v>
      </c>
      <c r="P87" s="230">
        <v>173</v>
      </c>
      <c r="Q87" s="230">
        <v>96</v>
      </c>
      <c r="T87" s="231"/>
      <c r="V87" s="231"/>
      <c r="X87" s="232"/>
      <c r="Z87" s="233"/>
    </row>
    <row r="88" spans="1:26" ht="25.5" x14ac:dyDescent="0.2">
      <c r="A88" s="226">
        <v>79</v>
      </c>
      <c r="B88" s="227" t="s">
        <v>353</v>
      </c>
      <c r="C88" s="227" t="s">
        <v>481</v>
      </c>
      <c r="D88" s="229">
        <f t="shared" si="12"/>
        <v>3633</v>
      </c>
      <c r="E88" s="229">
        <f t="shared" si="13"/>
        <v>0</v>
      </c>
      <c r="F88" s="229">
        <v>0</v>
      </c>
      <c r="G88" s="229">
        <v>0</v>
      </c>
      <c r="H88" s="220">
        <f t="shared" si="11"/>
        <v>0</v>
      </c>
      <c r="I88" s="229">
        <v>0</v>
      </c>
      <c r="J88" s="229">
        <v>0</v>
      </c>
      <c r="K88" s="229">
        <f t="shared" si="14"/>
        <v>3633</v>
      </c>
      <c r="L88" s="230">
        <v>0</v>
      </c>
      <c r="M88" s="230">
        <v>0</v>
      </c>
      <c r="N88" s="230">
        <v>0</v>
      </c>
      <c r="O88" s="230">
        <v>3322</v>
      </c>
      <c r="P88" s="230">
        <v>41</v>
      </c>
      <c r="Q88" s="230">
        <v>270</v>
      </c>
      <c r="T88" s="231"/>
      <c r="V88" s="231"/>
      <c r="X88" s="232"/>
      <c r="Z88" s="233"/>
    </row>
    <row r="89" spans="1:26" ht="25.5" x14ac:dyDescent="0.2">
      <c r="A89" s="226">
        <v>80</v>
      </c>
      <c r="B89" s="227" t="s">
        <v>355</v>
      </c>
      <c r="C89" s="227" t="s">
        <v>482</v>
      </c>
      <c r="D89" s="229">
        <f t="shared" si="12"/>
        <v>16651</v>
      </c>
      <c r="E89" s="229">
        <f t="shared" si="13"/>
        <v>0</v>
      </c>
      <c r="F89" s="229">
        <v>0</v>
      </c>
      <c r="G89" s="229">
        <v>0</v>
      </c>
      <c r="H89" s="220">
        <f t="shared" si="11"/>
        <v>0</v>
      </c>
      <c r="I89" s="229">
        <v>0</v>
      </c>
      <c r="J89" s="229">
        <v>0</v>
      </c>
      <c r="K89" s="229">
        <f t="shared" si="14"/>
        <v>16651</v>
      </c>
      <c r="L89" s="230">
        <v>0</v>
      </c>
      <c r="M89" s="230">
        <v>0</v>
      </c>
      <c r="N89" s="230">
        <v>0</v>
      </c>
      <c r="O89" s="230">
        <v>10950</v>
      </c>
      <c r="P89" s="230">
        <v>5117</v>
      </c>
      <c r="Q89" s="230">
        <v>584</v>
      </c>
      <c r="T89" s="231"/>
      <c r="V89" s="231"/>
      <c r="X89" s="232"/>
      <c r="Z89" s="233"/>
    </row>
    <row r="90" spans="1:26" ht="25.5" x14ac:dyDescent="0.2">
      <c r="A90" s="226">
        <v>81</v>
      </c>
      <c r="B90" s="227" t="s">
        <v>357</v>
      </c>
      <c r="C90" s="227" t="s">
        <v>483</v>
      </c>
      <c r="D90" s="229">
        <f t="shared" si="12"/>
        <v>3174</v>
      </c>
      <c r="E90" s="229">
        <f t="shared" si="13"/>
        <v>0</v>
      </c>
      <c r="F90" s="229">
        <v>0</v>
      </c>
      <c r="G90" s="229">
        <v>0</v>
      </c>
      <c r="H90" s="220">
        <f t="shared" si="11"/>
        <v>0</v>
      </c>
      <c r="I90" s="229">
        <v>0</v>
      </c>
      <c r="J90" s="229">
        <v>0</v>
      </c>
      <c r="K90" s="229">
        <f t="shared" si="14"/>
        <v>3174</v>
      </c>
      <c r="L90" s="230">
        <v>0</v>
      </c>
      <c r="M90" s="230">
        <v>0</v>
      </c>
      <c r="N90" s="230">
        <v>0</v>
      </c>
      <c r="O90" s="230">
        <v>2748</v>
      </c>
      <c r="P90" s="230">
        <v>286</v>
      </c>
      <c r="Q90" s="230">
        <v>140</v>
      </c>
      <c r="T90" s="231"/>
      <c r="V90" s="231"/>
      <c r="X90" s="232"/>
      <c r="Z90" s="233"/>
    </row>
    <row r="91" spans="1:26" ht="25.5" x14ac:dyDescent="0.2">
      <c r="A91" s="226">
        <v>82</v>
      </c>
      <c r="B91" s="227" t="s">
        <v>359</v>
      </c>
      <c r="C91" s="227" t="s">
        <v>484</v>
      </c>
      <c r="D91" s="229">
        <f t="shared" si="12"/>
        <v>2820</v>
      </c>
      <c r="E91" s="229">
        <f t="shared" si="13"/>
        <v>0</v>
      </c>
      <c r="F91" s="229">
        <v>0</v>
      </c>
      <c r="G91" s="229">
        <v>0</v>
      </c>
      <c r="H91" s="220">
        <f t="shared" si="11"/>
        <v>0</v>
      </c>
      <c r="I91" s="229">
        <v>0</v>
      </c>
      <c r="J91" s="229">
        <v>0</v>
      </c>
      <c r="K91" s="229">
        <f t="shared" si="14"/>
        <v>2820</v>
      </c>
      <c r="L91" s="230">
        <v>0</v>
      </c>
      <c r="M91" s="230">
        <v>0</v>
      </c>
      <c r="N91" s="230">
        <v>0</v>
      </c>
      <c r="O91" s="230">
        <v>2774</v>
      </c>
      <c r="P91" s="230">
        <v>46</v>
      </c>
      <c r="Q91" s="230">
        <v>0</v>
      </c>
      <c r="T91" s="231"/>
      <c r="V91" s="231"/>
      <c r="X91" s="232"/>
      <c r="Z91" s="233"/>
    </row>
    <row r="92" spans="1:26" ht="25.5" x14ac:dyDescent="0.2">
      <c r="A92" s="226">
        <v>83</v>
      </c>
      <c r="B92" s="235" t="s">
        <v>123</v>
      </c>
      <c r="C92" s="227" t="s">
        <v>124</v>
      </c>
      <c r="D92" s="229">
        <f t="shared" si="12"/>
        <v>194377</v>
      </c>
      <c r="E92" s="229">
        <f t="shared" si="13"/>
        <v>22713</v>
      </c>
      <c r="F92" s="229">
        <v>2975</v>
      </c>
      <c r="G92" s="229">
        <v>19738</v>
      </c>
      <c r="H92" s="220">
        <f t="shared" si="11"/>
        <v>11933</v>
      </c>
      <c r="I92" s="229">
        <v>11759</v>
      </c>
      <c r="J92" s="229">
        <v>174</v>
      </c>
      <c r="K92" s="229">
        <f t="shared" si="14"/>
        <v>159731</v>
      </c>
      <c r="L92" s="230">
        <v>2975</v>
      </c>
      <c r="M92" s="230">
        <v>34347</v>
      </c>
      <c r="N92" s="230">
        <v>8350</v>
      </c>
      <c r="O92" s="230">
        <v>58681</v>
      </c>
      <c r="P92" s="230">
        <v>2733</v>
      </c>
      <c r="Q92" s="230">
        <v>52645</v>
      </c>
      <c r="T92" s="231"/>
      <c r="V92" s="231"/>
      <c r="X92" s="232"/>
      <c r="Z92" s="233"/>
    </row>
    <row r="93" spans="1:26" ht="12.75" x14ac:dyDescent="0.2">
      <c r="A93" s="226">
        <v>84</v>
      </c>
      <c r="B93" s="227" t="s">
        <v>125</v>
      </c>
      <c r="C93" s="227" t="s">
        <v>485</v>
      </c>
      <c r="D93" s="229">
        <f t="shared" si="12"/>
        <v>101726</v>
      </c>
      <c r="E93" s="229">
        <f t="shared" si="13"/>
        <v>2906</v>
      </c>
      <c r="F93" s="229">
        <v>2906</v>
      </c>
      <c r="G93" s="229">
        <v>0</v>
      </c>
      <c r="H93" s="220">
        <f t="shared" si="11"/>
        <v>11485</v>
      </c>
      <c r="I93" s="229">
        <v>11485</v>
      </c>
      <c r="J93" s="229">
        <v>0</v>
      </c>
      <c r="K93" s="229">
        <f t="shared" si="14"/>
        <v>87335</v>
      </c>
      <c r="L93" s="230">
        <v>2906</v>
      </c>
      <c r="M93" s="230">
        <v>33701</v>
      </c>
      <c r="N93" s="230">
        <v>0</v>
      </c>
      <c r="O93" s="230">
        <v>43587</v>
      </c>
      <c r="P93" s="230">
        <v>0</v>
      </c>
      <c r="Q93" s="230">
        <v>7141</v>
      </c>
      <c r="T93" s="231"/>
      <c r="V93" s="231"/>
      <c r="X93" s="232"/>
      <c r="Z93" s="233"/>
    </row>
    <row r="94" spans="1:26" ht="12.75" x14ac:dyDescent="0.2">
      <c r="A94" s="226">
        <v>85</v>
      </c>
      <c r="B94" s="235" t="s">
        <v>126</v>
      </c>
      <c r="C94" s="227" t="s">
        <v>127</v>
      </c>
      <c r="D94" s="229">
        <f t="shared" si="12"/>
        <v>80019</v>
      </c>
      <c r="E94" s="229">
        <f t="shared" si="13"/>
        <v>2490</v>
      </c>
      <c r="F94" s="229">
        <v>2490</v>
      </c>
      <c r="G94" s="229">
        <v>0</v>
      </c>
      <c r="H94" s="220">
        <f t="shared" si="11"/>
        <v>9844</v>
      </c>
      <c r="I94" s="229">
        <v>9844</v>
      </c>
      <c r="J94" s="229">
        <v>0</v>
      </c>
      <c r="K94" s="229">
        <f t="shared" si="14"/>
        <v>67685</v>
      </c>
      <c r="L94" s="230">
        <v>2491</v>
      </c>
      <c r="M94" s="230">
        <v>22909</v>
      </c>
      <c r="N94" s="230">
        <v>0</v>
      </c>
      <c r="O94" s="230">
        <v>21926</v>
      </c>
      <c r="P94" s="230">
        <v>6009</v>
      </c>
      <c r="Q94" s="230">
        <v>14350</v>
      </c>
      <c r="T94" s="231"/>
      <c r="V94" s="231"/>
      <c r="X94" s="232"/>
      <c r="Z94" s="233"/>
    </row>
    <row r="95" spans="1:26" ht="12.75" x14ac:dyDescent="0.2">
      <c r="A95" s="226">
        <v>86</v>
      </c>
      <c r="B95" s="236" t="s">
        <v>128</v>
      </c>
      <c r="C95" s="236" t="s">
        <v>129</v>
      </c>
      <c r="D95" s="229">
        <f t="shared" si="12"/>
        <v>45891</v>
      </c>
      <c r="E95" s="229">
        <f t="shared" si="13"/>
        <v>1477</v>
      </c>
      <c r="F95" s="229">
        <v>1477</v>
      </c>
      <c r="G95" s="229">
        <v>0</v>
      </c>
      <c r="H95" s="220">
        <f t="shared" si="11"/>
        <v>5840</v>
      </c>
      <c r="I95" s="229">
        <v>5840</v>
      </c>
      <c r="J95" s="229">
        <v>0</v>
      </c>
      <c r="K95" s="229">
        <f t="shared" si="14"/>
        <v>38574</v>
      </c>
      <c r="L95" s="230">
        <v>1478</v>
      </c>
      <c r="M95" s="230">
        <v>13767</v>
      </c>
      <c r="N95" s="230">
        <v>0</v>
      </c>
      <c r="O95" s="230">
        <v>11141</v>
      </c>
      <c r="P95" s="230">
        <v>3588</v>
      </c>
      <c r="Q95" s="230">
        <v>8600</v>
      </c>
      <c r="T95" s="231"/>
      <c r="V95" s="231"/>
      <c r="X95" s="232"/>
      <c r="Z95" s="233"/>
    </row>
    <row r="96" spans="1:26" ht="12.75" x14ac:dyDescent="0.2">
      <c r="A96" s="226">
        <v>87</v>
      </c>
      <c r="B96" s="227" t="s">
        <v>130</v>
      </c>
      <c r="C96" s="227" t="s">
        <v>486</v>
      </c>
      <c r="D96" s="229">
        <f t="shared" si="12"/>
        <v>26878</v>
      </c>
      <c r="E96" s="229">
        <f t="shared" si="13"/>
        <v>657</v>
      </c>
      <c r="F96" s="229">
        <v>657</v>
      </c>
      <c r="G96" s="229">
        <v>0</v>
      </c>
      <c r="H96" s="220">
        <f t="shared" si="11"/>
        <v>2595</v>
      </c>
      <c r="I96" s="229">
        <v>2595</v>
      </c>
      <c r="J96" s="229">
        <v>0</v>
      </c>
      <c r="K96" s="229">
        <f t="shared" si="14"/>
        <v>23626</v>
      </c>
      <c r="L96" s="230">
        <v>657</v>
      </c>
      <c r="M96" s="230">
        <v>9112</v>
      </c>
      <c r="N96" s="230">
        <v>8536</v>
      </c>
      <c r="O96" s="230">
        <v>3169</v>
      </c>
      <c r="P96" s="230">
        <v>0</v>
      </c>
      <c r="Q96" s="230">
        <v>2152</v>
      </c>
      <c r="T96" s="231"/>
      <c r="V96" s="231"/>
      <c r="X96" s="232"/>
      <c r="Z96" s="233"/>
    </row>
    <row r="97" spans="1:26" ht="12.75" x14ac:dyDescent="0.2">
      <c r="A97" s="226">
        <v>88</v>
      </c>
      <c r="B97" s="227" t="s">
        <v>131</v>
      </c>
      <c r="C97" s="227" t="s">
        <v>132</v>
      </c>
      <c r="D97" s="229">
        <f t="shared" si="12"/>
        <v>301477</v>
      </c>
      <c r="E97" s="229">
        <f t="shared" si="13"/>
        <v>8857</v>
      </c>
      <c r="F97" s="229">
        <v>8857</v>
      </c>
      <c r="G97" s="229">
        <v>0</v>
      </c>
      <c r="H97" s="220">
        <f t="shared" si="11"/>
        <v>35023</v>
      </c>
      <c r="I97" s="229">
        <v>35023</v>
      </c>
      <c r="J97" s="229">
        <v>0</v>
      </c>
      <c r="K97" s="229">
        <f t="shared" si="14"/>
        <v>257597</v>
      </c>
      <c r="L97" s="230">
        <v>8861</v>
      </c>
      <c r="M97" s="230">
        <v>82009</v>
      </c>
      <c r="N97" s="230">
        <v>0</v>
      </c>
      <c r="O97" s="230">
        <v>110067</v>
      </c>
      <c r="P97" s="230">
        <v>5097</v>
      </c>
      <c r="Q97" s="230">
        <v>51563</v>
      </c>
      <c r="T97" s="231"/>
      <c r="V97" s="231"/>
      <c r="X97" s="232"/>
      <c r="Z97" s="233"/>
    </row>
    <row r="98" spans="1:26" ht="12.75" x14ac:dyDescent="0.2">
      <c r="A98" s="226">
        <v>89</v>
      </c>
      <c r="B98" s="236" t="s">
        <v>133</v>
      </c>
      <c r="C98" s="236" t="s">
        <v>134</v>
      </c>
      <c r="D98" s="229">
        <f t="shared" si="12"/>
        <v>167193</v>
      </c>
      <c r="E98" s="229">
        <f t="shared" si="13"/>
        <v>33608</v>
      </c>
      <c r="F98" s="229">
        <v>0</v>
      </c>
      <c r="G98" s="229">
        <v>33608</v>
      </c>
      <c r="H98" s="220">
        <f t="shared" si="11"/>
        <v>472</v>
      </c>
      <c r="I98" s="229">
        <v>0</v>
      </c>
      <c r="J98" s="229">
        <v>472</v>
      </c>
      <c r="K98" s="229">
        <f t="shared" si="14"/>
        <v>133113</v>
      </c>
      <c r="L98" s="230">
        <v>0</v>
      </c>
      <c r="M98" s="230">
        <v>26866</v>
      </c>
      <c r="N98" s="230">
        <v>6324</v>
      </c>
      <c r="O98" s="230">
        <v>20244</v>
      </c>
      <c r="P98" s="230">
        <v>0</v>
      </c>
      <c r="Q98" s="230">
        <v>79679</v>
      </c>
      <c r="T98" s="231"/>
      <c r="V98" s="231"/>
      <c r="X98" s="232"/>
      <c r="Z98" s="233"/>
    </row>
    <row r="99" spans="1:26" ht="12.75" x14ac:dyDescent="0.2">
      <c r="A99" s="226">
        <v>90</v>
      </c>
      <c r="B99" s="227" t="s">
        <v>9</v>
      </c>
      <c r="C99" s="227" t="s">
        <v>487</v>
      </c>
      <c r="D99" s="229">
        <f t="shared" si="12"/>
        <v>99099</v>
      </c>
      <c r="E99" s="229">
        <f t="shared" si="13"/>
        <v>2804</v>
      </c>
      <c r="F99" s="229">
        <v>2804</v>
      </c>
      <c r="G99" s="229">
        <v>0</v>
      </c>
      <c r="H99" s="220">
        <f t="shared" si="11"/>
        <v>11084</v>
      </c>
      <c r="I99" s="229">
        <v>11084</v>
      </c>
      <c r="J99" s="229">
        <v>0</v>
      </c>
      <c r="K99" s="229">
        <f t="shared" si="14"/>
        <v>85211</v>
      </c>
      <c r="L99" s="230">
        <v>2804</v>
      </c>
      <c r="M99" s="230">
        <v>30486</v>
      </c>
      <c r="N99" s="230">
        <v>11664</v>
      </c>
      <c r="O99" s="230">
        <v>22062</v>
      </c>
      <c r="P99" s="230">
        <v>229</v>
      </c>
      <c r="Q99" s="230">
        <v>17966</v>
      </c>
      <c r="T99" s="231"/>
      <c r="V99" s="231"/>
      <c r="X99" s="232"/>
      <c r="Z99" s="233"/>
    </row>
    <row r="100" spans="1:26" ht="12.75" x14ac:dyDescent="0.2">
      <c r="A100" s="226">
        <v>91</v>
      </c>
      <c r="B100" s="236" t="s">
        <v>135</v>
      </c>
      <c r="C100" s="236" t="s">
        <v>136</v>
      </c>
      <c r="D100" s="229">
        <f t="shared" si="12"/>
        <v>45277</v>
      </c>
      <c r="E100" s="229">
        <f t="shared" si="13"/>
        <v>0</v>
      </c>
      <c r="F100" s="229">
        <v>0</v>
      </c>
      <c r="G100" s="229">
        <v>0</v>
      </c>
      <c r="H100" s="220">
        <f t="shared" si="11"/>
        <v>0</v>
      </c>
      <c r="I100" s="229">
        <v>0</v>
      </c>
      <c r="J100" s="229">
        <v>0</v>
      </c>
      <c r="K100" s="229">
        <f t="shared" si="14"/>
        <v>45277</v>
      </c>
      <c r="L100" s="230">
        <v>0</v>
      </c>
      <c r="M100" s="230">
        <v>13210</v>
      </c>
      <c r="N100" s="230">
        <v>0</v>
      </c>
      <c r="O100" s="230">
        <v>10116</v>
      </c>
      <c r="P100" s="230">
        <v>0</v>
      </c>
      <c r="Q100" s="230">
        <v>21951</v>
      </c>
      <c r="T100" s="231"/>
      <c r="V100" s="231"/>
      <c r="X100" s="232"/>
      <c r="Z100" s="233"/>
    </row>
    <row r="101" spans="1:26" x14ac:dyDescent="0.2">
      <c r="A101" s="226">
        <v>92</v>
      </c>
      <c r="B101" s="246" t="s">
        <v>488</v>
      </c>
      <c r="C101" s="238" t="s">
        <v>489</v>
      </c>
      <c r="D101" s="229">
        <f t="shared" si="12"/>
        <v>0</v>
      </c>
      <c r="E101" s="229">
        <f t="shared" si="13"/>
        <v>0</v>
      </c>
      <c r="F101" s="229">
        <v>0</v>
      </c>
      <c r="G101" s="229">
        <v>0</v>
      </c>
      <c r="H101" s="220">
        <f t="shared" si="11"/>
        <v>0</v>
      </c>
      <c r="I101" s="229">
        <v>0</v>
      </c>
      <c r="J101" s="229">
        <v>0</v>
      </c>
      <c r="K101" s="229">
        <f t="shared" si="14"/>
        <v>0</v>
      </c>
      <c r="L101" s="230">
        <v>0</v>
      </c>
      <c r="M101" s="230">
        <v>0</v>
      </c>
      <c r="N101" s="230">
        <v>0</v>
      </c>
      <c r="O101" s="230">
        <v>0</v>
      </c>
      <c r="P101" s="230">
        <v>0</v>
      </c>
      <c r="Q101" s="230">
        <v>0</v>
      </c>
      <c r="T101" s="231"/>
      <c r="V101" s="231"/>
      <c r="X101" s="232"/>
      <c r="Z101" s="233"/>
    </row>
    <row r="102" spans="1:26" ht="25.5" x14ac:dyDescent="0.2">
      <c r="A102" s="226">
        <v>93</v>
      </c>
      <c r="B102" s="235" t="s">
        <v>137</v>
      </c>
      <c r="C102" s="227" t="s">
        <v>138</v>
      </c>
      <c r="D102" s="229">
        <f t="shared" si="12"/>
        <v>35398</v>
      </c>
      <c r="E102" s="229">
        <f t="shared" si="13"/>
        <v>456</v>
      </c>
      <c r="F102" s="229">
        <v>456</v>
      </c>
      <c r="G102" s="229">
        <v>0</v>
      </c>
      <c r="H102" s="220">
        <f t="shared" si="11"/>
        <v>1804</v>
      </c>
      <c r="I102" s="229">
        <v>1804</v>
      </c>
      <c r="J102" s="229">
        <v>0</v>
      </c>
      <c r="K102" s="229">
        <f t="shared" si="14"/>
        <v>33138</v>
      </c>
      <c r="L102" s="230">
        <v>456</v>
      </c>
      <c r="M102" s="230">
        <v>500</v>
      </c>
      <c r="N102" s="230">
        <v>0</v>
      </c>
      <c r="O102" s="230">
        <v>30747</v>
      </c>
      <c r="P102" s="230">
        <v>0</v>
      </c>
      <c r="Q102" s="230">
        <v>1435</v>
      </c>
      <c r="T102" s="231"/>
      <c r="V102" s="231"/>
      <c r="X102" s="232"/>
      <c r="Z102" s="233"/>
    </row>
    <row r="103" spans="1:26" ht="25.5" x14ac:dyDescent="0.2">
      <c r="A103" s="226">
        <v>94</v>
      </c>
      <c r="B103" s="227" t="s">
        <v>369</v>
      </c>
      <c r="C103" s="228" t="s">
        <v>490</v>
      </c>
      <c r="D103" s="229">
        <f t="shared" si="12"/>
        <v>8400</v>
      </c>
      <c r="E103" s="229">
        <f t="shared" si="13"/>
        <v>0</v>
      </c>
      <c r="F103" s="229">
        <v>0</v>
      </c>
      <c r="G103" s="229">
        <v>0</v>
      </c>
      <c r="H103" s="220">
        <f t="shared" si="11"/>
        <v>0</v>
      </c>
      <c r="I103" s="229">
        <v>0</v>
      </c>
      <c r="J103" s="229">
        <v>0</v>
      </c>
      <c r="K103" s="229">
        <f t="shared" si="14"/>
        <v>8400</v>
      </c>
      <c r="L103" s="230">
        <v>0</v>
      </c>
      <c r="M103" s="230">
        <v>0</v>
      </c>
      <c r="N103" s="230">
        <v>0</v>
      </c>
      <c r="O103" s="230">
        <v>8400</v>
      </c>
      <c r="P103" s="230">
        <v>0</v>
      </c>
      <c r="Q103" s="230">
        <v>0</v>
      </c>
      <c r="T103" s="231"/>
      <c r="V103" s="231"/>
      <c r="X103" s="232"/>
      <c r="Z103" s="233"/>
    </row>
    <row r="104" spans="1:26" ht="12.75" x14ac:dyDescent="0.2">
      <c r="A104" s="226">
        <v>95</v>
      </c>
      <c r="B104" s="227" t="s">
        <v>139</v>
      </c>
      <c r="C104" s="236" t="s">
        <v>140</v>
      </c>
      <c r="D104" s="229">
        <f t="shared" si="12"/>
        <v>18300</v>
      </c>
      <c r="E104" s="229">
        <f t="shared" si="13"/>
        <v>387</v>
      </c>
      <c r="F104" s="229">
        <v>387</v>
      </c>
      <c r="G104" s="229">
        <v>0</v>
      </c>
      <c r="H104" s="220">
        <f t="shared" si="11"/>
        <v>1530</v>
      </c>
      <c r="I104" s="229">
        <v>1530</v>
      </c>
      <c r="J104" s="229">
        <v>0</v>
      </c>
      <c r="K104" s="229">
        <f t="shared" si="14"/>
        <v>16383</v>
      </c>
      <c r="L104" s="230">
        <v>387</v>
      </c>
      <c r="M104" s="230">
        <v>3857</v>
      </c>
      <c r="N104" s="230">
        <v>0</v>
      </c>
      <c r="O104" s="230">
        <v>8786</v>
      </c>
      <c r="P104" s="230">
        <v>0</v>
      </c>
      <c r="Q104" s="230">
        <v>3353</v>
      </c>
      <c r="T104" s="231"/>
      <c r="V104" s="231"/>
      <c r="X104" s="232"/>
      <c r="Z104" s="233"/>
    </row>
    <row r="105" spans="1:26" ht="12.75" x14ac:dyDescent="0.2">
      <c r="A105" s="226">
        <v>96</v>
      </c>
      <c r="B105" s="235" t="s">
        <v>141</v>
      </c>
      <c r="C105" s="227" t="s">
        <v>142</v>
      </c>
      <c r="D105" s="229">
        <f t="shared" si="12"/>
        <v>45768</v>
      </c>
      <c r="E105" s="229">
        <f t="shared" si="13"/>
        <v>1368</v>
      </c>
      <c r="F105" s="229">
        <v>1368</v>
      </c>
      <c r="G105" s="229">
        <v>0</v>
      </c>
      <c r="H105" s="220">
        <f t="shared" si="11"/>
        <v>5407</v>
      </c>
      <c r="I105" s="229">
        <v>5407</v>
      </c>
      <c r="J105" s="229">
        <v>0</v>
      </c>
      <c r="K105" s="229">
        <f t="shared" si="14"/>
        <v>38993</v>
      </c>
      <c r="L105" s="230">
        <v>1368</v>
      </c>
      <c r="M105" s="230">
        <v>8058</v>
      </c>
      <c r="N105" s="230">
        <v>0</v>
      </c>
      <c r="O105" s="230">
        <v>19635</v>
      </c>
      <c r="P105" s="230">
        <v>88</v>
      </c>
      <c r="Q105" s="230">
        <v>9844</v>
      </c>
      <c r="T105" s="231"/>
      <c r="V105" s="231"/>
      <c r="X105" s="232"/>
      <c r="Z105" s="233"/>
    </row>
    <row r="106" spans="1:26" ht="12.75" x14ac:dyDescent="0.2">
      <c r="A106" s="226">
        <v>97</v>
      </c>
      <c r="B106" s="227" t="s">
        <v>143</v>
      </c>
      <c r="C106" s="247" t="s">
        <v>144</v>
      </c>
      <c r="D106" s="229">
        <f t="shared" si="12"/>
        <v>42668</v>
      </c>
      <c r="E106" s="229">
        <f t="shared" si="13"/>
        <v>4329</v>
      </c>
      <c r="F106" s="229">
        <v>797</v>
      </c>
      <c r="G106" s="229">
        <v>3532</v>
      </c>
      <c r="H106" s="220">
        <f t="shared" si="11"/>
        <v>3226</v>
      </c>
      <c r="I106" s="229">
        <v>3150</v>
      </c>
      <c r="J106" s="229">
        <v>76</v>
      </c>
      <c r="K106" s="229">
        <f t="shared" si="14"/>
        <v>35113</v>
      </c>
      <c r="L106" s="230">
        <v>797</v>
      </c>
      <c r="M106" s="230">
        <v>16636</v>
      </c>
      <c r="N106" s="230">
        <v>0</v>
      </c>
      <c r="O106" s="230">
        <v>9635</v>
      </c>
      <c r="P106" s="230">
        <v>1437</v>
      </c>
      <c r="Q106" s="230">
        <v>6608</v>
      </c>
      <c r="T106" s="231"/>
      <c r="V106" s="231"/>
      <c r="X106" s="232"/>
      <c r="Z106" s="233"/>
    </row>
    <row r="107" spans="1:26" ht="12.75" x14ac:dyDescent="0.2">
      <c r="A107" s="226">
        <v>98</v>
      </c>
      <c r="B107" s="235" t="s">
        <v>145</v>
      </c>
      <c r="C107" s="227" t="s">
        <v>146</v>
      </c>
      <c r="D107" s="229">
        <f t="shared" si="12"/>
        <v>44830</v>
      </c>
      <c r="E107" s="229">
        <f t="shared" si="13"/>
        <v>4888</v>
      </c>
      <c r="F107" s="229">
        <v>811</v>
      </c>
      <c r="G107" s="229">
        <v>4077</v>
      </c>
      <c r="H107" s="220">
        <f t="shared" si="11"/>
        <v>3222</v>
      </c>
      <c r="I107" s="229">
        <v>3206</v>
      </c>
      <c r="J107" s="229">
        <v>16</v>
      </c>
      <c r="K107" s="229">
        <f t="shared" si="14"/>
        <v>36720</v>
      </c>
      <c r="L107" s="230">
        <v>811</v>
      </c>
      <c r="M107" s="230">
        <v>5000</v>
      </c>
      <c r="N107" s="230">
        <v>0</v>
      </c>
      <c r="O107" s="230">
        <v>14522</v>
      </c>
      <c r="P107" s="230">
        <v>3854</v>
      </c>
      <c r="Q107" s="230">
        <v>12533</v>
      </c>
      <c r="T107" s="231"/>
      <c r="V107" s="231"/>
      <c r="X107" s="232"/>
      <c r="Z107" s="233"/>
    </row>
    <row r="108" spans="1:26" ht="12.75" x14ac:dyDescent="0.2">
      <c r="A108" s="226">
        <v>99</v>
      </c>
      <c r="B108" s="235" t="s">
        <v>147</v>
      </c>
      <c r="C108" s="227" t="s">
        <v>148</v>
      </c>
      <c r="D108" s="229">
        <f t="shared" si="12"/>
        <v>121345</v>
      </c>
      <c r="E108" s="229">
        <f t="shared" si="13"/>
        <v>13437</v>
      </c>
      <c r="F108" s="229">
        <v>2155</v>
      </c>
      <c r="G108" s="229">
        <v>11282</v>
      </c>
      <c r="H108" s="220">
        <f t="shared" si="11"/>
        <v>8698</v>
      </c>
      <c r="I108" s="229">
        <v>8518</v>
      </c>
      <c r="J108" s="229">
        <v>180</v>
      </c>
      <c r="K108" s="229">
        <f t="shared" si="14"/>
        <v>99210</v>
      </c>
      <c r="L108" s="230">
        <v>2155</v>
      </c>
      <c r="M108" s="230">
        <v>14500</v>
      </c>
      <c r="N108" s="230">
        <v>0</v>
      </c>
      <c r="O108" s="230">
        <v>52646</v>
      </c>
      <c r="P108" s="230">
        <v>3024</v>
      </c>
      <c r="Q108" s="230">
        <v>26885</v>
      </c>
      <c r="T108" s="231"/>
      <c r="V108" s="231"/>
      <c r="X108" s="232"/>
      <c r="Z108" s="233"/>
    </row>
    <row r="109" spans="1:26" ht="12.75" x14ac:dyDescent="0.2">
      <c r="A109" s="226">
        <v>100</v>
      </c>
      <c r="B109" s="227" t="s">
        <v>149</v>
      </c>
      <c r="C109" s="236" t="s">
        <v>150</v>
      </c>
      <c r="D109" s="229">
        <f t="shared" si="12"/>
        <v>53286</v>
      </c>
      <c r="E109" s="229">
        <f t="shared" si="13"/>
        <v>5553</v>
      </c>
      <c r="F109" s="229">
        <v>978</v>
      </c>
      <c r="G109" s="229">
        <v>4575</v>
      </c>
      <c r="H109" s="220">
        <f t="shared" si="11"/>
        <v>3908</v>
      </c>
      <c r="I109" s="229">
        <v>3867</v>
      </c>
      <c r="J109" s="229">
        <v>41</v>
      </c>
      <c r="K109" s="229">
        <f t="shared" si="14"/>
        <v>43825</v>
      </c>
      <c r="L109" s="230">
        <v>978</v>
      </c>
      <c r="M109" s="230">
        <v>10000</v>
      </c>
      <c r="N109" s="230">
        <v>0</v>
      </c>
      <c r="O109" s="230">
        <v>21074</v>
      </c>
      <c r="P109" s="230">
        <v>1574</v>
      </c>
      <c r="Q109" s="230">
        <v>10199</v>
      </c>
      <c r="T109" s="231"/>
      <c r="V109" s="231"/>
      <c r="X109" s="232"/>
      <c r="Z109" s="233"/>
    </row>
    <row r="110" spans="1:26" ht="12.75" x14ac:dyDescent="0.2">
      <c r="A110" s="226">
        <v>101</v>
      </c>
      <c r="B110" s="227" t="s">
        <v>151</v>
      </c>
      <c r="C110" s="228" t="s">
        <v>152</v>
      </c>
      <c r="D110" s="229">
        <f t="shared" si="12"/>
        <v>65799</v>
      </c>
      <c r="E110" s="229">
        <f t="shared" si="13"/>
        <v>5870</v>
      </c>
      <c r="F110" s="229">
        <v>1280</v>
      </c>
      <c r="G110" s="229">
        <v>4590</v>
      </c>
      <c r="H110" s="220">
        <f t="shared" si="11"/>
        <v>5128</v>
      </c>
      <c r="I110" s="229">
        <v>5061</v>
      </c>
      <c r="J110" s="229">
        <v>67</v>
      </c>
      <c r="K110" s="229">
        <f t="shared" si="14"/>
        <v>54801</v>
      </c>
      <c r="L110" s="230">
        <v>1280</v>
      </c>
      <c r="M110" s="230">
        <v>17607</v>
      </c>
      <c r="N110" s="230">
        <v>0</v>
      </c>
      <c r="O110" s="230">
        <v>21209</v>
      </c>
      <c r="P110" s="230">
        <v>2094</v>
      </c>
      <c r="Q110" s="230">
        <v>12611</v>
      </c>
      <c r="T110" s="231"/>
      <c r="V110" s="231"/>
      <c r="X110" s="232"/>
      <c r="Z110" s="233"/>
    </row>
    <row r="111" spans="1:26" ht="12.75" x14ac:dyDescent="0.2">
      <c r="A111" s="226">
        <v>102</v>
      </c>
      <c r="B111" s="227" t="s">
        <v>153</v>
      </c>
      <c r="C111" s="228" t="s">
        <v>154</v>
      </c>
      <c r="D111" s="229">
        <f t="shared" si="12"/>
        <v>132557</v>
      </c>
      <c r="E111" s="229">
        <f t="shared" si="13"/>
        <v>16059</v>
      </c>
      <c r="F111" s="229">
        <v>2321</v>
      </c>
      <c r="G111" s="229">
        <v>13738</v>
      </c>
      <c r="H111" s="220">
        <f t="shared" si="11"/>
        <v>9428</v>
      </c>
      <c r="I111" s="229">
        <v>9173</v>
      </c>
      <c r="J111" s="229">
        <v>255</v>
      </c>
      <c r="K111" s="229">
        <f t="shared" si="14"/>
        <v>107070</v>
      </c>
      <c r="L111" s="230">
        <v>2321</v>
      </c>
      <c r="M111" s="230">
        <v>33616</v>
      </c>
      <c r="N111" s="230">
        <v>0</v>
      </c>
      <c r="O111" s="230">
        <v>33667</v>
      </c>
      <c r="P111" s="230">
        <v>6099</v>
      </c>
      <c r="Q111" s="230">
        <v>31367</v>
      </c>
      <c r="T111" s="231"/>
      <c r="V111" s="231"/>
      <c r="X111" s="232"/>
      <c r="Z111" s="233"/>
    </row>
    <row r="112" spans="1:26" ht="12.75" x14ac:dyDescent="0.2">
      <c r="A112" s="226">
        <v>103</v>
      </c>
      <c r="B112" s="227" t="s">
        <v>155</v>
      </c>
      <c r="C112" s="228" t="s">
        <v>156</v>
      </c>
      <c r="D112" s="229">
        <f t="shared" si="12"/>
        <v>112632</v>
      </c>
      <c r="E112" s="229">
        <f t="shared" si="13"/>
        <v>12111</v>
      </c>
      <c r="F112" s="229">
        <v>2064</v>
      </c>
      <c r="G112" s="229">
        <v>10047</v>
      </c>
      <c r="H112" s="220">
        <f t="shared" si="11"/>
        <v>8279</v>
      </c>
      <c r="I112" s="229">
        <v>8158</v>
      </c>
      <c r="J112" s="229">
        <v>121</v>
      </c>
      <c r="K112" s="229">
        <f t="shared" si="14"/>
        <v>92242</v>
      </c>
      <c r="L112" s="230">
        <v>2064</v>
      </c>
      <c r="M112" s="230">
        <v>19643</v>
      </c>
      <c r="N112" s="230">
        <v>0</v>
      </c>
      <c r="O112" s="230">
        <v>28154</v>
      </c>
      <c r="P112" s="230">
        <v>9045</v>
      </c>
      <c r="Q112" s="230">
        <v>33336</v>
      </c>
      <c r="T112" s="231"/>
      <c r="V112" s="231"/>
      <c r="X112" s="232"/>
      <c r="Z112" s="233"/>
    </row>
    <row r="113" spans="1:26" ht="12.75" x14ac:dyDescent="0.2">
      <c r="A113" s="226">
        <v>104</v>
      </c>
      <c r="B113" s="235" t="s">
        <v>157</v>
      </c>
      <c r="C113" s="227" t="s">
        <v>158</v>
      </c>
      <c r="D113" s="229">
        <f t="shared" si="12"/>
        <v>40196</v>
      </c>
      <c r="E113" s="229">
        <f t="shared" si="13"/>
        <v>4268</v>
      </c>
      <c r="F113" s="229">
        <v>729</v>
      </c>
      <c r="G113" s="229">
        <v>3539</v>
      </c>
      <c r="H113" s="220">
        <f t="shared" si="11"/>
        <v>2926</v>
      </c>
      <c r="I113" s="229">
        <v>2881</v>
      </c>
      <c r="J113" s="229">
        <v>45</v>
      </c>
      <c r="K113" s="229">
        <f t="shared" si="14"/>
        <v>33002</v>
      </c>
      <c r="L113" s="230">
        <v>729</v>
      </c>
      <c r="M113" s="230">
        <v>4984</v>
      </c>
      <c r="N113" s="230">
        <v>0</v>
      </c>
      <c r="O113" s="230">
        <v>13849</v>
      </c>
      <c r="P113" s="230">
        <v>1752</v>
      </c>
      <c r="Q113" s="230">
        <v>11688</v>
      </c>
      <c r="T113" s="231"/>
      <c r="V113" s="231"/>
      <c r="X113" s="232"/>
      <c r="Z113" s="233"/>
    </row>
    <row r="114" spans="1:26" ht="12.75" x14ac:dyDescent="0.2">
      <c r="A114" s="226">
        <v>105</v>
      </c>
      <c r="B114" s="236" t="s">
        <v>159</v>
      </c>
      <c r="C114" s="236" t="s">
        <v>160</v>
      </c>
      <c r="D114" s="229">
        <f t="shared" si="12"/>
        <v>61676</v>
      </c>
      <c r="E114" s="229">
        <f t="shared" si="13"/>
        <v>6187</v>
      </c>
      <c r="F114" s="229">
        <v>1167</v>
      </c>
      <c r="G114" s="229">
        <v>5020</v>
      </c>
      <c r="H114" s="220">
        <f t="shared" si="11"/>
        <v>4673</v>
      </c>
      <c r="I114" s="229">
        <v>4614</v>
      </c>
      <c r="J114" s="229">
        <v>59</v>
      </c>
      <c r="K114" s="229">
        <f t="shared" si="14"/>
        <v>50816</v>
      </c>
      <c r="L114" s="230">
        <v>1167</v>
      </c>
      <c r="M114" s="230">
        <v>20000</v>
      </c>
      <c r="N114" s="230">
        <v>0</v>
      </c>
      <c r="O114" s="230">
        <v>11221</v>
      </c>
      <c r="P114" s="230">
        <v>4188</v>
      </c>
      <c r="Q114" s="230">
        <v>14240</v>
      </c>
      <c r="T114" s="231"/>
      <c r="V114" s="231"/>
      <c r="X114" s="232"/>
      <c r="Z114" s="233"/>
    </row>
    <row r="115" spans="1:26" ht="12.75" x14ac:dyDescent="0.2">
      <c r="A115" s="226">
        <v>106</v>
      </c>
      <c r="B115" s="227" t="s">
        <v>161</v>
      </c>
      <c r="C115" s="228" t="s">
        <v>162</v>
      </c>
      <c r="D115" s="229">
        <f t="shared" si="12"/>
        <v>61889</v>
      </c>
      <c r="E115" s="229">
        <f t="shared" si="13"/>
        <v>6708</v>
      </c>
      <c r="F115" s="229">
        <v>1100</v>
      </c>
      <c r="G115" s="229">
        <v>5608</v>
      </c>
      <c r="H115" s="220">
        <f t="shared" si="11"/>
        <v>4437</v>
      </c>
      <c r="I115" s="229">
        <v>4347</v>
      </c>
      <c r="J115" s="229">
        <v>90</v>
      </c>
      <c r="K115" s="229">
        <f t="shared" si="14"/>
        <v>50744</v>
      </c>
      <c r="L115" s="230">
        <v>1100</v>
      </c>
      <c r="M115" s="230">
        <v>13948</v>
      </c>
      <c r="N115" s="230">
        <v>0</v>
      </c>
      <c r="O115" s="230">
        <v>17982</v>
      </c>
      <c r="P115" s="230">
        <v>3999</v>
      </c>
      <c r="Q115" s="230">
        <v>13715</v>
      </c>
      <c r="T115" s="231"/>
      <c r="V115" s="231"/>
      <c r="X115" s="232"/>
      <c r="Z115" s="233"/>
    </row>
    <row r="116" spans="1:26" ht="12.75" x14ac:dyDescent="0.2">
      <c r="A116" s="226">
        <v>107</v>
      </c>
      <c r="B116" s="227" t="s">
        <v>163</v>
      </c>
      <c r="C116" s="228" t="s">
        <v>164</v>
      </c>
      <c r="D116" s="229">
        <f t="shared" si="12"/>
        <v>78272</v>
      </c>
      <c r="E116" s="229">
        <f t="shared" si="13"/>
        <v>8104</v>
      </c>
      <c r="F116" s="229">
        <v>1239</v>
      </c>
      <c r="G116" s="229">
        <v>6865</v>
      </c>
      <c r="H116" s="220">
        <f t="shared" si="11"/>
        <v>4938</v>
      </c>
      <c r="I116" s="229">
        <v>4896</v>
      </c>
      <c r="J116" s="229">
        <v>42</v>
      </c>
      <c r="K116" s="229">
        <f t="shared" si="14"/>
        <v>65230</v>
      </c>
      <c r="L116" s="230">
        <v>1239</v>
      </c>
      <c r="M116" s="230">
        <v>15360</v>
      </c>
      <c r="N116" s="230">
        <v>6335</v>
      </c>
      <c r="O116" s="230">
        <v>19592</v>
      </c>
      <c r="P116" s="230">
        <v>7716</v>
      </c>
      <c r="Q116" s="230">
        <v>14988</v>
      </c>
      <c r="T116" s="231"/>
      <c r="V116" s="231"/>
      <c r="X116" s="232"/>
      <c r="Z116" s="233"/>
    </row>
    <row r="117" spans="1:26" ht="12.75" x14ac:dyDescent="0.2">
      <c r="A117" s="226">
        <v>108</v>
      </c>
      <c r="B117" s="235" t="s">
        <v>165</v>
      </c>
      <c r="C117" s="227" t="s">
        <v>166</v>
      </c>
      <c r="D117" s="229">
        <f t="shared" si="12"/>
        <v>46006</v>
      </c>
      <c r="E117" s="229">
        <f t="shared" si="13"/>
        <v>4967</v>
      </c>
      <c r="F117" s="229">
        <v>841</v>
      </c>
      <c r="G117" s="229">
        <v>4126</v>
      </c>
      <c r="H117" s="220">
        <f t="shared" si="11"/>
        <v>3437</v>
      </c>
      <c r="I117" s="229">
        <v>3326</v>
      </c>
      <c r="J117" s="229">
        <v>111</v>
      </c>
      <c r="K117" s="229">
        <f t="shared" si="14"/>
        <v>37602</v>
      </c>
      <c r="L117" s="230">
        <v>841</v>
      </c>
      <c r="M117" s="230">
        <v>10915</v>
      </c>
      <c r="N117" s="230">
        <v>0</v>
      </c>
      <c r="O117" s="230">
        <v>13503</v>
      </c>
      <c r="P117" s="230">
        <v>1255</v>
      </c>
      <c r="Q117" s="230">
        <v>11088</v>
      </c>
      <c r="T117" s="231"/>
      <c r="V117" s="231"/>
      <c r="X117" s="232"/>
      <c r="Z117" s="233"/>
    </row>
    <row r="118" spans="1:26" ht="12.75" x14ac:dyDescent="0.2">
      <c r="A118" s="226">
        <v>109</v>
      </c>
      <c r="B118" s="235" t="s">
        <v>167</v>
      </c>
      <c r="C118" s="227" t="s">
        <v>168</v>
      </c>
      <c r="D118" s="229">
        <f t="shared" si="12"/>
        <v>68499</v>
      </c>
      <c r="E118" s="229">
        <f t="shared" si="13"/>
        <v>6672</v>
      </c>
      <c r="F118" s="229">
        <v>1304</v>
      </c>
      <c r="G118" s="229">
        <v>5368</v>
      </c>
      <c r="H118" s="220">
        <f t="shared" si="11"/>
        <v>5208</v>
      </c>
      <c r="I118" s="229">
        <v>5154</v>
      </c>
      <c r="J118" s="229">
        <v>54</v>
      </c>
      <c r="K118" s="229">
        <f t="shared" si="14"/>
        <v>56619</v>
      </c>
      <c r="L118" s="230">
        <v>1304</v>
      </c>
      <c r="M118" s="230">
        <v>26488</v>
      </c>
      <c r="N118" s="230">
        <v>0</v>
      </c>
      <c r="O118" s="230">
        <v>14765</v>
      </c>
      <c r="P118" s="230">
        <v>5478</v>
      </c>
      <c r="Q118" s="230">
        <v>8584</v>
      </c>
      <c r="T118" s="231"/>
      <c r="V118" s="231"/>
      <c r="X118" s="232"/>
      <c r="Z118" s="233"/>
    </row>
    <row r="119" spans="1:26" ht="12.75" x14ac:dyDescent="0.2">
      <c r="A119" s="226">
        <v>110</v>
      </c>
      <c r="B119" s="227" t="s">
        <v>169</v>
      </c>
      <c r="C119" s="228" t="s">
        <v>170</v>
      </c>
      <c r="D119" s="229">
        <f t="shared" si="12"/>
        <v>115005</v>
      </c>
      <c r="E119" s="229">
        <f t="shared" si="13"/>
        <v>11795</v>
      </c>
      <c r="F119" s="229">
        <v>2185</v>
      </c>
      <c r="G119" s="229">
        <v>9610</v>
      </c>
      <c r="H119" s="220">
        <f t="shared" si="11"/>
        <v>8719</v>
      </c>
      <c r="I119" s="229">
        <v>8635</v>
      </c>
      <c r="J119" s="229">
        <v>84</v>
      </c>
      <c r="K119" s="229">
        <f t="shared" si="14"/>
        <v>94491</v>
      </c>
      <c r="L119" s="230">
        <v>2185</v>
      </c>
      <c r="M119" s="230">
        <v>59000</v>
      </c>
      <c r="N119" s="230">
        <v>0</v>
      </c>
      <c r="O119" s="230">
        <v>13869</v>
      </c>
      <c r="P119" s="230">
        <v>2747</v>
      </c>
      <c r="Q119" s="230">
        <v>16690</v>
      </c>
      <c r="T119" s="231"/>
      <c r="V119" s="231"/>
      <c r="X119" s="232"/>
      <c r="Z119" s="233"/>
    </row>
    <row r="120" spans="1:26" ht="12.75" x14ac:dyDescent="0.2">
      <c r="A120" s="226">
        <v>111</v>
      </c>
      <c r="B120" s="227" t="s">
        <v>171</v>
      </c>
      <c r="C120" s="228" t="s">
        <v>491</v>
      </c>
      <c r="D120" s="229">
        <f t="shared" si="12"/>
        <v>53509</v>
      </c>
      <c r="E120" s="229">
        <f t="shared" si="13"/>
        <v>5302</v>
      </c>
      <c r="F120" s="229">
        <v>1008</v>
      </c>
      <c r="G120" s="229">
        <v>4294</v>
      </c>
      <c r="H120" s="220">
        <f t="shared" si="11"/>
        <v>4105</v>
      </c>
      <c r="I120" s="229">
        <v>3985</v>
      </c>
      <c r="J120" s="229">
        <v>120</v>
      </c>
      <c r="K120" s="229">
        <f t="shared" si="14"/>
        <v>44102</v>
      </c>
      <c r="L120" s="230">
        <v>1008</v>
      </c>
      <c r="M120" s="230">
        <v>12508</v>
      </c>
      <c r="N120" s="230">
        <v>0</v>
      </c>
      <c r="O120" s="230">
        <v>14846</v>
      </c>
      <c r="P120" s="230">
        <v>4487</v>
      </c>
      <c r="Q120" s="230">
        <v>11253</v>
      </c>
      <c r="T120" s="231"/>
      <c r="V120" s="231"/>
      <c r="X120" s="232"/>
      <c r="Z120" s="233"/>
    </row>
    <row r="121" spans="1:26" ht="12.75" x14ac:dyDescent="0.2">
      <c r="A121" s="226">
        <v>112</v>
      </c>
      <c r="B121" s="227" t="s">
        <v>373</v>
      </c>
      <c r="C121" s="227" t="s">
        <v>492</v>
      </c>
      <c r="D121" s="229">
        <f t="shared" si="12"/>
        <v>5760</v>
      </c>
      <c r="E121" s="229">
        <f t="shared" si="13"/>
        <v>0</v>
      </c>
      <c r="F121" s="229">
        <v>0</v>
      </c>
      <c r="G121" s="229">
        <v>0</v>
      </c>
      <c r="H121" s="220">
        <f t="shared" si="11"/>
        <v>0</v>
      </c>
      <c r="I121" s="229">
        <v>0</v>
      </c>
      <c r="J121" s="229">
        <v>0</v>
      </c>
      <c r="K121" s="229">
        <f t="shared" si="14"/>
        <v>5760</v>
      </c>
      <c r="L121" s="230">
        <v>0</v>
      </c>
      <c r="M121" s="230">
        <v>576</v>
      </c>
      <c r="N121" s="230">
        <v>0</v>
      </c>
      <c r="O121" s="230">
        <v>5184</v>
      </c>
      <c r="P121" s="230">
        <v>0</v>
      </c>
      <c r="Q121" s="230">
        <v>0</v>
      </c>
      <c r="T121" s="231"/>
      <c r="V121" s="231"/>
      <c r="X121" s="232"/>
      <c r="Z121" s="233"/>
    </row>
    <row r="122" spans="1:26" x14ac:dyDescent="0.2">
      <c r="A122" s="226">
        <v>113</v>
      </c>
      <c r="B122" s="237" t="s">
        <v>493</v>
      </c>
      <c r="C122" s="234" t="s">
        <v>494</v>
      </c>
      <c r="D122" s="229">
        <f t="shared" si="12"/>
        <v>0</v>
      </c>
      <c r="E122" s="229">
        <f t="shared" si="13"/>
        <v>0</v>
      </c>
      <c r="F122" s="229">
        <v>0</v>
      </c>
      <c r="G122" s="229">
        <v>0</v>
      </c>
      <c r="H122" s="220">
        <f t="shared" si="11"/>
        <v>0</v>
      </c>
      <c r="I122" s="229">
        <v>0</v>
      </c>
      <c r="J122" s="229">
        <v>0</v>
      </c>
      <c r="K122" s="229">
        <f t="shared" si="14"/>
        <v>0</v>
      </c>
      <c r="L122" s="230">
        <v>0</v>
      </c>
      <c r="M122" s="230">
        <v>0</v>
      </c>
      <c r="N122" s="230">
        <v>0</v>
      </c>
      <c r="O122" s="230">
        <v>0</v>
      </c>
      <c r="P122" s="230">
        <v>0</v>
      </c>
      <c r="Q122" s="230">
        <v>0</v>
      </c>
      <c r="T122" s="231"/>
      <c r="V122" s="231"/>
      <c r="X122" s="232"/>
      <c r="Z122" s="233"/>
    </row>
    <row r="123" spans="1:26" ht="12.75" x14ac:dyDescent="0.2">
      <c r="A123" s="226">
        <v>114</v>
      </c>
      <c r="B123" s="235" t="s">
        <v>375</v>
      </c>
      <c r="C123" s="227" t="s">
        <v>495</v>
      </c>
      <c r="D123" s="229">
        <f t="shared" si="12"/>
        <v>1400</v>
      </c>
      <c r="E123" s="229">
        <f t="shared" si="13"/>
        <v>0</v>
      </c>
      <c r="F123" s="229">
        <v>0</v>
      </c>
      <c r="G123" s="229">
        <v>0</v>
      </c>
      <c r="H123" s="220">
        <f t="shared" si="11"/>
        <v>0</v>
      </c>
      <c r="I123" s="229">
        <v>0</v>
      </c>
      <c r="J123" s="229">
        <v>0</v>
      </c>
      <c r="K123" s="229">
        <f t="shared" si="14"/>
        <v>1400</v>
      </c>
      <c r="L123" s="230">
        <v>0</v>
      </c>
      <c r="M123" s="230">
        <v>140</v>
      </c>
      <c r="N123" s="230">
        <v>0</v>
      </c>
      <c r="O123" s="230">
        <v>1260</v>
      </c>
      <c r="P123" s="230">
        <v>0</v>
      </c>
      <c r="Q123" s="230">
        <v>0</v>
      </c>
      <c r="T123" s="231"/>
      <c r="V123" s="231"/>
      <c r="X123" s="232"/>
      <c r="Z123" s="233"/>
    </row>
    <row r="124" spans="1:26" ht="12.75" x14ac:dyDescent="0.2">
      <c r="A124" s="226">
        <v>115</v>
      </c>
      <c r="B124" s="235" t="s">
        <v>377</v>
      </c>
      <c r="C124" s="227" t="s">
        <v>496</v>
      </c>
      <c r="D124" s="229">
        <f t="shared" si="12"/>
        <v>19</v>
      </c>
      <c r="E124" s="229">
        <f t="shared" si="13"/>
        <v>0</v>
      </c>
      <c r="F124" s="229">
        <v>0</v>
      </c>
      <c r="G124" s="229">
        <v>0</v>
      </c>
      <c r="H124" s="220">
        <f t="shared" si="11"/>
        <v>0</v>
      </c>
      <c r="I124" s="229">
        <v>0</v>
      </c>
      <c r="J124" s="229">
        <v>0</v>
      </c>
      <c r="K124" s="229">
        <f t="shared" si="14"/>
        <v>19</v>
      </c>
      <c r="L124" s="230">
        <v>0</v>
      </c>
      <c r="M124" s="230">
        <v>0</v>
      </c>
      <c r="N124" s="230">
        <v>0</v>
      </c>
      <c r="O124" s="230">
        <v>19</v>
      </c>
      <c r="P124" s="230">
        <v>0</v>
      </c>
      <c r="Q124" s="230">
        <v>0</v>
      </c>
      <c r="T124" s="231"/>
      <c r="V124" s="231"/>
      <c r="X124" s="232"/>
      <c r="Z124" s="233"/>
    </row>
    <row r="125" spans="1:26" x14ac:dyDescent="0.2">
      <c r="A125" s="226">
        <v>116</v>
      </c>
      <c r="B125" s="248" t="s">
        <v>497</v>
      </c>
      <c r="C125" s="238" t="s">
        <v>498</v>
      </c>
      <c r="D125" s="229">
        <f t="shared" si="12"/>
        <v>0</v>
      </c>
      <c r="E125" s="229">
        <f t="shared" si="13"/>
        <v>0</v>
      </c>
      <c r="F125" s="229">
        <v>0</v>
      </c>
      <c r="G125" s="229">
        <v>0</v>
      </c>
      <c r="H125" s="220">
        <f t="shared" si="11"/>
        <v>0</v>
      </c>
      <c r="I125" s="229">
        <v>0</v>
      </c>
      <c r="J125" s="229">
        <v>0</v>
      </c>
      <c r="K125" s="229">
        <f t="shared" si="14"/>
        <v>0</v>
      </c>
      <c r="L125" s="230">
        <v>0</v>
      </c>
      <c r="M125" s="230">
        <v>0</v>
      </c>
      <c r="N125" s="230">
        <v>0</v>
      </c>
      <c r="O125" s="230">
        <v>0</v>
      </c>
      <c r="P125" s="230">
        <v>0</v>
      </c>
      <c r="Q125" s="230">
        <v>0</v>
      </c>
      <c r="T125" s="231"/>
      <c r="V125" s="231"/>
      <c r="X125" s="232"/>
      <c r="Z125" s="233"/>
    </row>
    <row r="126" spans="1:26" ht="24" x14ac:dyDescent="0.2">
      <c r="A126" s="226">
        <v>117</v>
      </c>
      <c r="B126" s="248" t="s">
        <v>379</v>
      </c>
      <c r="C126" s="238" t="s">
        <v>499</v>
      </c>
      <c r="D126" s="229">
        <f t="shared" si="12"/>
        <v>0</v>
      </c>
      <c r="E126" s="229">
        <f t="shared" si="13"/>
        <v>0</v>
      </c>
      <c r="F126" s="229">
        <v>0</v>
      </c>
      <c r="G126" s="229">
        <v>0</v>
      </c>
      <c r="H126" s="220">
        <f t="shared" si="11"/>
        <v>0</v>
      </c>
      <c r="I126" s="229">
        <v>0</v>
      </c>
      <c r="J126" s="229">
        <v>0</v>
      </c>
      <c r="K126" s="229">
        <f t="shared" si="14"/>
        <v>0</v>
      </c>
      <c r="L126" s="230">
        <v>0</v>
      </c>
      <c r="M126" s="230">
        <v>0</v>
      </c>
      <c r="N126" s="230">
        <v>0</v>
      </c>
      <c r="O126" s="230">
        <v>0</v>
      </c>
      <c r="P126" s="230">
        <v>0</v>
      </c>
      <c r="Q126" s="230">
        <v>0</v>
      </c>
      <c r="T126" s="231"/>
      <c r="V126" s="231"/>
      <c r="X126" s="232"/>
      <c r="Z126" s="233"/>
    </row>
    <row r="127" spans="1:26" x14ac:dyDescent="0.2">
      <c r="A127" s="226">
        <v>118</v>
      </c>
      <c r="B127" s="248" t="s">
        <v>172</v>
      </c>
      <c r="C127" s="238" t="s">
        <v>173</v>
      </c>
      <c r="D127" s="229">
        <f t="shared" si="12"/>
        <v>0</v>
      </c>
      <c r="E127" s="229">
        <f t="shared" si="13"/>
        <v>0</v>
      </c>
      <c r="F127" s="229">
        <v>0</v>
      </c>
      <c r="G127" s="229">
        <v>0</v>
      </c>
      <c r="H127" s="220">
        <f t="shared" si="11"/>
        <v>0</v>
      </c>
      <c r="I127" s="229">
        <v>0</v>
      </c>
      <c r="J127" s="229">
        <v>0</v>
      </c>
      <c r="K127" s="229">
        <f t="shared" si="14"/>
        <v>0</v>
      </c>
      <c r="L127" s="230">
        <v>0</v>
      </c>
      <c r="M127" s="230">
        <v>0</v>
      </c>
      <c r="N127" s="230">
        <v>0</v>
      </c>
      <c r="O127" s="230">
        <v>0</v>
      </c>
      <c r="P127" s="230">
        <v>0</v>
      </c>
      <c r="Q127" s="230">
        <v>0</v>
      </c>
      <c r="T127" s="231"/>
      <c r="V127" s="231"/>
      <c r="X127" s="232"/>
      <c r="Z127" s="233"/>
    </row>
    <row r="128" spans="1:26" ht="12.75" x14ac:dyDescent="0.2">
      <c r="A128" s="226">
        <v>119</v>
      </c>
      <c r="B128" s="235" t="s">
        <v>381</v>
      </c>
      <c r="C128" s="249" t="s">
        <v>500</v>
      </c>
      <c r="D128" s="229">
        <f t="shared" si="12"/>
        <v>27720</v>
      </c>
      <c r="E128" s="229">
        <f t="shared" si="13"/>
        <v>0</v>
      </c>
      <c r="F128" s="230">
        <v>0</v>
      </c>
      <c r="G128" s="230">
        <v>0</v>
      </c>
      <c r="H128" s="220">
        <f t="shared" si="11"/>
        <v>0</v>
      </c>
      <c r="I128" s="230">
        <v>0</v>
      </c>
      <c r="J128" s="230">
        <v>0</v>
      </c>
      <c r="K128" s="229">
        <f t="shared" si="14"/>
        <v>27720</v>
      </c>
      <c r="L128" s="230">
        <v>0</v>
      </c>
      <c r="M128" s="230">
        <v>2772</v>
      </c>
      <c r="N128" s="230">
        <v>0</v>
      </c>
      <c r="O128" s="230">
        <v>24948</v>
      </c>
      <c r="P128" s="230">
        <v>0</v>
      </c>
      <c r="Q128" s="230">
        <v>0</v>
      </c>
      <c r="T128" s="231"/>
      <c r="V128" s="231"/>
      <c r="X128" s="232"/>
      <c r="Z128" s="233"/>
    </row>
    <row r="129" spans="1:26" x14ac:dyDescent="0.2">
      <c r="A129" s="226">
        <v>120</v>
      </c>
      <c r="B129" s="250" t="s">
        <v>174</v>
      </c>
      <c r="C129" s="251" t="s">
        <v>175</v>
      </c>
      <c r="D129" s="229">
        <f t="shared" si="12"/>
        <v>0</v>
      </c>
      <c r="E129" s="229">
        <f t="shared" si="13"/>
        <v>0</v>
      </c>
      <c r="F129" s="230">
        <v>0</v>
      </c>
      <c r="G129" s="230">
        <v>0</v>
      </c>
      <c r="H129" s="220">
        <f t="shared" si="11"/>
        <v>0</v>
      </c>
      <c r="I129" s="230">
        <v>0</v>
      </c>
      <c r="J129" s="230">
        <v>0</v>
      </c>
      <c r="K129" s="229">
        <f t="shared" si="14"/>
        <v>0</v>
      </c>
      <c r="L129" s="230">
        <v>0</v>
      </c>
      <c r="M129" s="230">
        <v>0</v>
      </c>
      <c r="N129" s="230">
        <v>0</v>
      </c>
      <c r="O129" s="230"/>
      <c r="P129" s="230">
        <v>0</v>
      </c>
      <c r="Q129" s="230">
        <v>0</v>
      </c>
      <c r="T129" s="231"/>
      <c r="V129" s="231"/>
      <c r="X129" s="232"/>
      <c r="Z129" s="233"/>
    </row>
    <row r="130" spans="1:26" ht="12.75" x14ac:dyDescent="0.2">
      <c r="A130" s="226">
        <v>121</v>
      </c>
      <c r="B130" s="252" t="s">
        <v>176</v>
      </c>
      <c r="C130" s="234" t="s">
        <v>227</v>
      </c>
      <c r="D130" s="229">
        <f t="shared" si="12"/>
        <v>0</v>
      </c>
      <c r="E130" s="229">
        <f t="shared" si="13"/>
        <v>0</v>
      </c>
      <c r="F130" s="230">
        <v>0</v>
      </c>
      <c r="G130" s="230">
        <v>0</v>
      </c>
      <c r="H130" s="220">
        <f t="shared" si="11"/>
        <v>0</v>
      </c>
      <c r="I130" s="230">
        <v>0</v>
      </c>
      <c r="J130" s="230">
        <v>0</v>
      </c>
      <c r="K130" s="229">
        <f t="shared" si="14"/>
        <v>0</v>
      </c>
      <c r="L130" s="230">
        <v>0</v>
      </c>
      <c r="M130" s="230">
        <v>0</v>
      </c>
      <c r="N130" s="230">
        <v>0</v>
      </c>
      <c r="O130" s="230">
        <v>0</v>
      </c>
      <c r="P130" s="230">
        <v>0</v>
      </c>
      <c r="Q130" s="230">
        <v>0</v>
      </c>
      <c r="T130" s="231"/>
      <c r="V130" s="231"/>
      <c r="X130" s="232"/>
      <c r="Z130" s="233"/>
    </row>
    <row r="131" spans="1:26" x14ac:dyDescent="0.2">
      <c r="A131" s="226">
        <v>122</v>
      </c>
      <c r="B131" s="248" t="s">
        <v>383</v>
      </c>
      <c r="C131" s="238" t="s">
        <v>501</v>
      </c>
      <c r="D131" s="229">
        <f t="shared" si="12"/>
        <v>0</v>
      </c>
      <c r="E131" s="229">
        <f t="shared" si="13"/>
        <v>0</v>
      </c>
      <c r="F131" s="230">
        <v>0</v>
      </c>
      <c r="G131" s="230">
        <v>0</v>
      </c>
      <c r="H131" s="220">
        <f t="shared" si="11"/>
        <v>0</v>
      </c>
      <c r="I131" s="230">
        <v>0</v>
      </c>
      <c r="J131" s="230">
        <v>0</v>
      </c>
      <c r="K131" s="229">
        <f t="shared" si="14"/>
        <v>0</v>
      </c>
      <c r="L131" s="230">
        <v>0</v>
      </c>
      <c r="M131" s="230">
        <v>0</v>
      </c>
      <c r="N131" s="230">
        <v>0</v>
      </c>
      <c r="O131" s="230">
        <v>0</v>
      </c>
      <c r="P131" s="230">
        <v>0</v>
      </c>
      <c r="Q131" s="230">
        <v>0</v>
      </c>
      <c r="T131" s="231"/>
      <c r="V131" s="231"/>
      <c r="X131" s="232"/>
      <c r="Z131" s="233"/>
    </row>
    <row r="132" spans="1:26" x14ac:dyDescent="0.2">
      <c r="A132" s="226">
        <v>123</v>
      </c>
      <c r="B132" s="237" t="s">
        <v>502</v>
      </c>
      <c r="C132" s="253" t="s">
        <v>503</v>
      </c>
      <c r="D132" s="229">
        <f t="shared" si="12"/>
        <v>0</v>
      </c>
      <c r="E132" s="229">
        <f t="shared" si="13"/>
        <v>0</v>
      </c>
      <c r="F132" s="230">
        <v>0</v>
      </c>
      <c r="G132" s="230">
        <v>0</v>
      </c>
      <c r="H132" s="220">
        <f t="shared" si="11"/>
        <v>0</v>
      </c>
      <c r="I132" s="230">
        <v>0</v>
      </c>
      <c r="J132" s="230">
        <v>0</v>
      </c>
      <c r="K132" s="229">
        <f t="shared" si="14"/>
        <v>0</v>
      </c>
      <c r="L132" s="230">
        <v>0</v>
      </c>
      <c r="M132" s="230">
        <v>0</v>
      </c>
      <c r="N132" s="230">
        <v>0</v>
      </c>
      <c r="O132" s="230">
        <v>0</v>
      </c>
      <c r="P132" s="230">
        <v>0</v>
      </c>
      <c r="Q132" s="230">
        <v>0</v>
      </c>
      <c r="T132" s="231"/>
      <c r="V132" s="231"/>
      <c r="X132" s="232"/>
      <c r="Z132" s="233"/>
    </row>
    <row r="133" spans="1:26" ht="24" x14ac:dyDescent="0.2">
      <c r="A133" s="226">
        <v>124</v>
      </c>
      <c r="B133" s="248" t="s">
        <v>504</v>
      </c>
      <c r="C133" s="238" t="s">
        <v>505</v>
      </c>
      <c r="D133" s="229">
        <f t="shared" si="12"/>
        <v>0</v>
      </c>
      <c r="E133" s="229">
        <f t="shared" si="13"/>
        <v>0</v>
      </c>
      <c r="F133" s="230">
        <v>0</v>
      </c>
      <c r="G133" s="230">
        <v>0</v>
      </c>
      <c r="H133" s="220">
        <f t="shared" si="11"/>
        <v>0</v>
      </c>
      <c r="I133" s="230">
        <v>0</v>
      </c>
      <c r="J133" s="230">
        <v>0</v>
      </c>
      <c r="K133" s="229">
        <f t="shared" si="14"/>
        <v>0</v>
      </c>
      <c r="L133" s="230">
        <v>0</v>
      </c>
      <c r="M133" s="230">
        <v>0</v>
      </c>
      <c r="N133" s="230">
        <v>0</v>
      </c>
      <c r="O133" s="230">
        <v>0</v>
      </c>
      <c r="P133" s="230">
        <v>0</v>
      </c>
      <c r="Q133" s="230">
        <v>0</v>
      </c>
      <c r="T133" s="231"/>
      <c r="V133" s="231"/>
      <c r="X133" s="232"/>
      <c r="Z133" s="233"/>
    </row>
    <row r="134" spans="1:26" ht="24" x14ac:dyDescent="0.2">
      <c r="A134" s="226">
        <v>125</v>
      </c>
      <c r="B134" s="248" t="s">
        <v>177</v>
      </c>
      <c r="C134" s="238" t="s">
        <v>178</v>
      </c>
      <c r="D134" s="229">
        <f t="shared" si="12"/>
        <v>0</v>
      </c>
      <c r="E134" s="229">
        <f t="shared" si="13"/>
        <v>0</v>
      </c>
      <c r="F134" s="230">
        <v>0</v>
      </c>
      <c r="G134" s="230">
        <v>0</v>
      </c>
      <c r="H134" s="220">
        <f t="shared" si="11"/>
        <v>0</v>
      </c>
      <c r="I134" s="230">
        <v>0</v>
      </c>
      <c r="J134" s="230">
        <v>0</v>
      </c>
      <c r="K134" s="229">
        <f t="shared" si="14"/>
        <v>0</v>
      </c>
      <c r="L134" s="230">
        <v>0</v>
      </c>
      <c r="M134" s="230">
        <v>0</v>
      </c>
      <c r="N134" s="230">
        <v>0</v>
      </c>
      <c r="O134" s="230">
        <v>0</v>
      </c>
      <c r="P134" s="230">
        <v>0</v>
      </c>
      <c r="Q134" s="230">
        <v>0</v>
      </c>
      <c r="T134" s="231"/>
      <c r="V134" s="231"/>
      <c r="X134" s="232"/>
      <c r="Z134" s="233"/>
    </row>
    <row r="135" spans="1:26" ht="12.75" x14ac:dyDescent="0.2">
      <c r="A135" s="226">
        <v>126</v>
      </c>
      <c r="B135" s="227" t="s">
        <v>179</v>
      </c>
      <c r="C135" s="249" t="s">
        <v>506</v>
      </c>
      <c r="D135" s="229">
        <f t="shared" si="12"/>
        <v>86</v>
      </c>
      <c r="E135" s="229">
        <f t="shared" si="13"/>
        <v>0</v>
      </c>
      <c r="F135" s="230">
        <v>0</v>
      </c>
      <c r="G135" s="230">
        <v>0</v>
      </c>
      <c r="H135" s="220">
        <f t="shared" si="11"/>
        <v>0</v>
      </c>
      <c r="I135" s="230">
        <v>0</v>
      </c>
      <c r="J135" s="230">
        <v>0</v>
      </c>
      <c r="K135" s="229">
        <f t="shared" si="14"/>
        <v>86</v>
      </c>
      <c r="L135" s="230">
        <v>0</v>
      </c>
      <c r="M135" s="230">
        <v>0</v>
      </c>
      <c r="N135" s="230">
        <v>0</v>
      </c>
      <c r="O135" s="230">
        <v>86</v>
      </c>
      <c r="P135" s="230">
        <v>0</v>
      </c>
      <c r="Q135" s="230">
        <v>0</v>
      </c>
      <c r="T135" s="231"/>
      <c r="V135" s="231"/>
      <c r="X135" s="232"/>
      <c r="Z135" s="233"/>
    </row>
    <row r="136" spans="1:26" x14ac:dyDescent="0.2">
      <c r="A136" s="226">
        <v>127</v>
      </c>
      <c r="B136" s="254" t="s">
        <v>507</v>
      </c>
      <c r="C136" s="255" t="s">
        <v>508</v>
      </c>
      <c r="D136" s="229">
        <f t="shared" si="12"/>
        <v>0</v>
      </c>
      <c r="E136" s="229">
        <f t="shared" si="13"/>
        <v>0</v>
      </c>
      <c r="F136" s="230">
        <v>0</v>
      </c>
      <c r="G136" s="230">
        <v>0</v>
      </c>
      <c r="H136" s="220">
        <f t="shared" si="11"/>
        <v>0</v>
      </c>
      <c r="I136" s="230">
        <v>0</v>
      </c>
      <c r="J136" s="230">
        <v>0</v>
      </c>
      <c r="K136" s="229">
        <f t="shared" si="14"/>
        <v>0</v>
      </c>
      <c r="L136" s="230">
        <v>0</v>
      </c>
      <c r="M136" s="230">
        <v>0</v>
      </c>
      <c r="N136" s="230">
        <v>0</v>
      </c>
      <c r="O136" s="230">
        <v>0</v>
      </c>
      <c r="P136" s="230">
        <v>0</v>
      </c>
      <c r="Q136" s="230">
        <v>0</v>
      </c>
      <c r="T136" s="231"/>
      <c r="V136" s="231"/>
      <c r="X136" s="232"/>
      <c r="Z136" s="233"/>
    </row>
    <row r="137" spans="1:26" x14ac:dyDescent="0.2">
      <c r="A137" s="226">
        <v>128</v>
      </c>
      <c r="B137" s="248" t="s">
        <v>509</v>
      </c>
      <c r="C137" s="238" t="s">
        <v>510</v>
      </c>
      <c r="D137" s="229">
        <f t="shared" si="12"/>
        <v>0</v>
      </c>
      <c r="E137" s="229">
        <f t="shared" si="13"/>
        <v>0</v>
      </c>
      <c r="F137" s="230">
        <v>0</v>
      </c>
      <c r="G137" s="230">
        <v>0</v>
      </c>
      <c r="H137" s="220">
        <f t="shared" si="11"/>
        <v>0</v>
      </c>
      <c r="I137" s="230">
        <v>0</v>
      </c>
      <c r="J137" s="230">
        <v>0</v>
      </c>
      <c r="K137" s="229">
        <f t="shared" si="14"/>
        <v>0</v>
      </c>
      <c r="L137" s="230">
        <v>0</v>
      </c>
      <c r="M137" s="230">
        <v>0</v>
      </c>
      <c r="N137" s="230">
        <v>0</v>
      </c>
      <c r="O137" s="230">
        <v>0</v>
      </c>
      <c r="P137" s="230">
        <v>0</v>
      </c>
      <c r="Q137" s="230">
        <v>0</v>
      </c>
      <c r="T137" s="231"/>
      <c r="V137" s="231"/>
      <c r="X137" s="232"/>
      <c r="Z137" s="233"/>
    </row>
    <row r="138" spans="1:26" ht="12.75" x14ac:dyDescent="0.2">
      <c r="A138" s="226">
        <v>129</v>
      </c>
      <c r="B138" s="227" t="s">
        <v>386</v>
      </c>
      <c r="C138" s="256" t="s">
        <v>511</v>
      </c>
      <c r="D138" s="229">
        <f t="shared" si="12"/>
        <v>2560</v>
      </c>
      <c r="E138" s="229">
        <f t="shared" si="13"/>
        <v>0</v>
      </c>
      <c r="F138" s="230">
        <v>0</v>
      </c>
      <c r="G138" s="230">
        <v>0</v>
      </c>
      <c r="H138" s="220">
        <f t="shared" ref="H138:H157" si="15">I138+J138</f>
        <v>0</v>
      </c>
      <c r="I138" s="230">
        <v>0</v>
      </c>
      <c r="J138" s="230">
        <v>0</v>
      </c>
      <c r="K138" s="229">
        <f t="shared" si="14"/>
        <v>2560</v>
      </c>
      <c r="L138" s="230">
        <v>0</v>
      </c>
      <c r="M138" s="230">
        <v>256</v>
      </c>
      <c r="N138" s="230">
        <v>0</v>
      </c>
      <c r="O138" s="230">
        <v>2304</v>
      </c>
      <c r="P138" s="230">
        <v>0</v>
      </c>
      <c r="Q138" s="230">
        <v>0</v>
      </c>
      <c r="T138" s="231"/>
      <c r="V138" s="231"/>
      <c r="X138" s="232"/>
      <c r="Z138" s="233"/>
    </row>
    <row r="139" spans="1:26" x14ac:dyDescent="0.2">
      <c r="A139" s="226">
        <v>130</v>
      </c>
      <c r="B139" s="246" t="s">
        <v>388</v>
      </c>
      <c r="C139" s="234" t="s">
        <v>512</v>
      </c>
      <c r="D139" s="229">
        <f t="shared" si="12"/>
        <v>0</v>
      </c>
      <c r="E139" s="229">
        <f t="shared" si="13"/>
        <v>0</v>
      </c>
      <c r="F139" s="230">
        <v>0</v>
      </c>
      <c r="G139" s="230">
        <v>0</v>
      </c>
      <c r="H139" s="220">
        <f t="shared" si="15"/>
        <v>0</v>
      </c>
      <c r="I139" s="230">
        <v>0</v>
      </c>
      <c r="J139" s="230">
        <v>0</v>
      </c>
      <c r="K139" s="229">
        <f t="shared" si="14"/>
        <v>0</v>
      </c>
      <c r="L139" s="230">
        <v>0</v>
      </c>
      <c r="M139" s="230">
        <v>0</v>
      </c>
      <c r="N139" s="230">
        <v>0</v>
      </c>
      <c r="O139" s="230">
        <v>0</v>
      </c>
      <c r="P139" s="230">
        <v>0</v>
      </c>
      <c r="Q139" s="230">
        <v>0</v>
      </c>
      <c r="T139" s="231"/>
      <c r="V139" s="231"/>
      <c r="X139" s="232"/>
      <c r="Z139" s="233"/>
    </row>
    <row r="140" spans="1:26" ht="12.75" x14ac:dyDescent="0.2">
      <c r="A140" s="226">
        <v>131</v>
      </c>
      <c r="B140" s="235" t="s">
        <v>390</v>
      </c>
      <c r="C140" s="249" t="s">
        <v>513</v>
      </c>
      <c r="D140" s="229">
        <f t="shared" si="12"/>
        <v>9920</v>
      </c>
      <c r="E140" s="229">
        <f t="shared" si="13"/>
        <v>0</v>
      </c>
      <c r="F140" s="230">
        <v>0</v>
      </c>
      <c r="G140" s="230">
        <v>0</v>
      </c>
      <c r="H140" s="220">
        <f t="shared" si="15"/>
        <v>0</v>
      </c>
      <c r="I140" s="230">
        <v>0</v>
      </c>
      <c r="J140" s="230">
        <v>0</v>
      </c>
      <c r="K140" s="229">
        <f t="shared" si="14"/>
        <v>9920</v>
      </c>
      <c r="L140" s="230">
        <v>0</v>
      </c>
      <c r="M140" s="230">
        <v>992</v>
      </c>
      <c r="N140" s="230">
        <v>0</v>
      </c>
      <c r="O140" s="230">
        <v>8928</v>
      </c>
      <c r="P140" s="230">
        <v>0</v>
      </c>
      <c r="Q140" s="230">
        <v>0</v>
      </c>
      <c r="T140" s="231"/>
      <c r="V140" s="231"/>
      <c r="X140" s="232"/>
      <c r="Z140" s="233"/>
    </row>
    <row r="141" spans="1:26" x14ac:dyDescent="0.2">
      <c r="A141" s="226">
        <v>132</v>
      </c>
      <c r="B141" s="248" t="s">
        <v>514</v>
      </c>
      <c r="C141" s="238" t="s">
        <v>515</v>
      </c>
      <c r="D141" s="229">
        <f t="shared" si="12"/>
        <v>0</v>
      </c>
      <c r="E141" s="229">
        <f t="shared" si="13"/>
        <v>0</v>
      </c>
      <c r="F141" s="230">
        <v>0</v>
      </c>
      <c r="G141" s="230">
        <v>0</v>
      </c>
      <c r="H141" s="220">
        <f t="shared" si="15"/>
        <v>0</v>
      </c>
      <c r="I141" s="230">
        <v>0</v>
      </c>
      <c r="J141" s="230">
        <v>0</v>
      </c>
      <c r="K141" s="229">
        <f t="shared" si="14"/>
        <v>0</v>
      </c>
      <c r="L141" s="230">
        <v>0</v>
      </c>
      <c r="M141" s="230">
        <v>0</v>
      </c>
      <c r="N141" s="230">
        <v>0</v>
      </c>
      <c r="O141" s="230">
        <v>0</v>
      </c>
      <c r="P141" s="230">
        <v>0</v>
      </c>
      <c r="Q141" s="230">
        <v>0</v>
      </c>
      <c r="T141" s="231"/>
      <c r="V141" s="231"/>
      <c r="X141" s="232"/>
      <c r="Z141" s="233"/>
    </row>
    <row r="142" spans="1:26" ht="12.75" x14ac:dyDescent="0.2">
      <c r="A142" s="226">
        <v>133</v>
      </c>
      <c r="B142" s="235" t="s">
        <v>15</v>
      </c>
      <c r="C142" s="249" t="s">
        <v>180</v>
      </c>
      <c r="D142" s="229">
        <f t="shared" si="12"/>
        <v>211242</v>
      </c>
      <c r="E142" s="229">
        <f t="shared" si="13"/>
        <v>0</v>
      </c>
      <c r="F142" s="230">
        <v>0</v>
      </c>
      <c r="G142" s="230">
        <v>0</v>
      </c>
      <c r="H142" s="220">
        <f t="shared" si="15"/>
        <v>0</v>
      </c>
      <c r="I142" s="230">
        <v>0</v>
      </c>
      <c r="J142" s="230">
        <v>0</v>
      </c>
      <c r="K142" s="229">
        <f t="shared" si="14"/>
        <v>211242</v>
      </c>
      <c r="L142" s="230">
        <v>0</v>
      </c>
      <c r="M142" s="230">
        <v>0</v>
      </c>
      <c r="N142" s="230">
        <v>0</v>
      </c>
      <c r="O142" s="230">
        <v>211242</v>
      </c>
      <c r="P142" s="230">
        <v>0</v>
      </c>
      <c r="Q142" s="230">
        <v>0</v>
      </c>
      <c r="T142" s="231"/>
      <c r="V142" s="231"/>
      <c r="X142" s="232"/>
      <c r="Z142" s="233"/>
    </row>
    <row r="143" spans="1:26" ht="12.75" x14ac:dyDescent="0.2">
      <c r="A143" s="226">
        <v>134</v>
      </c>
      <c r="B143" s="235" t="s">
        <v>181</v>
      </c>
      <c r="C143" s="249" t="s">
        <v>182</v>
      </c>
      <c r="D143" s="229">
        <f t="shared" si="12"/>
        <v>130760</v>
      </c>
      <c r="E143" s="229">
        <f t="shared" si="13"/>
        <v>0</v>
      </c>
      <c r="F143" s="230">
        <v>0</v>
      </c>
      <c r="G143" s="230">
        <v>0</v>
      </c>
      <c r="H143" s="220">
        <f t="shared" si="15"/>
        <v>0</v>
      </c>
      <c r="I143" s="230">
        <v>0</v>
      </c>
      <c r="J143" s="230">
        <v>0</v>
      </c>
      <c r="K143" s="229">
        <f t="shared" si="14"/>
        <v>130760</v>
      </c>
      <c r="L143" s="230">
        <v>0</v>
      </c>
      <c r="M143" s="230">
        <v>0</v>
      </c>
      <c r="N143" s="230">
        <v>0</v>
      </c>
      <c r="O143" s="230">
        <v>130760</v>
      </c>
      <c r="P143" s="230">
        <v>0</v>
      </c>
      <c r="Q143" s="230">
        <v>0</v>
      </c>
      <c r="T143" s="231"/>
      <c r="V143" s="231"/>
      <c r="X143" s="232"/>
      <c r="Z143" s="233"/>
    </row>
    <row r="144" spans="1:26" ht="12.75" x14ac:dyDescent="0.2">
      <c r="A144" s="226">
        <v>135</v>
      </c>
      <c r="B144" s="235" t="s">
        <v>14</v>
      </c>
      <c r="C144" s="249" t="s">
        <v>13</v>
      </c>
      <c r="D144" s="229">
        <f t="shared" si="12"/>
        <v>95000</v>
      </c>
      <c r="E144" s="229">
        <f t="shared" si="13"/>
        <v>0</v>
      </c>
      <c r="F144" s="230">
        <v>0</v>
      </c>
      <c r="G144" s="230">
        <v>0</v>
      </c>
      <c r="H144" s="220">
        <f t="shared" si="15"/>
        <v>0</v>
      </c>
      <c r="I144" s="230">
        <v>0</v>
      </c>
      <c r="J144" s="230">
        <v>0</v>
      </c>
      <c r="K144" s="229">
        <f t="shared" si="14"/>
        <v>95000</v>
      </c>
      <c r="L144" s="230">
        <v>0</v>
      </c>
      <c r="M144" s="230">
        <v>0</v>
      </c>
      <c r="N144" s="230">
        <v>0</v>
      </c>
      <c r="O144" s="230">
        <v>95000</v>
      </c>
      <c r="P144" s="230">
        <v>0</v>
      </c>
      <c r="Q144" s="230">
        <v>0</v>
      </c>
      <c r="T144" s="231"/>
      <c r="V144" s="231"/>
      <c r="X144" s="232"/>
      <c r="Z144" s="233"/>
    </row>
    <row r="145" spans="1:26" ht="12.75" x14ac:dyDescent="0.2">
      <c r="A145" s="226">
        <v>136</v>
      </c>
      <c r="B145" s="227" t="s">
        <v>10</v>
      </c>
      <c r="C145" s="256" t="s">
        <v>7</v>
      </c>
      <c r="D145" s="229">
        <f t="shared" si="12"/>
        <v>114000</v>
      </c>
      <c r="E145" s="229">
        <f t="shared" si="13"/>
        <v>0</v>
      </c>
      <c r="F145" s="230">
        <v>0</v>
      </c>
      <c r="G145" s="230">
        <v>0</v>
      </c>
      <c r="H145" s="220">
        <f t="shared" si="15"/>
        <v>0</v>
      </c>
      <c r="I145" s="230">
        <v>0</v>
      </c>
      <c r="J145" s="230">
        <v>0</v>
      </c>
      <c r="K145" s="229">
        <f t="shared" si="14"/>
        <v>114000</v>
      </c>
      <c r="L145" s="230">
        <v>0</v>
      </c>
      <c r="M145" s="230">
        <v>0</v>
      </c>
      <c r="N145" s="230">
        <v>0</v>
      </c>
      <c r="O145" s="230">
        <v>114000</v>
      </c>
      <c r="P145" s="230">
        <v>0</v>
      </c>
      <c r="Q145" s="230">
        <v>0</v>
      </c>
      <c r="T145" s="231"/>
      <c r="V145" s="231"/>
      <c r="X145" s="232"/>
      <c r="Z145" s="233"/>
    </row>
    <row r="146" spans="1:26" ht="12.75" x14ac:dyDescent="0.2">
      <c r="A146" s="226">
        <v>137</v>
      </c>
      <c r="B146" s="235" t="s">
        <v>393</v>
      </c>
      <c r="C146" s="249" t="s">
        <v>516</v>
      </c>
      <c r="D146" s="229">
        <f t="shared" si="12"/>
        <v>8000</v>
      </c>
      <c r="E146" s="229">
        <f t="shared" si="13"/>
        <v>0</v>
      </c>
      <c r="F146" s="230">
        <v>0</v>
      </c>
      <c r="G146" s="230">
        <v>0</v>
      </c>
      <c r="H146" s="220">
        <f t="shared" si="15"/>
        <v>0</v>
      </c>
      <c r="I146" s="230">
        <v>0</v>
      </c>
      <c r="J146" s="230">
        <v>0</v>
      </c>
      <c r="K146" s="229">
        <f t="shared" si="14"/>
        <v>8000</v>
      </c>
      <c r="L146" s="230">
        <v>0</v>
      </c>
      <c r="M146" s="230">
        <v>0</v>
      </c>
      <c r="N146" s="230">
        <v>0</v>
      </c>
      <c r="O146" s="230">
        <v>8000</v>
      </c>
      <c r="P146" s="230">
        <v>0</v>
      </c>
      <c r="Q146" s="230">
        <v>0</v>
      </c>
      <c r="T146" s="231"/>
      <c r="V146" s="231"/>
      <c r="X146" s="232"/>
      <c r="Z146" s="233"/>
    </row>
    <row r="147" spans="1:26" ht="12.75" x14ac:dyDescent="0.2">
      <c r="A147" s="226">
        <v>138</v>
      </c>
      <c r="B147" s="227" t="s">
        <v>183</v>
      </c>
      <c r="C147" s="249" t="s">
        <v>184</v>
      </c>
      <c r="D147" s="229">
        <f t="shared" si="12"/>
        <v>65356</v>
      </c>
      <c r="E147" s="229">
        <f t="shared" si="13"/>
        <v>0</v>
      </c>
      <c r="F147" s="230">
        <v>0</v>
      </c>
      <c r="G147" s="230">
        <v>0</v>
      </c>
      <c r="H147" s="220">
        <f t="shared" si="15"/>
        <v>0</v>
      </c>
      <c r="I147" s="230">
        <v>0</v>
      </c>
      <c r="J147" s="230">
        <v>0</v>
      </c>
      <c r="K147" s="229">
        <f t="shared" si="14"/>
        <v>65356</v>
      </c>
      <c r="L147" s="230">
        <v>0</v>
      </c>
      <c r="M147" s="230">
        <v>0</v>
      </c>
      <c r="N147" s="230">
        <v>0</v>
      </c>
      <c r="O147" s="230">
        <v>65356</v>
      </c>
      <c r="P147" s="230">
        <v>0</v>
      </c>
      <c r="Q147" s="230">
        <v>0</v>
      </c>
      <c r="T147" s="231"/>
      <c r="V147" s="231"/>
      <c r="X147" s="232"/>
      <c r="Z147" s="233"/>
    </row>
    <row r="148" spans="1:26" ht="12.75" x14ac:dyDescent="0.2">
      <c r="A148" s="226">
        <v>139</v>
      </c>
      <c r="B148" s="236" t="s">
        <v>185</v>
      </c>
      <c r="C148" s="257" t="s">
        <v>186</v>
      </c>
      <c r="D148" s="229">
        <f t="shared" si="12"/>
        <v>57809</v>
      </c>
      <c r="E148" s="229">
        <f t="shared" si="13"/>
        <v>0</v>
      </c>
      <c r="F148" s="230">
        <v>0</v>
      </c>
      <c r="G148" s="230">
        <v>0</v>
      </c>
      <c r="H148" s="220">
        <f t="shared" si="15"/>
        <v>0</v>
      </c>
      <c r="I148" s="230">
        <v>0</v>
      </c>
      <c r="J148" s="230">
        <v>0</v>
      </c>
      <c r="K148" s="229">
        <f t="shared" si="14"/>
        <v>57809</v>
      </c>
      <c r="L148" s="230">
        <v>0</v>
      </c>
      <c r="M148" s="230">
        <v>9855</v>
      </c>
      <c r="N148" s="230">
        <v>0</v>
      </c>
      <c r="O148" s="230">
        <v>28268</v>
      </c>
      <c r="P148" s="230">
        <v>0</v>
      </c>
      <c r="Q148" s="230">
        <v>19686</v>
      </c>
      <c r="T148" s="231"/>
      <c r="V148" s="231"/>
      <c r="X148" s="232"/>
      <c r="Z148" s="233"/>
    </row>
    <row r="149" spans="1:26" ht="12.75" x14ac:dyDescent="0.2">
      <c r="A149" s="226">
        <v>140</v>
      </c>
      <c r="B149" s="235" t="s">
        <v>187</v>
      </c>
      <c r="C149" s="249" t="s">
        <v>188</v>
      </c>
      <c r="D149" s="229">
        <f t="shared" si="12"/>
        <v>78000</v>
      </c>
      <c r="E149" s="229">
        <f t="shared" si="13"/>
        <v>0</v>
      </c>
      <c r="F149" s="230">
        <v>0</v>
      </c>
      <c r="G149" s="230">
        <v>0</v>
      </c>
      <c r="H149" s="220">
        <f t="shared" si="15"/>
        <v>0</v>
      </c>
      <c r="I149" s="230">
        <v>0</v>
      </c>
      <c r="J149" s="230">
        <v>0</v>
      </c>
      <c r="K149" s="229">
        <f t="shared" si="14"/>
        <v>78000</v>
      </c>
      <c r="L149" s="230">
        <v>0</v>
      </c>
      <c r="M149" s="230">
        <v>0</v>
      </c>
      <c r="N149" s="230">
        <v>0</v>
      </c>
      <c r="O149" s="230">
        <v>78000</v>
      </c>
      <c r="P149" s="230">
        <v>0</v>
      </c>
      <c r="Q149" s="230">
        <v>0</v>
      </c>
      <c r="T149" s="231"/>
      <c r="V149" s="231"/>
      <c r="X149" s="232"/>
      <c r="Z149" s="233"/>
    </row>
    <row r="150" spans="1:26" ht="12.75" x14ac:dyDescent="0.2">
      <c r="A150" s="226">
        <v>141</v>
      </c>
      <c r="B150" s="235" t="s">
        <v>395</v>
      </c>
      <c r="C150" s="249" t="s">
        <v>396</v>
      </c>
      <c r="D150" s="229">
        <f t="shared" si="12"/>
        <v>13564</v>
      </c>
      <c r="E150" s="229">
        <f t="shared" si="13"/>
        <v>0</v>
      </c>
      <c r="F150" s="230">
        <v>0</v>
      </c>
      <c r="G150" s="230">
        <v>0</v>
      </c>
      <c r="H150" s="220">
        <f t="shared" si="15"/>
        <v>0</v>
      </c>
      <c r="I150" s="230">
        <v>0</v>
      </c>
      <c r="J150" s="230">
        <v>0</v>
      </c>
      <c r="K150" s="229">
        <f t="shared" si="14"/>
        <v>13564</v>
      </c>
      <c r="L150" s="230">
        <v>0</v>
      </c>
      <c r="M150" s="230">
        <v>0</v>
      </c>
      <c r="N150" s="230">
        <v>13382</v>
      </c>
      <c r="O150" s="230">
        <v>182</v>
      </c>
      <c r="P150" s="230">
        <v>0</v>
      </c>
      <c r="Q150" s="230">
        <v>0</v>
      </c>
      <c r="T150" s="231"/>
      <c r="V150" s="231"/>
      <c r="X150" s="232"/>
      <c r="Z150" s="233"/>
    </row>
    <row r="151" spans="1:26" ht="12.75" x14ac:dyDescent="0.2">
      <c r="A151" s="226">
        <v>142</v>
      </c>
      <c r="B151" s="235" t="s">
        <v>189</v>
      </c>
      <c r="C151" s="249" t="s">
        <v>190</v>
      </c>
      <c r="D151" s="229">
        <f t="shared" si="12"/>
        <v>59392</v>
      </c>
      <c r="E151" s="229">
        <f t="shared" si="13"/>
        <v>0</v>
      </c>
      <c r="F151" s="230">
        <v>0</v>
      </c>
      <c r="G151" s="230">
        <v>0</v>
      </c>
      <c r="H151" s="220">
        <f t="shared" si="15"/>
        <v>0</v>
      </c>
      <c r="I151" s="230">
        <v>0</v>
      </c>
      <c r="J151" s="230">
        <v>0</v>
      </c>
      <c r="K151" s="229">
        <f t="shared" si="14"/>
        <v>59392</v>
      </c>
      <c r="L151" s="230">
        <v>0</v>
      </c>
      <c r="M151" s="230">
        <v>0</v>
      </c>
      <c r="N151" s="230">
        <v>0</v>
      </c>
      <c r="O151" s="230">
        <v>59392</v>
      </c>
      <c r="P151" s="230">
        <v>0</v>
      </c>
      <c r="Q151" s="230">
        <v>0</v>
      </c>
      <c r="T151" s="231"/>
      <c r="V151" s="231"/>
      <c r="X151" s="232"/>
      <c r="Z151" s="233"/>
    </row>
    <row r="152" spans="1:26" ht="12.75" x14ac:dyDescent="0.2">
      <c r="A152" s="226">
        <v>143</v>
      </c>
      <c r="B152" s="236" t="s">
        <v>12</v>
      </c>
      <c r="C152" s="257" t="s">
        <v>2</v>
      </c>
      <c r="D152" s="229">
        <f t="shared" si="12"/>
        <v>1054</v>
      </c>
      <c r="E152" s="229">
        <f t="shared" si="13"/>
        <v>0</v>
      </c>
      <c r="F152" s="230">
        <v>0</v>
      </c>
      <c r="G152" s="230">
        <v>0</v>
      </c>
      <c r="H152" s="220">
        <f t="shared" si="15"/>
        <v>0</v>
      </c>
      <c r="I152" s="230">
        <v>0</v>
      </c>
      <c r="J152" s="230">
        <v>0</v>
      </c>
      <c r="K152" s="229">
        <f t="shared" si="14"/>
        <v>1054</v>
      </c>
      <c r="L152" s="230">
        <v>0</v>
      </c>
      <c r="M152" s="230">
        <v>0</v>
      </c>
      <c r="N152" s="230">
        <v>0</v>
      </c>
      <c r="O152" s="230">
        <v>1054</v>
      </c>
      <c r="P152" s="230">
        <v>0</v>
      </c>
      <c r="Q152" s="230">
        <v>0</v>
      </c>
      <c r="T152" s="231"/>
      <c r="V152" s="231"/>
      <c r="X152" s="232"/>
      <c r="Z152" s="233"/>
    </row>
    <row r="153" spans="1:26" ht="12.75" x14ac:dyDescent="0.2">
      <c r="A153" s="226">
        <v>144</v>
      </c>
      <c r="B153" s="227" t="s">
        <v>3</v>
      </c>
      <c r="C153" s="257" t="s">
        <v>191</v>
      </c>
      <c r="D153" s="229">
        <f t="shared" si="12"/>
        <v>277048</v>
      </c>
      <c r="E153" s="229">
        <f t="shared" si="13"/>
        <v>28244</v>
      </c>
      <c r="F153" s="230">
        <v>6058</v>
      </c>
      <c r="G153" s="230">
        <v>22186</v>
      </c>
      <c r="H153" s="220">
        <f t="shared" si="15"/>
        <v>24069</v>
      </c>
      <c r="I153" s="230">
        <v>23944</v>
      </c>
      <c r="J153" s="230">
        <v>125</v>
      </c>
      <c r="K153" s="229">
        <f t="shared" si="14"/>
        <v>224735</v>
      </c>
      <c r="L153" s="230">
        <v>6058</v>
      </c>
      <c r="M153" s="230">
        <v>109693</v>
      </c>
      <c r="N153" s="230">
        <v>0</v>
      </c>
      <c r="O153" s="230">
        <v>61276</v>
      </c>
      <c r="P153" s="230">
        <v>3605</v>
      </c>
      <c r="Q153" s="230">
        <v>44103</v>
      </c>
      <c r="T153" s="231"/>
      <c r="V153" s="231"/>
      <c r="X153" s="232"/>
      <c r="Z153" s="233"/>
    </row>
    <row r="154" spans="1:26" ht="12.75" x14ac:dyDescent="0.2">
      <c r="A154" s="226">
        <v>145</v>
      </c>
      <c r="B154" s="235" t="s">
        <v>11</v>
      </c>
      <c r="C154" s="249" t="s">
        <v>8</v>
      </c>
      <c r="D154" s="229">
        <f t="shared" si="12"/>
        <v>5126</v>
      </c>
      <c r="E154" s="229">
        <f t="shared" si="13"/>
        <v>0</v>
      </c>
      <c r="F154" s="230">
        <v>0</v>
      </c>
      <c r="G154" s="230">
        <v>0</v>
      </c>
      <c r="H154" s="220">
        <f t="shared" si="15"/>
        <v>0</v>
      </c>
      <c r="I154" s="230">
        <v>0</v>
      </c>
      <c r="J154" s="230">
        <v>0</v>
      </c>
      <c r="K154" s="229">
        <f t="shared" si="14"/>
        <v>5126</v>
      </c>
      <c r="L154" s="230">
        <v>0</v>
      </c>
      <c r="M154" s="230">
        <v>0</v>
      </c>
      <c r="N154" s="230">
        <v>0</v>
      </c>
      <c r="O154" s="230">
        <v>5126</v>
      </c>
      <c r="P154" s="230">
        <v>0</v>
      </c>
      <c r="Q154" s="230">
        <v>0</v>
      </c>
      <c r="T154" s="231"/>
      <c r="V154" s="231"/>
      <c r="X154" s="232"/>
      <c r="Z154" s="233"/>
    </row>
    <row r="155" spans="1:26" ht="12.75" x14ac:dyDescent="0.2">
      <c r="A155" s="226">
        <v>146</v>
      </c>
      <c r="B155" s="227" t="s">
        <v>398</v>
      </c>
      <c r="C155" s="256" t="s">
        <v>399</v>
      </c>
      <c r="D155" s="229">
        <f t="shared" si="12"/>
        <v>12716</v>
      </c>
      <c r="E155" s="229">
        <f t="shared" si="13"/>
        <v>0</v>
      </c>
      <c r="F155" s="230">
        <v>0</v>
      </c>
      <c r="G155" s="230">
        <v>0</v>
      </c>
      <c r="H155" s="220">
        <f t="shared" si="15"/>
        <v>0</v>
      </c>
      <c r="I155" s="230">
        <v>0</v>
      </c>
      <c r="J155" s="230">
        <v>0</v>
      </c>
      <c r="K155" s="229">
        <f t="shared" si="14"/>
        <v>12716</v>
      </c>
      <c r="L155" s="230">
        <v>0</v>
      </c>
      <c r="M155" s="230">
        <v>0</v>
      </c>
      <c r="N155" s="230">
        <v>0</v>
      </c>
      <c r="O155" s="230">
        <v>12716</v>
      </c>
      <c r="P155" s="230">
        <v>0</v>
      </c>
      <c r="Q155" s="230">
        <v>0</v>
      </c>
      <c r="T155" s="231"/>
      <c r="V155" s="231"/>
      <c r="X155" s="232"/>
      <c r="Z155" s="233"/>
    </row>
    <row r="156" spans="1:26" x14ac:dyDescent="0.2">
      <c r="A156" s="226">
        <v>147</v>
      </c>
      <c r="B156" s="237" t="s">
        <v>400</v>
      </c>
      <c r="C156" s="234" t="s">
        <v>517</v>
      </c>
      <c r="D156" s="229">
        <f t="shared" si="12"/>
        <v>0</v>
      </c>
      <c r="E156" s="229">
        <f t="shared" si="13"/>
        <v>0</v>
      </c>
      <c r="F156" s="230">
        <v>0</v>
      </c>
      <c r="G156" s="230">
        <v>0</v>
      </c>
      <c r="H156" s="220">
        <f t="shared" si="15"/>
        <v>0</v>
      </c>
      <c r="I156" s="230">
        <v>0</v>
      </c>
      <c r="J156" s="230">
        <v>0</v>
      </c>
      <c r="K156" s="229">
        <f t="shared" si="14"/>
        <v>0</v>
      </c>
      <c r="L156" s="230">
        <v>0</v>
      </c>
      <c r="M156" s="230">
        <v>0</v>
      </c>
      <c r="N156" s="230">
        <v>0</v>
      </c>
      <c r="O156" s="230">
        <v>0</v>
      </c>
      <c r="P156" s="230">
        <v>0</v>
      </c>
      <c r="Q156" s="230">
        <v>0</v>
      </c>
      <c r="T156" s="231"/>
      <c r="V156" s="231"/>
      <c r="X156" s="232"/>
      <c r="Z156" s="233"/>
    </row>
    <row r="157" spans="1:26" ht="12.75" x14ac:dyDescent="0.2">
      <c r="A157" s="226">
        <v>148</v>
      </c>
      <c r="B157" s="258" t="s">
        <v>192</v>
      </c>
      <c r="C157" s="259" t="s">
        <v>193</v>
      </c>
      <c r="D157" s="229">
        <f t="shared" si="12"/>
        <v>0</v>
      </c>
      <c r="E157" s="229">
        <f t="shared" si="13"/>
        <v>0</v>
      </c>
      <c r="F157" s="230">
        <v>0</v>
      </c>
      <c r="G157" s="230">
        <v>0</v>
      </c>
      <c r="H157" s="220">
        <f t="shared" si="15"/>
        <v>0</v>
      </c>
      <c r="I157" s="230">
        <v>0</v>
      </c>
      <c r="J157" s="230">
        <v>0</v>
      </c>
      <c r="K157" s="229">
        <f t="shared" si="14"/>
        <v>0</v>
      </c>
      <c r="L157" s="230">
        <v>0</v>
      </c>
      <c r="M157" s="230">
        <v>0</v>
      </c>
      <c r="N157" s="230">
        <v>0</v>
      </c>
      <c r="O157" s="230">
        <v>0</v>
      </c>
      <c r="P157" s="230">
        <v>0</v>
      </c>
      <c r="Q157" s="230">
        <v>0</v>
      </c>
      <c r="T157" s="231"/>
      <c r="V157" s="231"/>
      <c r="X157" s="232"/>
      <c r="Z157" s="233"/>
    </row>
    <row r="158" spans="1:26" x14ac:dyDescent="0.2"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>
        <v>0</v>
      </c>
      <c r="O158" s="260"/>
      <c r="P158" s="260"/>
      <c r="Q158" s="260"/>
    </row>
  </sheetData>
  <mergeCells count="18">
    <mergeCell ref="A8:C8"/>
    <mergeCell ref="A9:C9"/>
    <mergeCell ref="F4:G4"/>
    <mergeCell ref="H4:H5"/>
    <mergeCell ref="I4:J4"/>
    <mergeCell ref="K4:K5"/>
    <mergeCell ref="L4:Q4"/>
    <mergeCell ref="A7:C7"/>
    <mergeCell ref="A1:Q1"/>
    <mergeCell ref="A2:A5"/>
    <mergeCell ref="B2:B5"/>
    <mergeCell ref="C2:C5"/>
    <mergeCell ref="D2:D5"/>
    <mergeCell ref="E2:Q2"/>
    <mergeCell ref="E3:G3"/>
    <mergeCell ref="H3:J3"/>
    <mergeCell ref="K3:Q3"/>
    <mergeCell ref="E4:E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1"/>
  <sheetViews>
    <sheetView workbookViewId="0">
      <pane xSplit="3" ySplit="10" topLeftCell="D155" activePane="bottomRight" state="frozen"/>
      <selection pane="topRight" activeCell="D1" sqref="D1"/>
      <selection pane="bottomLeft" activeCell="A11" sqref="A11"/>
      <selection pane="bottomRight" activeCell="K30" sqref="K30"/>
    </sheetView>
  </sheetViews>
  <sheetFormatPr defaultRowHeight="12" x14ac:dyDescent="0.2"/>
  <cols>
    <col min="1" max="1" width="5" style="261" customWidth="1"/>
    <col min="2" max="2" width="8.42578125" style="261" customWidth="1"/>
    <col min="3" max="3" width="31.85546875" style="261" customWidth="1"/>
    <col min="4" max="4" width="12.7109375" style="261" customWidth="1"/>
    <col min="5" max="5" width="10.28515625" style="261" customWidth="1"/>
    <col min="6" max="6" width="10.7109375" style="261" customWidth="1"/>
    <col min="7" max="7" width="10.42578125" style="261" customWidth="1"/>
    <col min="8" max="10" width="10.5703125" style="261" customWidth="1"/>
    <col min="11" max="11" width="10.42578125" style="261" customWidth="1"/>
    <col min="12" max="12" width="10" style="261" customWidth="1"/>
    <col min="13" max="13" width="11.5703125" style="261" customWidth="1"/>
    <col min="14" max="14" width="10.7109375" style="261" customWidth="1"/>
    <col min="15" max="16384" width="9.140625" style="261"/>
  </cols>
  <sheetData>
    <row r="1" spans="1:15" ht="41.25" customHeight="1" x14ac:dyDescent="0.2">
      <c r="A1" s="768" t="s">
        <v>518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</row>
    <row r="2" spans="1:15" ht="21.75" customHeight="1" x14ac:dyDescent="0.2">
      <c r="A2" s="764" t="s">
        <v>0</v>
      </c>
      <c r="B2" s="769" t="s">
        <v>431</v>
      </c>
      <c r="C2" s="764" t="s">
        <v>432</v>
      </c>
      <c r="D2" s="772" t="s">
        <v>443</v>
      </c>
      <c r="E2" s="772"/>
      <c r="F2" s="772"/>
      <c r="G2" s="772"/>
      <c r="H2" s="772"/>
      <c r="I2" s="772"/>
      <c r="J2" s="772"/>
      <c r="K2" s="772"/>
      <c r="L2" s="772"/>
      <c r="M2" s="772"/>
      <c r="N2" s="772"/>
    </row>
    <row r="3" spans="1:15" ht="14.25" customHeight="1" x14ac:dyDescent="0.2">
      <c r="A3" s="764"/>
      <c r="B3" s="770"/>
      <c r="C3" s="764"/>
      <c r="D3" s="773" t="s">
        <v>16</v>
      </c>
      <c r="E3" s="764" t="s">
        <v>18</v>
      </c>
      <c r="F3" s="764"/>
      <c r="G3" s="764"/>
      <c r="H3" s="764"/>
      <c r="I3" s="764"/>
      <c r="J3" s="764"/>
      <c r="K3" s="764"/>
      <c r="L3" s="764"/>
      <c r="M3" s="764"/>
      <c r="N3" s="764"/>
    </row>
    <row r="4" spans="1:15" ht="27" customHeight="1" x14ac:dyDescent="0.2">
      <c r="A4" s="764"/>
      <c r="B4" s="770"/>
      <c r="C4" s="764"/>
      <c r="D4" s="773"/>
      <c r="E4" s="767" t="s">
        <v>519</v>
      </c>
      <c r="F4" s="767"/>
      <c r="G4" s="767"/>
      <c r="H4" s="767" t="s">
        <v>520</v>
      </c>
      <c r="I4" s="767"/>
      <c r="J4" s="767"/>
      <c r="K4" s="767"/>
      <c r="L4" s="767"/>
      <c r="M4" s="767"/>
      <c r="N4" s="767"/>
    </row>
    <row r="5" spans="1:15" ht="27.75" customHeight="1" x14ac:dyDescent="0.2">
      <c r="A5" s="764"/>
      <c r="B5" s="770"/>
      <c r="C5" s="764"/>
      <c r="D5" s="773"/>
      <c r="E5" s="762" t="s">
        <v>285</v>
      </c>
      <c r="F5" s="767" t="s">
        <v>18</v>
      </c>
      <c r="G5" s="767"/>
      <c r="H5" s="762" t="s">
        <v>285</v>
      </c>
      <c r="I5" s="764" t="s">
        <v>300</v>
      </c>
      <c r="J5" s="764"/>
      <c r="K5" s="765" t="s">
        <v>301</v>
      </c>
      <c r="L5" s="766"/>
      <c r="M5" s="767" t="s">
        <v>302</v>
      </c>
      <c r="N5" s="767"/>
    </row>
    <row r="6" spans="1:15" ht="24" customHeight="1" x14ac:dyDescent="0.2">
      <c r="A6" s="764"/>
      <c r="B6" s="771"/>
      <c r="C6" s="764"/>
      <c r="D6" s="763"/>
      <c r="E6" s="763"/>
      <c r="F6" s="262" t="s">
        <v>304</v>
      </c>
      <c r="G6" s="263" t="s">
        <v>305</v>
      </c>
      <c r="H6" s="763"/>
      <c r="I6" s="264" t="s">
        <v>304</v>
      </c>
      <c r="J6" s="264" t="s">
        <v>305</v>
      </c>
      <c r="K6" s="263" t="s">
        <v>304</v>
      </c>
      <c r="L6" s="263" t="s">
        <v>305</v>
      </c>
      <c r="M6" s="262" t="s">
        <v>304</v>
      </c>
      <c r="N6" s="263" t="s">
        <v>305</v>
      </c>
    </row>
    <row r="7" spans="1:15" s="267" customFormat="1" ht="11.25" x14ac:dyDescent="0.2">
      <c r="A7" s="265">
        <v>1</v>
      </c>
      <c r="B7" s="265">
        <v>2</v>
      </c>
      <c r="C7" s="265">
        <v>3</v>
      </c>
      <c r="D7" s="266">
        <v>4</v>
      </c>
      <c r="E7" s="220">
        <v>5</v>
      </c>
      <c r="F7" s="220">
        <v>6</v>
      </c>
      <c r="G7" s="220">
        <v>7</v>
      </c>
      <c r="H7" s="220">
        <v>8</v>
      </c>
      <c r="I7" s="220">
        <v>9</v>
      </c>
      <c r="J7" s="220">
        <v>10</v>
      </c>
      <c r="K7" s="220">
        <v>11</v>
      </c>
      <c r="L7" s="220">
        <v>12</v>
      </c>
      <c r="M7" s="220">
        <v>13</v>
      </c>
      <c r="N7" s="220">
        <v>14</v>
      </c>
    </row>
    <row r="8" spans="1:15" s="267" customFormat="1" x14ac:dyDescent="0.2">
      <c r="A8" s="747" t="s">
        <v>1</v>
      </c>
      <c r="B8" s="747"/>
      <c r="C8" s="747"/>
      <c r="D8" s="223">
        <f>D9+D10</f>
        <v>2613467</v>
      </c>
      <c r="E8" s="223">
        <f>E9+E10</f>
        <v>29189</v>
      </c>
      <c r="F8" s="223">
        <f t="shared" ref="F8:G8" si="0">F9+F10</f>
        <v>28888</v>
      </c>
      <c r="G8" s="223">
        <f t="shared" si="0"/>
        <v>301</v>
      </c>
      <c r="H8" s="223">
        <f>H9+H10</f>
        <v>2584278</v>
      </c>
      <c r="I8" s="223">
        <f>I9+I10</f>
        <v>277230</v>
      </c>
      <c r="J8" s="223">
        <f t="shared" ref="J8:N8" si="1">J9+J10</f>
        <v>28998</v>
      </c>
      <c r="K8" s="223">
        <f t="shared" si="1"/>
        <v>12892</v>
      </c>
      <c r="L8" s="223">
        <f t="shared" si="1"/>
        <v>6038</v>
      </c>
      <c r="M8" s="223">
        <f t="shared" si="1"/>
        <v>1672235</v>
      </c>
      <c r="N8" s="223">
        <f t="shared" si="1"/>
        <v>586885</v>
      </c>
    </row>
    <row r="9" spans="1:15" s="267" customFormat="1" x14ac:dyDescent="0.2">
      <c r="A9" s="757" t="s">
        <v>19</v>
      </c>
      <c r="B9" s="758"/>
      <c r="C9" s="759"/>
      <c r="D9" s="266">
        <f t="shared" ref="D9" si="2">E9+H9</f>
        <v>488</v>
      </c>
      <c r="E9" s="220">
        <f t="shared" ref="E9" si="3">F9+G9</f>
        <v>488</v>
      </c>
      <c r="F9" s="220">
        <v>488</v>
      </c>
      <c r="G9" s="220">
        <v>0</v>
      </c>
      <c r="H9" s="220">
        <f t="shared" ref="H9" si="4">I9+J9+M9+N9+K9+L9</f>
        <v>0</v>
      </c>
      <c r="I9" s="220">
        <v>0</v>
      </c>
      <c r="J9" s="220">
        <v>0</v>
      </c>
      <c r="K9" s="220">
        <v>0</v>
      </c>
      <c r="L9" s="220">
        <v>0</v>
      </c>
      <c r="M9" s="220">
        <v>0</v>
      </c>
      <c r="N9" s="220">
        <v>0</v>
      </c>
    </row>
    <row r="10" spans="1:15" s="267" customFormat="1" x14ac:dyDescent="0.2">
      <c r="A10" s="757" t="s">
        <v>20</v>
      </c>
      <c r="B10" s="758"/>
      <c r="C10" s="759"/>
      <c r="D10" s="223">
        <f>E10+H10</f>
        <v>2612979</v>
      </c>
      <c r="E10" s="223">
        <f t="shared" ref="E10:G10" si="5">SUM(E11:E158)</f>
        <v>28701</v>
      </c>
      <c r="F10" s="223">
        <f t="shared" si="5"/>
        <v>28400</v>
      </c>
      <c r="G10" s="223">
        <f t="shared" si="5"/>
        <v>301</v>
      </c>
      <c r="H10" s="223">
        <f>SUM(I10:N10)</f>
        <v>2584278</v>
      </c>
      <c r="I10" s="223">
        <f>SUM(I11:I158)</f>
        <v>277230</v>
      </c>
      <c r="J10" s="223">
        <f t="shared" ref="J10:N10" si="6">SUM(J11:J158)</f>
        <v>28998</v>
      </c>
      <c r="K10" s="223">
        <f t="shared" si="6"/>
        <v>12892</v>
      </c>
      <c r="L10" s="223">
        <f t="shared" si="6"/>
        <v>6038</v>
      </c>
      <c r="M10" s="223">
        <f t="shared" si="6"/>
        <v>1672235</v>
      </c>
      <c r="N10" s="223">
        <f t="shared" si="6"/>
        <v>586885</v>
      </c>
    </row>
    <row r="11" spans="1:15" ht="12.75" x14ac:dyDescent="0.2">
      <c r="A11" s="268">
        <v>1</v>
      </c>
      <c r="B11" s="269" t="s">
        <v>21</v>
      </c>
      <c r="C11" s="270" t="s">
        <v>22</v>
      </c>
      <c r="D11" s="229">
        <f>E11+H11</f>
        <v>23367</v>
      </c>
      <c r="E11" s="229">
        <f t="shared" ref="E11:E81" si="7">F11+G11</f>
        <v>0</v>
      </c>
      <c r="F11" s="229">
        <v>0</v>
      </c>
      <c r="G11" s="229">
        <v>0</v>
      </c>
      <c r="H11" s="229">
        <f t="shared" ref="H11:H81" si="8">I11+J11+M11+N11+K11+L11</f>
        <v>23367</v>
      </c>
      <c r="I11" s="229">
        <v>2767</v>
      </c>
      <c r="J11" s="229">
        <v>634</v>
      </c>
      <c r="K11" s="229">
        <v>0</v>
      </c>
      <c r="L11" s="229">
        <v>0</v>
      </c>
      <c r="M11" s="229">
        <v>16366</v>
      </c>
      <c r="N11" s="229">
        <v>3600</v>
      </c>
      <c r="O11" s="215"/>
    </row>
    <row r="12" spans="1:15" ht="12.75" x14ac:dyDescent="0.2">
      <c r="A12" s="268">
        <v>2</v>
      </c>
      <c r="B12" s="271" t="s">
        <v>23</v>
      </c>
      <c r="C12" s="270" t="s">
        <v>521</v>
      </c>
      <c r="D12" s="229">
        <f t="shared" ref="D12:D82" si="9">E12+H12</f>
        <v>16369</v>
      </c>
      <c r="E12" s="229">
        <f t="shared" si="7"/>
        <v>0</v>
      </c>
      <c r="F12" s="229">
        <v>0</v>
      </c>
      <c r="G12" s="229">
        <v>0</v>
      </c>
      <c r="H12" s="229">
        <f t="shared" si="8"/>
        <v>16369</v>
      </c>
      <c r="I12" s="229">
        <v>1410</v>
      </c>
      <c r="J12" s="229">
        <v>0</v>
      </c>
      <c r="K12" s="229">
        <v>0</v>
      </c>
      <c r="L12" s="229">
        <v>0</v>
      </c>
      <c r="M12" s="229">
        <v>12409</v>
      </c>
      <c r="N12" s="229">
        <v>2550</v>
      </c>
      <c r="O12" s="215"/>
    </row>
    <row r="13" spans="1:15" ht="12.75" x14ac:dyDescent="0.2">
      <c r="A13" s="268">
        <v>3</v>
      </c>
      <c r="B13" s="272" t="s">
        <v>24</v>
      </c>
      <c r="C13" s="273" t="s">
        <v>25</v>
      </c>
      <c r="D13" s="229">
        <f t="shared" si="9"/>
        <v>44235</v>
      </c>
      <c r="E13" s="229">
        <f t="shared" si="7"/>
        <v>0</v>
      </c>
      <c r="F13" s="229">
        <v>0</v>
      </c>
      <c r="G13" s="229">
        <v>0</v>
      </c>
      <c r="H13" s="229">
        <f t="shared" si="8"/>
        <v>44235</v>
      </c>
      <c r="I13" s="229">
        <v>2420</v>
      </c>
      <c r="J13" s="229">
        <v>117</v>
      </c>
      <c r="K13" s="229">
        <v>0</v>
      </c>
      <c r="L13" s="229">
        <v>0</v>
      </c>
      <c r="M13" s="229">
        <v>29909</v>
      </c>
      <c r="N13" s="229">
        <v>11789</v>
      </c>
      <c r="O13" s="215"/>
    </row>
    <row r="14" spans="1:15" ht="12.75" x14ac:dyDescent="0.2">
      <c r="A14" s="268">
        <v>4</v>
      </c>
      <c r="B14" s="269" t="s">
        <v>26</v>
      </c>
      <c r="C14" s="270" t="s">
        <v>448</v>
      </c>
      <c r="D14" s="229">
        <f t="shared" si="9"/>
        <v>10000</v>
      </c>
      <c r="E14" s="229">
        <f t="shared" si="7"/>
        <v>0</v>
      </c>
      <c r="F14" s="229">
        <v>0</v>
      </c>
      <c r="G14" s="229">
        <v>0</v>
      </c>
      <c r="H14" s="229">
        <f t="shared" si="8"/>
        <v>10000</v>
      </c>
      <c r="I14" s="229">
        <v>641</v>
      </c>
      <c r="J14" s="229">
        <v>134</v>
      </c>
      <c r="K14" s="229">
        <v>20</v>
      </c>
      <c r="L14" s="229">
        <v>15</v>
      </c>
      <c r="M14" s="229">
        <v>6716</v>
      </c>
      <c r="N14" s="229">
        <v>2474</v>
      </c>
      <c r="O14" s="215"/>
    </row>
    <row r="15" spans="1:15" ht="12.75" x14ac:dyDescent="0.2">
      <c r="A15" s="268">
        <v>5</v>
      </c>
      <c r="B15" s="269" t="s">
        <v>27</v>
      </c>
      <c r="C15" s="270" t="s">
        <v>28</v>
      </c>
      <c r="D15" s="229">
        <f t="shared" si="9"/>
        <v>16250</v>
      </c>
      <c r="E15" s="229">
        <f t="shared" si="7"/>
        <v>0</v>
      </c>
      <c r="F15" s="229">
        <v>0</v>
      </c>
      <c r="G15" s="229">
        <v>0</v>
      </c>
      <c r="H15" s="229">
        <f t="shared" si="8"/>
        <v>16250</v>
      </c>
      <c r="I15" s="229">
        <v>1440</v>
      </c>
      <c r="J15" s="229">
        <v>50</v>
      </c>
      <c r="K15" s="229">
        <v>120</v>
      </c>
      <c r="L15" s="229">
        <v>0</v>
      </c>
      <c r="M15" s="229">
        <v>9628</v>
      </c>
      <c r="N15" s="229">
        <v>5012</v>
      </c>
      <c r="O15" s="215"/>
    </row>
    <row r="16" spans="1:15" ht="12.75" x14ac:dyDescent="0.2">
      <c r="A16" s="268">
        <v>6</v>
      </c>
      <c r="B16" s="272" t="s">
        <v>4</v>
      </c>
      <c r="C16" s="273" t="s">
        <v>29</v>
      </c>
      <c r="D16" s="229">
        <f t="shared" si="9"/>
        <v>97056</v>
      </c>
      <c r="E16" s="229">
        <f t="shared" si="7"/>
        <v>0</v>
      </c>
      <c r="F16" s="229">
        <v>0</v>
      </c>
      <c r="G16" s="229">
        <v>0</v>
      </c>
      <c r="H16" s="229">
        <f t="shared" si="8"/>
        <v>97056</v>
      </c>
      <c r="I16" s="229">
        <v>7849</v>
      </c>
      <c r="J16" s="229">
        <v>1027</v>
      </c>
      <c r="K16" s="229">
        <v>0</v>
      </c>
      <c r="L16" s="229">
        <v>0</v>
      </c>
      <c r="M16" s="229">
        <v>70793</v>
      </c>
      <c r="N16" s="229">
        <v>17387</v>
      </c>
      <c r="O16" s="215"/>
    </row>
    <row r="17" spans="1:15" ht="12.75" x14ac:dyDescent="0.2">
      <c r="A17" s="268">
        <v>7</v>
      </c>
      <c r="B17" s="274" t="s">
        <v>30</v>
      </c>
      <c r="C17" s="275" t="s">
        <v>449</v>
      </c>
      <c r="D17" s="229">
        <f t="shared" si="9"/>
        <v>31365</v>
      </c>
      <c r="E17" s="229">
        <f t="shared" si="7"/>
        <v>0</v>
      </c>
      <c r="F17" s="229">
        <v>0</v>
      </c>
      <c r="G17" s="229">
        <v>0</v>
      </c>
      <c r="H17" s="229">
        <f t="shared" si="8"/>
        <v>31365</v>
      </c>
      <c r="I17" s="229">
        <v>230</v>
      </c>
      <c r="J17" s="229">
        <v>206</v>
      </c>
      <c r="K17" s="229">
        <v>170</v>
      </c>
      <c r="L17" s="229">
        <v>62</v>
      </c>
      <c r="M17" s="229">
        <v>18659</v>
      </c>
      <c r="N17" s="229">
        <v>12038</v>
      </c>
      <c r="O17" s="215"/>
    </row>
    <row r="18" spans="1:15" ht="12.75" x14ac:dyDescent="0.2">
      <c r="A18" s="268">
        <v>8</v>
      </c>
      <c r="B18" s="272" t="s">
        <v>31</v>
      </c>
      <c r="C18" s="273" t="s">
        <v>32</v>
      </c>
      <c r="D18" s="229">
        <f t="shared" si="9"/>
        <v>19777</v>
      </c>
      <c r="E18" s="229">
        <f t="shared" si="7"/>
        <v>0</v>
      </c>
      <c r="F18" s="229">
        <v>0</v>
      </c>
      <c r="G18" s="229">
        <v>0</v>
      </c>
      <c r="H18" s="229">
        <f t="shared" si="8"/>
        <v>19777</v>
      </c>
      <c r="I18" s="229">
        <v>184</v>
      </c>
      <c r="J18" s="229">
        <v>65</v>
      </c>
      <c r="K18" s="229">
        <v>660</v>
      </c>
      <c r="L18" s="229">
        <v>520</v>
      </c>
      <c r="M18" s="229">
        <v>13318</v>
      </c>
      <c r="N18" s="229">
        <v>5030</v>
      </c>
      <c r="O18" s="215"/>
    </row>
    <row r="19" spans="1:15" ht="12.75" x14ac:dyDescent="0.2">
      <c r="A19" s="268">
        <v>9</v>
      </c>
      <c r="B19" s="272" t="s">
        <v>33</v>
      </c>
      <c r="C19" s="273" t="s">
        <v>34</v>
      </c>
      <c r="D19" s="229">
        <f t="shared" si="9"/>
        <v>10000</v>
      </c>
      <c r="E19" s="229">
        <f t="shared" si="7"/>
        <v>0</v>
      </c>
      <c r="F19" s="229">
        <v>0</v>
      </c>
      <c r="G19" s="229">
        <v>0</v>
      </c>
      <c r="H19" s="229">
        <f t="shared" si="8"/>
        <v>10000</v>
      </c>
      <c r="I19" s="229">
        <v>1354</v>
      </c>
      <c r="J19" s="229">
        <v>320</v>
      </c>
      <c r="K19" s="229">
        <v>480</v>
      </c>
      <c r="L19" s="229">
        <v>40</v>
      </c>
      <c r="M19" s="229">
        <v>6590</v>
      </c>
      <c r="N19" s="229">
        <v>1216</v>
      </c>
      <c r="O19" s="215"/>
    </row>
    <row r="20" spans="1:15" ht="12.75" x14ac:dyDescent="0.2">
      <c r="A20" s="268">
        <v>10</v>
      </c>
      <c r="B20" s="272" t="s">
        <v>35</v>
      </c>
      <c r="C20" s="273" t="s">
        <v>36</v>
      </c>
      <c r="D20" s="229">
        <f t="shared" si="9"/>
        <v>11616</v>
      </c>
      <c r="E20" s="229">
        <f t="shared" si="7"/>
        <v>0</v>
      </c>
      <c r="F20" s="229">
        <v>0</v>
      </c>
      <c r="G20" s="229">
        <v>0</v>
      </c>
      <c r="H20" s="229">
        <f t="shared" si="8"/>
        <v>11616</v>
      </c>
      <c r="I20" s="229">
        <v>368</v>
      </c>
      <c r="J20" s="229">
        <v>0</v>
      </c>
      <c r="K20" s="229">
        <v>10</v>
      </c>
      <c r="L20" s="229">
        <v>0</v>
      </c>
      <c r="M20" s="229">
        <v>9335</v>
      </c>
      <c r="N20" s="229">
        <v>1903</v>
      </c>
      <c r="O20" s="215"/>
    </row>
    <row r="21" spans="1:15" ht="12.75" x14ac:dyDescent="0.2">
      <c r="A21" s="268">
        <v>11</v>
      </c>
      <c r="B21" s="272" t="s">
        <v>37</v>
      </c>
      <c r="C21" s="273" t="s">
        <v>38</v>
      </c>
      <c r="D21" s="229">
        <f t="shared" si="9"/>
        <v>14143</v>
      </c>
      <c r="E21" s="229">
        <f t="shared" si="7"/>
        <v>0</v>
      </c>
      <c r="F21" s="229">
        <v>0</v>
      </c>
      <c r="G21" s="229">
        <v>0</v>
      </c>
      <c r="H21" s="229">
        <f t="shared" si="8"/>
        <v>14143</v>
      </c>
      <c r="I21" s="229">
        <v>1010</v>
      </c>
      <c r="J21" s="229">
        <v>20</v>
      </c>
      <c r="K21" s="229">
        <v>0</v>
      </c>
      <c r="L21" s="229">
        <v>0</v>
      </c>
      <c r="M21" s="229">
        <v>9492</v>
      </c>
      <c r="N21" s="229">
        <v>3621</v>
      </c>
      <c r="O21" s="215"/>
    </row>
    <row r="22" spans="1:15" ht="12.75" x14ac:dyDescent="0.2">
      <c r="A22" s="268">
        <v>12</v>
      </c>
      <c r="B22" s="272" t="s">
        <v>39</v>
      </c>
      <c r="C22" s="273" t="s">
        <v>40</v>
      </c>
      <c r="D22" s="229">
        <f t="shared" si="9"/>
        <v>34746</v>
      </c>
      <c r="E22" s="229">
        <f t="shared" si="7"/>
        <v>0</v>
      </c>
      <c r="F22" s="229">
        <v>0</v>
      </c>
      <c r="G22" s="229">
        <v>0</v>
      </c>
      <c r="H22" s="229">
        <f t="shared" si="8"/>
        <v>34746</v>
      </c>
      <c r="I22" s="229">
        <v>2700</v>
      </c>
      <c r="J22" s="229">
        <v>70</v>
      </c>
      <c r="K22" s="229">
        <v>0</v>
      </c>
      <c r="L22" s="229">
        <v>0</v>
      </c>
      <c r="M22" s="229">
        <v>28726</v>
      </c>
      <c r="N22" s="229">
        <v>3250</v>
      </c>
      <c r="O22" s="215"/>
    </row>
    <row r="23" spans="1:15" x14ac:dyDescent="0.2">
      <c r="A23" s="268">
        <v>13</v>
      </c>
      <c r="B23" s="237" t="s">
        <v>307</v>
      </c>
      <c r="C23" s="238" t="s">
        <v>450</v>
      </c>
      <c r="D23" s="229">
        <f t="shared" si="9"/>
        <v>0</v>
      </c>
      <c r="E23" s="229">
        <v>0</v>
      </c>
      <c r="F23" s="229">
        <v>0</v>
      </c>
      <c r="G23" s="229">
        <v>0</v>
      </c>
      <c r="H23" s="229">
        <f>I23+J23+M23+N23+K23+L23</f>
        <v>0</v>
      </c>
      <c r="I23" s="229">
        <v>0</v>
      </c>
      <c r="J23" s="229">
        <v>0</v>
      </c>
      <c r="K23" s="229">
        <v>0</v>
      </c>
      <c r="L23" s="229">
        <v>0</v>
      </c>
      <c r="M23" s="229">
        <v>0</v>
      </c>
      <c r="N23" s="229">
        <v>0</v>
      </c>
      <c r="O23" s="215"/>
    </row>
    <row r="24" spans="1:15" x14ac:dyDescent="0.2">
      <c r="A24" s="268">
        <v>14</v>
      </c>
      <c r="B24" s="237" t="s">
        <v>309</v>
      </c>
      <c r="C24" s="234" t="s">
        <v>451</v>
      </c>
      <c r="D24" s="229">
        <f t="shared" si="9"/>
        <v>0</v>
      </c>
      <c r="E24" s="229">
        <v>0</v>
      </c>
      <c r="F24" s="229">
        <v>0</v>
      </c>
      <c r="G24" s="229">
        <v>0</v>
      </c>
      <c r="H24" s="229">
        <f t="shared" si="8"/>
        <v>0</v>
      </c>
      <c r="I24" s="229">
        <v>0</v>
      </c>
      <c r="J24" s="229">
        <v>0</v>
      </c>
      <c r="K24" s="229">
        <v>0</v>
      </c>
      <c r="L24" s="229">
        <v>0</v>
      </c>
      <c r="M24" s="229">
        <v>0</v>
      </c>
      <c r="N24" s="229">
        <v>0</v>
      </c>
      <c r="O24" s="215"/>
    </row>
    <row r="25" spans="1:15" ht="12.75" x14ac:dyDescent="0.2">
      <c r="A25" s="268">
        <v>15</v>
      </c>
      <c r="B25" s="272" t="s">
        <v>41</v>
      </c>
      <c r="C25" s="273" t="s">
        <v>42</v>
      </c>
      <c r="D25" s="229">
        <f t="shared" si="9"/>
        <v>9573</v>
      </c>
      <c r="E25" s="229">
        <f t="shared" si="7"/>
        <v>0</v>
      </c>
      <c r="F25" s="229">
        <v>0</v>
      </c>
      <c r="G25" s="229">
        <v>0</v>
      </c>
      <c r="H25" s="229">
        <f t="shared" si="8"/>
        <v>9573</v>
      </c>
      <c r="I25" s="229">
        <v>30</v>
      </c>
      <c r="J25" s="229">
        <v>100</v>
      </c>
      <c r="K25" s="229">
        <v>0</v>
      </c>
      <c r="L25" s="229">
        <v>80</v>
      </c>
      <c r="M25" s="229">
        <v>9023</v>
      </c>
      <c r="N25" s="229">
        <v>340</v>
      </c>
      <c r="O25" s="215"/>
    </row>
    <row r="26" spans="1:15" ht="12.75" x14ac:dyDescent="0.2">
      <c r="A26" s="268">
        <v>16</v>
      </c>
      <c r="B26" s="272" t="s">
        <v>43</v>
      </c>
      <c r="C26" s="273" t="s">
        <v>44</v>
      </c>
      <c r="D26" s="229">
        <f t="shared" si="9"/>
        <v>35468</v>
      </c>
      <c r="E26" s="229">
        <f t="shared" si="7"/>
        <v>0</v>
      </c>
      <c r="F26" s="229">
        <v>0</v>
      </c>
      <c r="G26" s="229">
        <v>0</v>
      </c>
      <c r="H26" s="229">
        <f t="shared" si="8"/>
        <v>35468</v>
      </c>
      <c r="I26" s="229">
        <v>2080</v>
      </c>
      <c r="J26" s="229">
        <v>20</v>
      </c>
      <c r="K26" s="229">
        <v>0</v>
      </c>
      <c r="L26" s="229">
        <v>0</v>
      </c>
      <c r="M26" s="229">
        <v>23388</v>
      </c>
      <c r="N26" s="229">
        <v>9980</v>
      </c>
      <c r="O26" s="215"/>
    </row>
    <row r="27" spans="1:15" ht="12.75" x14ac:dyDescent="0.2">
      <c r="A27" s="268">
        <v>17</v>
      </c>
      <c r="B27" s="272" t="s">
        <v>45</v>
      </c>
      <c r="C27" s="273" t="s">
        <v>452</v>
      </c>
      <c r="D27" s="229">
        <f t="shared" si="9"/>
        <v>35000</v>
      </c>
      <c r="E27" s="229">
        <f t="shared" si="7"/>
        <v>0</v>
      </c>
      <c r="F27" s="229">
        <v>0</v>
      </c>
      <c r="G27" s="229">
        <v>0</v>
      </c>
      <c r="H27" s="229">
        <f t="shared" si="8"/>
        <v>35000</v>
      </c>
      <c r="I27" s="229">
        <v>1450</v>
      </c>
      <c r="J27" s="229">
        <v>34</v>
      </c>
      <c r="K27" s="229">
        <v>620</v>
      </c>
      <c r="L27" s="229">
        <v>50</v>
      </c>
      <c r="M27" s="229">
        <v>21822</v>
      </c>
      <c r="N27" s="229">
        <v>11024</v>
      </c>
      <c r="O27" s="215"/>
    </row>
    <row r="28" spans="1:15" ht="12.75" x14ac:dyDescent="0.2">
      <c r="A28" s="268">
        <v>18</v>
      </c>
      <c r="B28" s="272" t="s">
        <v>46</v>
      </c>
      <c r="C28" s="273" t="s">
        <v>47</v>
      </c>
      <c r="D28" s="229">
        <f t="shared" si="9"/>
        <v>60000</v>
      </c>
      <c r="E28" s="229">
        <f t="shared" si="7"/>
        <v>0</v>
      </c>
      <c r="F28" s="229">
        <v>0</v>
      </c>
      <c r="G28" s="229">
        <v>0</v>
      </c>
      <c r="H28" s="229">
        <f t="shared" si="8"/>
        <v>60000</v>
      </c>
      <c r="I28" s="229">
        <v>2110</v>
      </c>
      <c r="J28" s="229">
        <v>870</v>
      </c>
      <c r="K28" s="229">
        <v>0</v>
      </c>
      <c r="L28" s="229">
        <v>0</v>
      </c>
      <c r="M28" s="229">
        <v>35820</v>
      </c>
      <c r="N28" s="229">
        <v>21200</v>
      </c>
      <c r="O28" s="215"/>
    </row>
    <row r="29" spans="1:15" ht="12.75" x14ac:dyDescent="0.2">
      <c r="A29" s="268">
        <v>19</v>
      </c>
      <c r="B29" s="269" t="s">
        <v>48</v>
      </c>
      <c r="C29" s="270" t="s">
        <v>49</v>
      </c>
      <c r="D29" s="229">
        <f t="shared" si="9"/>
        <v>12848</v>
      </c>
      <c r="E29" s="229">
        <f t="shared" si="7"/>
        <v>0</v>
      </c>
      <c r="F29" s="229">
        <v>0</v>
      </c>
      <c r="G29" s="229">
        <v>0</v>
      </c>
      <c r="H29" s="229">
        <f t="shared" si="8"/>
        <v>12848</v>
      </c>
      <c r="I29" s="229">
        <v>2820</v>
      </c>
      <c r="J29" s="229">
        <v>200</v>
      </c>
      <c r="K29" s="229">
        <v>200</v>
      </c>
      <c r="L29" s="229">
        <v>53</v>
      </c>
      <c r="M29" s="229">
        <v>4090</v>
      </c>
      <c r="N29" s="229">
        <v>5485</v>
      </c>
      <c r="O29" s="215"/>
    </row>
    <row r="30" spans="1:15" ht="12.75" x14ac:dyDescent="0.2">
      <c r="A30" s="268">
        <v>20</v>
      </c>
      <c r="B30" s="269" t="s">
        <v>50</v>
      </c>
      <c r="C30" s="270" t="s">
        <v>453</v>
      </c>
      <c r="D30" s="229">
        <f t="shared" si="9"/>
        <v>7000</v>
      </c>
      <c r="E30" s="229">
        <f t="shared" si="7"/>
        <v>0</v>
      </c>
      <c r="F30" s="229">
        <v>0</v>
      </c>
      <c r="G30" s="229">
        <v>0</v>
      </c>
      <c r="H30" s="229">
        <f t="shared" si="8"/>
        <v>7000</v>
      </c>
      <c r="I30" s="229">
        <v>1015</v>
      </c>
      <c r="J30" s="229">
        <v>0</v>
      </c>
      <c r="K30" s="229">
        <v>0</v>
      </c>
      <c r="L30" s="229">
        <v>0</v>
      </c>
      <c r="M30" s="229">
        <v>5114</v>
      </c>
      <c r="N30" s="229">
        <v>871</v>
      </c>
      <c r="O30" s="215"/>
    </row>
    <row r="31" spans="1:15" ht="12.75" x14ac:dyDescent="0.2">
      <c r="A31" s="268">
        <v>21</v>
      </c>
      <c r="B31" s="269" t="s">
        <v>51</v>
      </c>
      <c r="C31" s="270" t="s">
        <v>52</v>
      </c>
      <c r="D31" s="229">
        <f t="shared" si="9"/>
        <v>31743</v>
      </c>
      <c r="E31" s="229">
        <f t="shared" si="7"/>
        <v>0</v>
      </c>
      <c r="F31" s="229">
        <v>0</v>
      </c>
      <c r="G31" s="229">
        <v>0</v>
      </c>
      <c r="H31" s="229">
        <f t="shared" si="8"/>
        <v>31743</v>
      </c>
      <c r="I31" s="229">
        <v>8995</v>
      </c>
      <c r="J31" s="229">
        <v>145</v>
      </c>
      <c r="K31" s="229">
        <v>0</v>
      </c>
      <c r="L31" s="229">
        <v>0</v>
      </c>
      <c r="M31" s="229">
        <v>14479</v>
      </c>
      <c r="N31" s="229">
        <v>8124</v>
      </c>
      <c r="O31" s="215"/>
    </row>
    <row r="32" spans="1:15" ht="12.75" x14ac:dyDescent="0.2">
      <c r="A32" s="268">
        <v>22</v>
      </c>
      <c r="B32" s="269" t="s">
        <v>53</v>
      </c>
      <c r="C32" s="270" t="s">
        <v>54</v>
      </c>
      <c r="D32" s="229">
        <f t="shared" si="9"/>
        <v>25000</v>
      </c>
      <c r="E32" s="229">
        <f t="shared" si="7"/>
        <v>0</v>
      </c>
      <c r="F32" s="229">
        <v>0</v>
      </c>
      <c r="G32" s="229">
        <v>0</v>
      </c>
      <c r="H32" s="229">
        <f t="shared" si="8"/>
        <v>25000</v>
      </c>
      <c r="I32" s="229">
        <v>380</v>
      </c>
      <c r="J32" s="229">
        <v>20</v>
      </c>
      <c r="K32" s="229">
        <v>0</v>
      </c>
      <c r="L32" s="229">
        <v>0</v>
      </c>
      <c r="M32" s="229">
        <v>15500</v>
      </c>
      <c r="N32" s="229">
        <v>9100</v>
      </c>
      <c r="O32" s="215"/>
    </row>
    <row r="33" spans="1:15" ht="12.75" x14ac:dyDescent="0.2">
      <c r="A33" s="268">
        <v>23</v>
      </c>
      <c r="B33" s="272" t="s">
        <v>55</v>
      </c>
      <c r="C33" s="273" t="s">
        <v>56</v>
      </c>
      <c r="D33" s="229">
        <f t="shared" si="9"/>
        <v>6011</v>
      </c>
      <c r="E33" s="229">
        <f t="shared" si="7"/>
        <v>0</v>
      </c>
      <c r="F33" s="229">
        <v>0</v>
      </c>
      <c r="G33" s="229">
        <v>0</v>
      </c>
      <c r="H33" s="229">
        <f t="shared" si="8"/>
        <v>6011</v>
      </c>
      <c r="I33" s="229">
        <v>380</v>
      </c>
      <c r="J33" s="229">
        <v>15</v>
      </c>
      <c r="K33" s="229">
        <v>0</v>
      </c>
      <c r="L33" s="229">
        <v>0</v>
      </c>
      <c r="M33" s="229">
        <v>4288</v>
      </c>
      <c r="N33" s="229">
        <v>1328</v>
      </c>
      <c r="O33" s="215"/>
    </row>
    <row r="34" spans="1:15" x14ac:dyDescent="0.2">
      <c r="A34" s="268">
        <v>24</v>
      </c>
      <c r="B34" s="239" t="s">
        <v>57</v>
      </c>
      <c r="C34" s="238" t="s">
        <v>58</v>
      </c>
      <c r="D34" s="229">
        <f t="shared" si="9"/>
        <v>0</v>
      </c>
      <c r="E34" s="229">
        <v>0</v>
      </c>
      <c r="F34" s="229">
        <v>0</v>
      </c>
      <c r="G34" s="229">
        <v>0</v>
      </c>
      <c r="H34" s="229">
        <f t="shared" si="8"/>
        <v>0</v>
      </c>
      <c r="I34" s="229">
        <v>0</v>
      </c>
      <c r="J34" s="229">
        <v>0</v>
      </c>
      <c r="K34" s="229">
        <v>0</v>
      </c>
      <c r="L34" s="229">
        <v>0</v>
      </c>
      <c r="M34" s="229">
        <v>0</v>
      </c>
      <c r="N34" s="229">
        <v>0</v>
      </c>
      <c r="O34" s="215"/>
    </row>
    <row r="35" spans="1:15" ht="24" x14ac:dyDescent="0.2">
      <c r="A35" s="268">
        <v>25</v>
      </c>
      <c r="B35" s="239" t="s">
        <v>454</v>
      </c>
      <c r="C35" s="238" t="s">
        <v>455</v>
      </c>
      <c r="D35" s="229">
        <f t="shared" si="9"/>
        <v>0</v>
      </c>
      <c r="E35" s="229">
        <v>0</v>
      </c>
      <c r="F35" s="229">
        <v>0</v>
      </c>
      <c r="G35" s="229">
        <v>0</v>
      </c>
      <c r="H35" s="229">
        <f t="shared" si="8"/>
        <v>0</v>
      </c>
      <c r="I35" s="229">
        <v>0</v>
      </c>
      <c r="J35" s="229">
        <v>0</v>
      </c>
      <c r="K35" s="229">
        <v>0</v>
      </c>
      <c r="L35" s="229">
        <v>0</v>
      </c>
      <c r="M35" s="229">
        <v>0</v>
      </c>
      <c r="N35" s="229">
        <v>0</v>
      </c>
      <c r="O35" s="215"/>
    </row>
    <row r="36" spans="1:15" ht="12.75" x14ac:dyDescent="0.2">
      <c r="A36" s="268">
        <v>26</v>
      </c>
      <c r="B36" s="269" t="s">
        <v>6</v>
      </c>
      <c r="C36" s="275" t="s">
        <v>59</v>
      </c>
      <c r="D36" s="229">
        <f t="shared" si="9"/>
        <v>75937</v>
      </c>
      <c r="E36" s="229">
        <f t="shared" si="7"/>
        <v>0</v>
      </c>
      <c r="F36" s="229">
        <v>0</v>
      </c>
      <c r="G36" s="229">
        <v>0</v>
      </c>
      <c r="H36" s="229">
        <f t="shared" si="8"/>
        <v>75937</v>
      </c>
      <c r="I36" s="229">
        <v>10668</v>
      </c>
      <c r="J36" s="229">
        <v>0</v>
      </c>
      <c r="K36" s="229">
        <v>0</v>
      </c>
      <c r="L36" s="229">
        <v>0</v>
      </c>
      <c r="M36" s="229">
        <v>65269</v>
      </c>
      <c r="N36" s="229">
        <v>0</v>
      </c>
      <c r="O36" s="215"/>
    </row>
    <row r="37" spans="1:15" ht="12.75" x14ac:dyDescent="0.2">
      <c r="A37" s="268">
        <v>27</v>
      </c>
      <c r="B37" s="272" t="s">
        <v>5</v>
      </c>
      <c r="C37" s="273" t="s">
        <v>17</v>
      </c>
      <c r="D37" s="229">
        <f t="shared" si="9"/>
        <v>83139</v>
      </c>
      <c r="E37" s="229">
        <f t="shared" si="7"/>
        <v>0</v>
      </c>
      <c r="F37" s="229">
        <v>0</v>
      </c>
      <c r="G37" s="229">
        <v>0</v>
      </c>
      <c r="H37" s="229">
        <f t="shared" si="8"/>
        <v>83139</v>
      </c>
      <c r="I37" s="229">
        <v>5584</v>
      </c>
      <c r="J37" s="229">
        <v>864</v>
      </c>
      <c r="K37" s="229">
        <v>60</v>
      </c>
      <c r="L37" s="229">
        <v>50</v>
      </c>
      <c r="M37" s="229">
        <v>64755</v>
      </c>
      <c r="N37" s="229">
        <v>11826</v>
      </c>
      <c r="O37" s="215"/>
    </row>
    <row r="38" spans="1:15" ht="12.75" x14ac:dyDescent="0.2">
      <c r="A38" s="268">
        <v>28</v>
      </c>
      <c r="B38" s="272" t="s">
        <v>60</v>
      </c>
      <c r="C38" s="273" t="s">
        <v>61</v>
      </c>
      <c r="D38" s="229">
        <f t="shared" si="9"/>
        <v>11225</v>
      </c>
      <c r="E38" s="229">
        <f t="shared" si="7"/>
        <v>0</v>
      </c>
      <c r="F38" s="229">
        <v>0</v>
      </c>
      <c r="G38" s="229">
        <v>0</v>
      </c>
      <c r="H38" s="229">
        <f t="shared" si="8"/>
        <v>11225</v>
      </c>
      <c r="I38" s="229">
        <v>0</v>
      </c>
      <c r="J38" s="229">
        <v>2300</v>
      </c>
      <c r="K38" s="229">
        <v>0</v>
      </c>
      <c r="L38" s="229">
        <v>200</v>
      </c>
      <c r="M38" s="229">
        <v>0</v>
      </c>
      <c r="N38" s="229">
        <v>8725</v>
      </c>
      <c r="O38" s="215"/>
    </row>
    <row r="39" spans="1:15" ht="12.75" x14ac:dyDescent="0.2">
      <c r="A39" s="268">
        <v>29</v>
      </c>
      <c r="B39" s="269" t="s">
        <v>315</v>
      </c>
      <c r="C39" s="270" t="s">
        <v>316</v>
      </c>
      <c r="D39" s="229">
        <f t="shared" si="9"/>
        <v>700</v>
      </c>
      <c r="E39" s="229">
        <f t="shared" si="7"/>
        <v>700</v>
      </c>
      <c r="F39" s="229">
        <v>455</v>
      </c>
      <c r="G39" s="229">
        <v>245</v>
      </c>
      <c r="H39" s="229">
        <f t="shared" si="8"/>
        <v>0</v>
      </c>
      <c r="I39" s="229">
        <v>0</v>
      </c>
      <c r="J39" s="229">
        <v>0</v>
      </c>
      <c r="K39" s="229">
        <v>0</v>
      </c>
      <c r="L39" s="229">
        <v>0</v>
      </c>
      <c r="M39" s="229">
        <v>0</v>
      </c>
      <c r="N39" s="229">
        <v>0</v>
      </c>
      <c r="O39" s="215"/>
    </row>
    <row r="40" spans="1:15" ht="12.75" x14ac:dyDescent="0.2">
      <c r="A40" s="268">
        <v>30</v>
      </c>
      <c r="B40" s="271" t="s">
        <v>317</v>
      </c>
      <c r="C40" s="275" t="s">
        <v>318</v>
      </c>
      <c r="D40" s="229">
        <f t="shared" si="9"/>
        <v>0</v>
      </c>
      <c r="E40" s="229">
        <f t="shared" si="7"/>
        <v>0</v>
      </c>
      <c r="F40" s="229">
        <v>0</v>
      </c>
      <c r="G40" s="229">
        <v>0</v>
      </c>
      <c r="H40" s="229">
        <f t="shared" si="8"/>
        <v>0</v>
      </c>
      <c r="I40" s="229">
        <v>0</v>
      </c>
      <c r="J40" s="229">
        <v>0</v>
      </c>
      <c r="K40" s="229">
        <v>0</v>
      </c>
      <c r="L40" s="229">
        <v>0</v>
      </c>
      <c r="M40" s="229">
        <v>0</v>
      </c>
      <c r="N40" s="229">
        <v>0</v>
      </c>
      <c r="O40" s="215"/>
    </row>
    <row r="41" spans="1:15" ht="24" x14ac:dyDescent="0.2">
      <c r="A41" s="268">
        <v>31</v>
      </c>
      <c r="B41" s="240" t="s">
        <v>456</v>
      </c>
      <c r="C41" s="241" t="s">
        <v>457</v>
      </c>
      <c r="D41" s="229">
        <f t="shared" si="9"/>
        <v>0</v>
      </c>
      <c r="E41" s="229">
        <v>0</v>
      </c>
      <c r="F41" s="229">
        <v>0</v>
      </c>
      <c r="G41" s="229">
        <v>0</v>
      </c>
      <c r="H41" s="229">
        <f t="shared" si="8"/>
        <v>0</v>
      </c>
      <c r="I41" s="229">
        <v>0</v>
      </c>
      <c r="J41" s="229">
        <v>0</v>
      </c>
      <c r="K41" s="229">
        <v>0</v>
      </c>
      <c r="L41" s="229">
        <v>0</v>
      </c>
      <c r="M41" s="229">
        <v>0</v>
      </c>
      <c r="N41" s="229">
        <v>0</v>
      </c>
      <c r="O41" s="215"/>
    </row>
    <row r="42" spans="1:15" ht="18" customHeight="1" x14ac:dyDescent="0.2">
      <c r="A42" s="268">
        <v>32</v>
      </c>
      <c r="B42" s="272" t="s">
        <v>62</v>
      </c>
      <c r="C42" s="273" t="s">
        <v>63</v>
      </c>
      <c r="D42" s="229">
        <f t="shared" si="9"/>
        <v>2100</v>
      </c>
      <c r="E42" s="229">
        <f t="shared" si="7"/>
        <v>0</v>
      </c>
      <c r="F42" s="229">
        <v>0</v>
      </c>
      <c r="G42" s="229">
        <v>0</v>
      </c>
      <c r="H42" s="229">
        <f t="shared" si="8"/>
        <v>2100</v>
      </c>
      <c r="I42" s="229">
        <v>80</v>
      </c>
      <c r="J42" s="229">
        <v>0</v>
      </c>
      <c r="K42" s="229">
        <v>0</v>
      </c>
      <c r="L42" s="229">
        <v>0</v>
      </c>
      <c r="M42" s="229">
        <v>2020</v>
      </c>
      <c r="N42" s="229">
        <v>0</v>
      </c>
      <c r="O42" s="215"/>
    </row>
    <row r="43" spans="1:15" ht="12.75" x14ac:dyDescent="0.2">
      <c r="A43" s="268">
        <v>33</v>
      </c>
      <c r="B43" s="271" t="s">
        <v>64</v>
      </c>
      <c r="C43" s="270" t="s">
        <v>65</v>
      </c>
      <c r="D43" s="229">
        <f t="shared" si="9"/>
        <v>60463</v>
      </c>
      <c r="E43" s="229">
        <f t="shared" si="7"/>
        <v>0</v>
      </c>
      <c r="F43" s="229">
        <v>0</v>
      </c>
      <c r="G43" s="229">
        <v>0</v>
      </c>
      <c r="H43" s="229">
        <f t="shared" si="8"/>
        <v>60463</v>
      </c>
      <c r="I43" s="229">
        <v>8642</v>
      </c>
      <c r="J43" s="229">
        <v>494</v>
      </c>
      <c r="K43" s="229">
        <v>3011</v>
      </c>
      <c r="L43" s="229">
        <v>132</v>
      </c>
      <c r="M43" s="229">
        <v>36538</v>
      </c>
      <c r="N43" s="229">
        <v>11646</v>
      </c>
      <c r="O43" s="215"/>
    </row>
    <row r="44" spans="1:15" ht="12.75" x14ac:dyDescent="0.2">
      <c r="A44" s="268">
        <v>34</v>
      </c>
      <c r="B44" s="274" t="s">
        <v>66</v>
      </c>
      <c r="C44" s="275" t="s">
        <v>67</v>
      </c>
      <c r="D44" s="229">
        <f t="shared" si="9"/>
        <v>58500</v>
      </c>
      <c r="E44" s="229">
        <f t="shared" si="7"/>
        <v>0</v>
      </c>
      <c r="F44" s="229">
        <v>0</v>
      </c>
      <c r="G44" s="229">
        <v>0</v>
      </c>
      <c r="H44" s="229">
        <f t="shared" si="8"/>
        <v>58500</v>
      </c>
      <c r="I44" s="229">
        <v>3900</v>
      </c>
      <c r="J44" s="229">
        <v>600</v>
      </c>
      <c r="K44" s="229">
        <v>0</v>
      </c>
      <c r="L44" s="229">
        <v>0</v>
      </c>
      <c r="M44" s="229">
        <v>39300</v>
      </c>
      <c r="N44" s="229">
        <v>14700</v>
      </c>
      <c r="O44" s="215"/>
    </row>
    <row r="45" spans="1:15" ht="12.75" x14ac:dyDescent="0.2">
      <c r="A45" s="268">
        <v>35</v>
      </c>
      <c r="B45" s="269" t="s">
        <v>320</v>
      </c>
      <c r="C45" s="270" t="s">
        <v>321</v>
      </c>
      <c r="D45" s="229">
        <f t="shared" si="9"/>
        <v>200</v>
      </c>
      <c r="E45" s="229">
        <f t="shared" si="7"/>
        <v>200</v>
      </c>
      <c r="F45" s="229">
        <v>144</v>
      </c>
      <c r="G45" s="229">
        <v>56</v>
      </c>
      <c r="H45" s="229">
        <f t="shared" si="8"/>
        <v>0</v>
      </c>
      <c r="I45" s="229">
        <v>0</v>
      </c>
      <c r="J45" s="229">
        <v>0</v>
      </c>
      <c r="K45" s="229">
        <v>0</v>
      </c>
      <c r="L45" s="229">
        <v>0</v>
      </c>
      <c r="M45" s="229">
        <v>0</v>
      </c>
      <c r="N45" s="229">
        <v>0</v>
      </c>
      <c r="O45" s="215"/>
    </row>
    <row r="46" spans="1:15" ht="12.75" x14ac:dyDescent="0.2">
      <c r="A46" s="268">
        <v>36</v>
      </c>
      <c r="B46" s="271" t="s">
        <v>68</v>
      </c>
      <c r="C46" s="270" t="s">
        <v>69</v>
      </c>
      <c r="D46" s="229">
        <f t="shared" si="9"/>
        <v>16526</v>
      </c>
      <c r="E46" s="229">
        <f t="shared" si="7"/>
        <v>0</v>
      </c>
      <c r="F46" s="229">
        <v>0</v>
      </c>
      <c r="G46" s="229">
        <v>0</v>
      </c>
      <c r="H46" s="229">
        <f t="shared" si="8"/>
        <v>16526</v>
      </c>
      <c r="I46" s="229">
        <v>740</v>
      </c>
      <c r="J46" s="229">
        <v>100</v>
      </c>
      <c r="K46" s="229">
        <v>10</v>
      </c>
      <c r="L46" s="229">
        <v>10</v>
      </c>
      <c r="M46" s="229">
        <v>9835</v>
      </c>
      <c r="N46" s="229">
        <v>5831</v>
      </c>
      <c r="O46" s="215"/>
    </row>
    <row r="47" spans="1:15" ht="12.75" x14ac:dyDescent="0.2">
      <c r="A47" s="268">
        <v>37</v>
      </c>
      <c r="B47" s="272" t="s">
        <v>70</v>
      </c>
      <c r="C47" s="273" t="s">
        <v>71</v>
      </c>
      <c r="D47" s="229">
        <f t="shared" si="9"/>
        <v>55000</v>
      </c>
      <c r="E47" s="229">
        <f t="shared" si="7"/>
        <v>0</v>
      </c>
      <c r="F47" s="229">
        <v>0</v>
      </c>
      <c r="G47" s="229">
        <v>0</v>
      </c>
      <c r="H47" s="229">
        <f t="shared" si="8"/>
        <v>55000</v>
      </c>
      <c r="I47" s="229">
        <v>2660</v>
      </c>
      <c r="J47" s="229">
        <v>223</v>
      </c>
      <c r="K47" s="229">
        <v>1200</v>
      </c>
      <c r="L47" s="229">
        <v>200</v>
      </c>
      <c r="M47" s="229">
        <v>30679</v>
      </c>
      <c r="N47" s="229">
        <v>20038</v>
      </c>
      <c r="O47" s="215"/>
    </row>
    <row r="48" spans="1:15" ht="12.75" x14ac:dyDescent="0.2">
      <c r="A48" s="268">
        <v>38</v>
      </c>
      <c r="B48" s="271" t="s">
        <v>72</v>
      </c>
      <c r="C48" s="270" t="s">
        <v>73</v>
      </c>
      <c r="D48" s="229">
        <f t="shared" si="9"/>
        <v>22926</v>
      </c>
      <c r="E48" s="229">
        <f t="shared" si="7"/>
        <v>0</v>
      </c>
      <c r="F48" s="229">
        <v>0</v>
      </c>
      <c r="G48" s="229">
        <v>0</v>
      </c>
      <c r="H48" s="229">
        <f t="shared" si="8"/>
        <v>22926</v>
      </c>
      <c r="I48" s="229">
        <v>2233</v>
      </c>
      <c r="J48" s="229">
        <v>170</v>
      </c>
      <c r="K48" s="229">
        <v>225</v>
      </c>
      <c r="L48" s="229">
        <v>20</v>
      </c>
      <c r="M48" s="229">
        <v>10125</v>
      </c>
      <c r="N48" s="229">
        <v>10153</v>
      </c>
      <c r="O48" s="215"/>
    </row>
    <row r="49" spans="1:15" ht="12.75" x14ac:dyDescent="0.2">
      <c r="A49" s="268">
        <v>39</v>
      </c>
      <c r="B49" s="269" t="s">
        <v>74</v>
      </c>
      <c r="C49" s="270" t="s">
        <v>458</v>
      </c>
      <c r="D49" s="229">
        <f t="shared" si="9"/>
        <v>50000</v>
      </c>
      <c r="E49" s="229">
        <f t="shared" si="7"/>
        <v>0</v>
      </c>
      <c r="F49" s="229">
        <v>0</v>
      </c>
      <c r="G49" s="229">
        <v>0</v>
      </c>
      <c r="H49" s="229">
        <f t="shared" si="8"/>
        <v>50000</v>
      </c>
      <c r="I49" s="229">
        <v>3489</v>
      </c>
      <c r="J49" s="229">
        <v>492</v>
      </c>
      <c r="K49" s="229">
        <v>0</v>
      </c>
      <c r="L49" s="229">
        <v>0</v>
      </c>
      <c r="M49" s="229">
        <v>33594</v>
      </c>
      <c r="N49" s="229">
        <v>12425</v>
      </c>
      <c r="O49" s="215"/>
    </row>
    <row r="50" spans="1:15" ht="12.75" x14ac:dyDescent="0.2">
      <c r="A50" s="268">
        <v>40</v>
      </c>
      <c r="B50" s="276" t="s">
        <v>75</v>
      </c>
      <c r="C50" s="277" t="s">
        <v>459</v>
      </c>
      <c r="D50" s="229">
        <f t="shared" si="9"/>
        <v>17741</v>
      </c>
      <c r="E50" s="229">
        <f t="shared" si="7"/>
        <v>0</v>
      </c>
      <c r="F50" s="229">
        <v>0</v>
      </c>
      <c r="G50" s="229">
        <v>0</v>
      </c>
      <c r="H50" s="229">
        <f t="shared" si="8"/>
        <v>17741</v>
      </c>
      <c r="I50" s="229">
        <v>1090</v>
      </c>
      <c r="J50" s="229">
        <v>256</v>
      </c>
      <c r="K50" s="229">
        <v>1450</v>
      </c>
      <c r="L50" s="229">
        <v>49</v>
      </c>
      <c r="M50" s="229">
        <v>11730</v>
      </c>
      <c r="N50" s="229">
        <v>3166</v>
      </c>
      <c r="O50" s="215"/>
    </row>
    <row r="51" spans="1:15" ht="12.75" x14ac:dyDescent="0.2">
      <c r="A51" s="268">
        <v>41</v>
      </c>
      <c r="B51" s="269" t="s">
        <v>76</v>
      </c>
      <c r="C51" s="270" t="s">
        <v>460</v>
      </c>
      <c r="D51" s="229">
        <f t="shared" si="9"/>
        <v>13606</v>
      </c>
      <c r="E51" s="229">
        <f t="shared" si="7"/>
        <v>0</v>
      </c>
      <c r="F51" s="229">
        <v>0</v>
      </c>
      <c r="G51" s="229">
        <v>0</v>
      </c>
      <c r="H51" s="229">
        <f t="shared" si="8"/>
        <v>13606</v>
      </c>
      <c r="I51" s="229">
        <v>136</v>
      </c>
      <c r="J51" s="229">
        <v>67</v>
      </c>
      <c r="K51" s="229">
        <v>0</v>
      </c>
      <c r="L51" s="229">
        <v>1</v>
      </c>
      <c r="M51" s="229">
        <v>13243</v>
      </c>
      <c r="N51" s="229">
        <v>159</v>
      </c>
      <c r="O51" s="215"/>
    </row>
    <row r="52" spans="1:15" ht="12.75" x14ac:dyDescent="0.2">
      <c r="A52" s="268">
        <v>42</v>
      </c>
      <c r="B52" s="274" t="s">
        <v>77</v>
      </c>
      <c r="C52" s="275" t="s">
        <v>78</v>
      </c>
      <c r="D52" s="229">
        <f t="shared" si="9"/>
        <v>25000</v>
      </c>
      <c r="E52" s="229">
        <f t="shared" si="7"/>
        <v>0</v>
      </c>
      <c r="F52" s="229">
        <v>0</v>
      </c>
      <c r="G52" s="229">
        <v>0</v>
      </c>
      <c r="H52" s="229">
        <f t="shared" si="8"/>
        <v>25000</v>
      </c>
      <c r="I52" s="229">
        <v>2669</v>
      </c>
      <c r="J52" s="229">
        <v>40</v>
      </c>
      <c r="K52" s="229">
        <v>0</v>
      </c>
      <c r="L52" s="229">
        <v>0</v>
      </c>
      <c r="M52" s="229">
        <v>14231</v>
      </c>
      <c r="N52" s="229">
        <v>8060</v>
      </c>
      <c r="O52" s="215"/>
    </row>
    <row r="53" spans="1:15" ht="12.75" x14ac:dyDescent="0.2">
      <c r="A53" s="268">
        <v>43</v>
      </c>
      <c r="B53" s="272" t="s">
        <v>322</v>
      </c>
      <c r="C53" s="273" t="s">
        <v>323</v>
      </c>
      <c r="D53" s="229">
        <f t="shared" si="9"/>
        <v>10491</v>
      </c>
      <c r="E53" s="229">
        <f t="shared" si="7"/>
        <v>0</v>
      </c>
      <c r="F53" s="229">
        <v>0</v>
      </c>
      <c r="G53" s="229">
        <v>0</v>
      </c>
      <c r="H53" s="229">
        <f t="shared" si="8"/>
        <v>10491</v>
      </c>
      <c r="I53" s="229">
        <v>386</v>
      </c>
      <c r="J53" s="229">
        <v>13</v>
      </c>
      <c r="K53" s="229">
        <v>0</v>
      </c>
      <c r="L53" s="229">
        <v>0</v>
      </c>
      <c r="M53" s="229">
        <v>7931</v>
      </c>
      <c r="N53" s="229">
        <v>2161</v>
      </c>
      <c r="O53" s="215"/>
    </row>
    <row r="54" spans="1:15" ht="12.75" x14ac:dyDescent="0.2">
      <c r="A54" s="268">
        <v>44</v>
      </c>
      <c r="B54" s="271" t="s">
        <v>79</v>
      </c>
      <c r="C54" s="270" t="s">
        <v>80</v>
      </c>
      <c r="D54" s="229">
        <f t="shared" si="9"/>
        <v>10000</v>
      </c>
      <c r="E54" s="229">
        <f t="shared" si="7"/>
        <v>0</v>
      </c>
      <c r="F54" s="229">
        <v>0</v>
      </c>
      <c r="G54" s="229">
        <v>0</v>
      </c>
      <c r="H54" s="229">
        <f t="shared" si="8"/>
        <v>10000</v>
      </c>
      <c r="I54" s="229">
        <v>626</v>
      </c>
      <c r="J54" s="229">
        <v>0</v>
      </c>
      <c r="K54" s="229">
        <v>0</v>
      </c>
      <c r="L54" s="229">
        <v>0</v>
      </c>
      <c r="M54" s="229">
        <v>9374</v>
      </c>
      <c r="N54" s="229">
        <v>0</v>
      </c>
      <c r="O54" s="215"/>
    </row>
    <row r="55" spans="1:15" ht="12.75" x14ac:dyDescent="0.2">
      <c r="A55" s="268">
        <v>45</v>
      </c>
      <c r="B55" s="272" t="s">
        <v>81</v>
      </c>
      <c r="C55" s="273" t="s">
        <v>82</v>
      </c>
      <c r="D55" s="229">
        <f t="shared" si="9"/>
        <v>87008</v>
      </c>
      <c r="E55" s="229">
        <f t="shared" si="7"/>
        <v>0</v>
      </c>
      <c r="F55" s="229">
        <v>0</v>
      </c>
      <c r="G55" s="229">
        <v>0</v>
      </c>
      <c r="H55" s="229">
        <f t="shared" si="8"/>
        <v>87008</v>
      </c>
      <c r="I55" s="229">
        <v>3200</v>
      </c>
      <c r="J55" s="229">
        <v>1520</v>
      </c>
      <c r="K55" s="229">
        <v>0</v>
      </c>
      <c r="L55" s="229">
        <v>0</v>
      </c>
      <c r="M55" s="229">
        <v>50572</v>
      </c>
      <c r="N55" s="229">
        <v>31716</v>
      </c>
      <c r="O55" s="215"/>
    </row>
    <row r="56" spans="1:15" ht="12.75" x14ac:dyDescent="0.2">
      <c r="A56" s="268">
        <v>46</v>
      </c>
      <c r="B56" s="269" t="s">
        <v>83</v>
      </c>
      <c r="C56" s="270" t="s">
        <v>461</v>
      </c>
      <c r="D56" s="229">
        <f t="shared" si="9"/>
        <v>22421</v>
      </c>
      <c r="E56" s="229">
        <f t="shared" si="7"/>
        <v>0</v>
      </c>
      <c r="F56" s="229">
        <v>0</v>
      </c>
      <c r="G56" s="229">
        <v>0</v>
      </c>
      <c r="H56" s="229">
        <f t="shared" si="8"/>
        <v>22421</v>
      </c>
      <c r="I56" s="229">
        <v>1890</v>
      </c>
      <c r="J56" s="229">
        <v>46</v>
      </c>
      <c r="K56" s="229">
        <v>0</v>
      </c>
      <c r="L56" s="229">
        <v>0</v>
      </c>
      <c r="M56" s="229">
        <v>16281</v>
      </c>
      <c r="N56" s="229">
        <v>4204</v>
      </c>
      <c r="O56" s="215"/>
    </row>
    <row r="57" spans="1:15" ht="12.75" x14ac:dyDescent="0.2">
      <c r="A57" s="268">
        <v>47</v>
      </c>
      <c r="B57" s="269" t="s">
        <v>84</v>
      </c>
      <c r="C57" s="270" t="s">
        <v>85</v>
      </c>
      <c r="D57" s="229">
        <f t="shared" si="9"/>
        <v>58356</v>
      </c>
      <c r="E57" s="229">
        <f t="shared" si="7"/>
        <v>0</v>
      </c>
      <c r="F57" s="229">
        <v>0</v>
      </c>
      <c r="G57" s="229">
        <v>0</v>
      </c>
      <c r="H57" s="229">
        <f t="shared" si="8"/>
        <v>58356</v>
      </c>
      <c r="I57" s="229">
        <v>5629</v>
      </c>
      <c r="J57" s="229">
        <v>1088</v>
      </c>
      <c r="K57" s="229">
        <v>0</v>
      </c>
      <c r="L57" s="229">
        <v>0</v>
      </c>
      <c r="M57" s="229">
        <v>32783</v>
      </c>
      <c r="N57" s="229">
        <v>18856</v>
      </c>
      <c r="O57" s="215"/>
    </row>
    <row r="58" spans="1:15" ht="12.75" x14ac:dyDescent="0.2">
      <c r="A58" s="268">
        <v>48</v>
      </c>
      <c r="B58" s="278" t="s">
        <v>86</v>
      </c>
      <c r="C58" s="279" t="s">
        <v>87</v>
      </c>
      <c r="D58" s="229">
        <f t="shared" si="9"/>
        <v>15315</v>
      </c>
      <c r="E58" s="229">
        <f t="shared" si="7"/>
        <v>0</v>
      </c>
      <c r="F58" s="229">
        <v>0</v>
      </c>
      <c r="G58" s="229">
        <v>0</v>
      </c>
      <c r="H58" s="229">
        <f t="shared" si="8"/>
        <v>15315</v>
      </c>
      <c r="I58" s="229">
        <v>830</v>
      </c>
      <c r="J58" s="229">
        <v>285</v>
      </c>
      <c r="K58" s="229">
        <v>30</v>
      </c>
      <c r="L58" s="229">
        <v>30</v>
      </c>
      <c r="M58" s="229">
        <v>11390</v>
      </c>
      <c r="N58" s="229">
        <v>2750</v>
      </c>
      <c r="O58" s="215"/>
    </row>
    <row r="59" spans="1:15" ht="12.75" x14ac:dyDescent="0.2">
      <c r="A59" s="268">
        <v>49</v>
      </c>
      <c r="B59" s="272" t="s">
        <v>88</v>
      </c>
      <c r="C59" s="273" t="s">
        <v>462</v>
      </c>
      <c r="D59" s="229">
        <f t="shared" si="9"/>
        <v>22903</v>
      </c>
      <c r="E59" s="229">
        <f t="shared" si="7"/>
        <v>0</v>
      </c>
      <c r="F59" s="229">
        <v>0</v>
      </c>
      <c r="G59" s="229">
        <v>0</v>
      </c>
      <c r="H59" s="229">
        <f t="shared" si="8"/>
        <v>22903</v>
      </c>
      <c r="I59" s="229">
        <v>1260</v>
      </c>
      <c r="J59" s="229">
        <v>330</v>
      </c>
      <c r="K59" s="229">
        <v>100</v>
      </c>
      <c r="L59" s="229">
        <v>10</v>
      </c>
      <c r="M59" s="229">
        <v>13996</v>
      </c>
      <c r="N59" s="229">
        <v>7207</v>
      </c>
      <c r="O59" s="215"/>
    </row>
    <row r="60" spans="1:15" ht="12.75" x14ac:dyDescent="0.2">
      <c r="A60" s="268">
        <v>50</v>
      </c>
      <c r="B60" s="271" t="s">
        <v>89</v>
      </c>
      <c r="C60" s="270" t="s">
        <v>90</v>
      </c>
      <c r="D60" s="229">
        <f t="shared" si="9"/>
        <v>13591</v>
      </c>
      <c r="E60" s="229">
        <f t="shared" si="7"/>
        <v>0</v>
      </c>
      <c r="F60" s="229">
        <v>0</v>
      </c>
      <c r="G60" s="229">
        <v>0</v>
      </c>
      <c r="H60" s="229">
        <f t="shared" si="8"/>
        <v>13591</v>
      </c>
      <c r="I60" s="229">
        <v>2739</v>
      </c>
      <c r="J60" s="229">
        <v>110</v>
      </c>
      <c r="K60" s="229">
        <v>50</v>
      </c>
      <c r="L60" s="229">
        <v>25</v>
      </c>
      <c r="M60" s="229">
        <v>6006</v>
      </c>
      <c r="N60" s="229">
        <v>4661</v>
      </c>
      <c r="O60" s="215"/>
    </row>
    <row r="61" spans="1:15" ht="12.75" x14ac:dyDescent="0.2">
      <c r="A61" s="268">
        <v>51</v>
      </c>
      <c r="B61" s="272" t="s">
        <v>91</v>
      </c>
      <c r="C61" s="273" t="s">
        <v>92</v>
      </c>
      <c r="D61" s="229">
        <f t="shared" si="9"/>
        <v>14596</v>
      </c>
      <c r="E61" s="229">
        <f t="shared" si="7"/>
        <v>0</v>
      </c>
      <c r="F61" s="229">
        <v>0</v>
      </c>
      <c r="G61" s="229">
        <v>0</v>
      </c>
      <c r="H61" s="229">
        <f t="shared" si="8"/>
        <v>14596</v>
      </c>
      <c r="I61" s="229">
        <v>1388</v>
      </c>
      <c r="J61" s="229">
        <v>140</v>
      </c>
      <c r="K61" s="229">
        <v>420</v>
      </c>
      <c r="L61" s="229">
        <v>90</v>
      </c>
      <c r="M61" s="229">
        <v>9995</v>
      </c>
      <c r="N61" s="229">
        <v>2563</v>
      </c>
      <c r="O61" s="215"/>
    </row>
    <row r="62" spans="1:15" ht="12.75" x14ac:dyDescent="0.2">
      <c r="A62" s="268">
        <v>52</v>
      </c>
      <c r="B62" s="271" t="s">
        <v>93</v>
      </c>
      <c r="C62" s="270" t="s">
        <v>94</v>
      </c>
      <c r="D62" s="229">
        <f t="shared" si="9"/>
        <v>20820</v>
      </c>
      <c r="E62" s="229">
        <f t="shared" si="7"/>
        <v>0</v>
      </c>
      <c r="F62" s="229">
        <v>0</v>
      </c>
      <c r="G62" s="229">
        <v>0</v>
      </c>
      <c r="H62" s="229">
        <f t="shared" si="8"/>
        <v>20820</v>
      </c>
      <c r="I62" s="229">
        <v>1540</v>
      </c>
      <c r="J62" s="229">
        <v>130</v>
      </c>
      <c r="K62" s="229">
        <v>0</v>
      </c>
      <c r="L62" s="229">
        <v>0</v>
      </c>
      <c r="M62" s="229">
        <v>15870</v>
      </c>
      <c r="N62" s="229">
        <v>3280</v>
      </c>
      <c r="O62" s="215"/>
    </row>
    <row r="63" spans="1:15" ht="12.75" x14ac:dyDescent="0.2">
      <c r="A63" s="268">
        <v>53</v>
      </c>
      <c r="B63" s="272" t="s">
        <v>95</v>
      </c>
      <c r="C63" s="273" t="s">
        <v>463</v>
      </c>
      <c r="D63" s="229">
        <f t="shared" si="9"/>
        <v>36845</v>
      </c>
      <c r="E63" s="229">
        <f t="shared" si="7"/>
        <v>0</v>
      </c>
      <c r="F63" s="229">
        <v>0</v>
      </c>
      <c r="G63" s="229">
        <v>0</v>
      </c>
      <c r="H63" s="229">
        <f t="shared" si="8"/>
        <v>36845</v>
      </c>
      <c r="I63" s="229">
        <v>3253</v>
      </c>
      <c r="J63" s="229">
        <v>1405</v>
      </c>
      <c r="K63" s="229">
        <v>0</v>
      </c>
      <c r="L63" s="229">
        <v>2</v>
      </c>
      <c r="M63" s="229">
        <v>21020</v>
      </c>
      <c r="N63" s="229">
        <v>11165</v>
      </c>
      <c r="O63" s="215"/>
    </row>
    <row r="64" spans="1:15" ht="12.75" x14ac:dyDescent="0.2">
      <c r="A64" s="268">
        <v>54</v>
      </c>
      <c r="B64" s="272" t="s">
        <v>96</v>
      </c>
      <c r="C64" s="273" t="s">
        <v>97</v>
      </c>
      <c r="D64" s="229">
        <f t="shared" si="9"/>
        <v>96804</v>
      </c>
      <c r="E64" s="229">
        <f t="shared" si="7"/>
        <v>0</v>
      </c>
      <c r="F64" s="229">
        <v>0</v>
      </c>
      <c r="G64" s="229">
        <v>0</v>
      </c>
      <c r="H64" s="229">
        <f t="shared" si="8"/>
        <v>96804</v>
      </c>
      <c r="I64" s="229">
        <v>1505</v>
      </c>
      <c r="J64" s="229">
        <v>690</v>
      </c>
      <c r="K64" s="229">
        <v>50</v>
      </c>
      <c r="L64" s="229">
        <v>57</v>
      </c>
      <c r="M64" s="229">
        <v>56560</v>
      </c>
      <c r="N64" s="229">
        <v>37942</v>
      </c>
      <c r="O64" s="215"/>
    </row>
    <row r="65" spans="1:15" ht="12.75" x14ac:dyDescent="0.2">
      <c r="A65" s="268">
        <v>55</v>
      </c>
      <c r="B65" s="272" t="s">
        <v>98</v>
      </c>
      <c r="C65" s="273" t="s">
        <v>464</v>
      </c>
      <c r="D65" s="229">
        <f t="shared" si="9"/>
        <v>10206</v>
      </c>
      <c r="E65" s="229">
        <f t="shared" si="7"/>
        <v>0</v>
      </c>
      <c r="F65" s="229">
        <v>0</v>
      </c>
      <c r="G65" s="229">
        <v>0</v>
      </c>
      <c r="H65" s="229">
        <f t="shared" si="8"/>
        <v>10206</v>
      </c>
      <c r="I65" s="229">
        <v>368</v>
      </c>
      <c r="J65" s="229">
        <v>350</v>
      </c>
      <c r="K65" s="229">
        <v>10</v>
      </c>
      <c r="L65" s="229">
        <v>60</v>
      </c>
      <c r="M65" s="229">
        <v>8034</v>
      </c>
      <c r="N65" s="229">
        <v>1384</v>
      </c>
      <c r="O65" s="215"/>
    </row>
    <row r="66" spans="1:15" x14ac:dyDescent="0.2">
      <c r="A66" s="268">
        <v>56</v>
      </c>
      <c r="B66" s="239" t="s">
        <v>325</v>
      </c>
      <c r="C66" s="238" t="s">
        <v>465</v>
      </c>
      <c r="D66" s="229">
        <f t="shared" si="9"/>
        <v>0</v>
      </c>
      <c r="E66" s="229">
        <v>0</v>
      </c>
      <c r="F66" s="229">
        <v>0</v>
      </c>
      <c r="G66" s="229">
        <v>0</v>
      </c>
      <c r="H66" s="229">
        <f t="shared" si="8"/>
        <v>0</v>
      </c>
      <c r="I66" s="229">
        <v>0</v>
      </c>
      <c r="J66" s="229">
        <v>0</v>
      </c>
      <c r="K66" s="229">
        <v>0</v>
      </c>
      <c r="L66" s="229">
        <v>0</v>
      </c>
      <c r="M66" s="229">
        <v>0</v>
      </c>
      <c r="N66" s="229">
        <v>0</v>
      </c>
      <c r="O66" s="215"/>
    </row>
    <row r="67" spans="1:15" x14ac:dyDescent="0.2">
      <c r="A67" s="268">
        <v>57</v>
      </c>
      <c r="B67" s="239" t="s">
        <v>466</v>
      </c>
      <c r="C67" s="238" t="s">
        <v>467</v>
      </c>
      <c r="D67" s="229">
        <f t="shared" si="9"/>
        <v>0</v>
      </c>
      <c r="E67" s="229">
        <v>0</v>
      </c>
      <c r="F67" s="229">
        <v>0</v>
      </c>
      <c r="G67" s="229">
        <v>0</v>
      </c>
      <c r="H67" s="229">
        <f t="shared" si="8"/>
        <v>0</v>
      </c>
      <c r="I67" s="229">
        <v>0</v>
      </c>
      <c r="J67" s="229">
        <v>0</v>
      </c>
      <c r="K67" s="229">
        <v>0</v>
      </c>
      <c r="L67" s="229">
        <v>0</v>
      </c>
      <c r="M67" s="229">
        <v>0</v>
      </c>
      <c r="N67" s="229">
        <v>0</v>
      </c>
      <c r="O67" s="215"/>
    </row>
    <row r="68" spans="1:15" ht="25.5" x14ac:dyDescent="0.2">
      <c r="A68" s="268">
        <v>58</v>
      </c>
      <c r="B68" s="272" t="s">
        <v>99</v>
      </c>
      <c r="C68" s="273" t="s">
        <v>100</v>
      </c>
      <c r="D68" s="229">
        <f t="shared" si="9"/>
        <v>14035</v>
      </c>
      <c r="E68" s="229">
        <f t="shared" si="7"/>
        <v>0</v>
      </c>
      <c r="F68" s="229">
        <v>0</v>
      </c>
      <c r="G68" s="229">
        <v>0</v>
      </c>
      <c r="H68" s="229">
        <f t="shared" si="8"/>
        <v>14035</v>
      </c>
      <c r="I68" s="229">
        <v>0</v>
      </c>
      <c r="J68" s="229">
        <v>3019</v>
      </c>
      <c r="K68" s="229">
        <v>0</v>
      </c>
      <c r="L68" s="229">
        <v>0</v>
      </c>
      <c r="M68" s="229">
        <v>0</v>
      </c>
      <c r="N68" s="229">
        <v>11016</v>
      </c>
      <c r="O68" s="215"/>
    </row>
    <row r="69" spans="1:15" ht="25.5" x14ac:dyDescent="0.2">
      <c r="A69" s="268">
        <v>59</v>
      </c>
      <c r="B69" s="271" t="s">
        <v>101</v>
      </c>
      <c r="C69" s="273" t="s">
        <v>468</v>
      </c>
      <c r="D69" s="229">
        <f t="shared" si="9"/>
        <v>16566</v>
      </c>
      <c r="E69" s="229">
        <f t="shared" si="7"/>
        <v>0</v>
      </c>
      <c r="F69" s="229">
        <v>0</v>
      </c>
      <c r="G69" s="229">
        <v>0</v>
      </c>
      <c r="H69" s="229">
        <f t="shared" si="8"/>
        <v>16566</v>
      </c>
      <c r="I69" s="229">
        <v>0</v>
      </c>
      <c r="J69" s="229">
        <v>1660</v>
      </c>
      <c r="K69" s="229">
        <v>0</v>
      </c>
      <c r="L69" s="229">
        <v>0</v>
      </c>
      <c r="M69" s="229">
        <v>0</v>
      </c>
      <c r="N69" s="229">
        <v>14906</v>
      </c>
      <c r="O69" s="215"/>
    </row>
    <row r="70" spans="1:15" ht="25.5" x14ac:dyDescent="0.2">
      <c r="A70" s="268">
        <v>60</v>
      </c>
      <c r="B70" s="274" t="s">
        <v>102</v>
      </c>
      <c r="C70" s="275" t="s">
        <v>103</v>
      </c>
      <c r="D70" s="229">
        <f t="shared" si="9"/>
        <v>30998</v>
      </c>
      <c r="E70" s="229">
        <f t="shared" si="7"/>
        <v>0</v>
      </c>
      <c r="F70" s="229">
        <v>0</v>
      </c>
      <c r="G70" s="229">
        <v>0</v>
      </c>
      <c r="H70" s="229">
        <f t="shared" si="8"/>
        <v>30998</v>
      </c>
      <c r="I70" s="229">
        <v>0</v>
      </c>
      <c r="J70" s="229">
        <v>1800</v>
      </c>
      <c r="K70" s="229">
        <v>0</v>
      </c>
      <c r="L70" s="229">
        <v>3300</v>
      </c>
      <c r="M70" s="229">
        <v>0</v>
      </c>
      <c r="N70" s="229">
        <v>25898</v>
      </c>
      <c r="O70" s="215"/>
    </row>
    <row r="71" spans="1:15" ht="25.5" x14ac:dyDescent="0.2">
      <c r="A71" s="268">
        <v>61</v>
      </c>
      <c r="B71" s="271" t="s">
        <v>104</v>
      </c>
      <c r="C71" s="273" t="s">
        <v>469</v>
      </c>
      <c r="D71" s="229">
        <f t="shared" si="9"/>
        <v>24806</v>
      </c>
      <c r="E71" s="229">
        <f t="shared" si="7"/>
        <v>0</v>
      </c>
      <c r="F71" s="229">
        <v>0</v>
      </c>
      <c r="G71" s="229">
        <v>0</v>
      </c>
      <c r="H71" s="229">
        <f t="shared" si="8"/>
        <v>24806</v>
      </c>
      <c r="I71" s="229">
        <v>0</v>
      </c>
      <c r="J71" s="229">
        <v>1750</v>
      </c>
      <c r="K71" s="229">
        <v>0</v>
      </c>
      <c r="L71" s="229">
        <v>0</v>
      </c>
      <c r="M71" s="229">
        <v>0</v>
      </c>
      <c r="N71" s="229">
        <v>23056</v>
      </c>
      <c r="O71" s="215"/>
    </row>
    <row r="72" spans="1:15" ht="25.5" x14ac:dyDescent="0.2">
      <c r="A72" s="268">
        <v>62</v>
      </c>
      <c r="B72" s="272" t="s">
        <v>105</v>
      </c>
      <c r="C72" s="273" t="s">
        <v>106</v>
      </c>
      <c r="D72" s="229">
        <f t="shared" si="9"/>
        <v>17670</v>
      </c>
      <c r="E72" s="229">
        <f t="shared" si="7"/>
        <v>0</v>
      </c>
      <c r="F72" s="229">
        <v>0</v>
      </c>
      <c r="G72" s="229">
        <v>0</v>
      </c>
      <c r="H72" s="229">
        <f t="shared" si="8"/>
        <v>17670</v>
      </c>
      <c r="I72" s="229">
        <v>0</v>
      </c>
      <c r="J72" s="229">
        <v>630</v>
      </c>
      <c r="K72" s="229">
        <v>0</v>
      </c>
      <c r="L72" s="229">
        <v>0</v>
      </c>
      <c r="M72" s="229">
        <v>0</v>
      </c>
      <c r="N72" s="229">
        <v>17040</v>
      </c>
      <c r="O72" s="215"/>
    </row>
    <row r="73" spans="1:15" ht="25.5" x14ac:dyDescent="0.2">
      <c r="A73" s="268">
        <v>63</v>
      </c>
      <c r="B73" s="269" t="s">
        <v>332</v>
      </c>
      <c r="C73" s="273" t="s">
        <v>470</v>
      </c>
      <c r="D73" s="229">
        <f t="shared" si="9"/>
        <v>0</v>
      </c>
      <c r="E73" s="229">
        <f t="shared" si="7"/>
        <v>0</v>
      </c>
      <c r="F73" s="229">
        <v>0</v>
      </c>
      <c r="G73" s="229">
        <v>0</v>
      </c>
      <c r="H73" s="229">
        <f t="shared" si="8"/>
        <v>0</v>
      </c>
      <c r="I73" s="229">
        <v>0</v>
      </c>
      <c r="J73" s="229">
        <v>0</v>
      </c>
      <c r="K73" s="229">
        <v>0</v>
      </c>
      <c r="L73" s="229">
        <v>0</v>
      </c>
      <c r="M73" s="229">
        <v>0</v>
      </c>
      <c r="N73" s="229">
        <v>0</v>
      </c>
      <c r="O73" s="215"/>
    </row>
    <row r="74" spans="1:15" ht="25.5" x14ac:dyDescent="0.2">
      <c r="A74" s="268">
        <v>64</v>
      </c>
      <c r="B74" s="269" t="s">
        <v>334</v>
      </c>
      <c r="C74" s="273" t="s">
        <v>471</v>
      </c>
      <c r="D74" s="229">
        <f t="shared" si="9"/>
        <v>0</v>
      </c>
      <c r="E74" s="229">
        <f t="shared" si="7"/>
        <v>0</v>
      </c>
      <c r="F74" s="229">
        <v>0</v>
      </c>
      <c r="G74" s="229">
        <v>0</v>
      </c>
      <c r="H74" s="229">
        <f t="shared" si="8"/>
        <v>0</v>
      </c>
      <c r="I74" s="229">
        <v>0</v>
      </c>
      <c r="J74" s="229">
        <v>0</v>
      </c>
      <c r="K74" s="229">
        <v>0</v>
      </c>
      <c r="L74" s="229">
        <v>0</v>
      </c>
      <c r="M74" s="229">
        <v>0</v>
      </c>
      <c r="N74" s="229">
        <v>0</v>
      </c>
      <c r="O74" s="215"/>
    </row>
    <row r="75" spans="1:15" ht="12.75" x14ac:dyDescent="0.2">
      <c r="A75" s="268">
        <v>65</v>
      </c>
      <c r="B75" s="271" t="s">
        <v>107</v>
      </c>
      <c r="C75" s="273" t="s">
        <v>472</v>
      </c>
      <c r="D75" s="229">
        <f t="shared" si="9"/>
        <v>34716</v>
      </c>
      <c r="E75" s="229">
        <f t="shared" si="7"/>
        <v>0</v>
      </c>
      <c r="F75" s="229">
        <v>0</v>
      </c>
      <c r="G75" s="229">
        <v>0</v>
      </c>
      <c r="H75" s="229">
        <f t="shared" si="8"/>
        <v>34716</v>
      </c>
      <c r="I75" s="229">
        <v>1949</v>
      </c>
      <c r="J75" s="229">
        <v>20</v>
      </c>
      <c r="K75" s="229">
        <v>0</v>
      </c>
      <c r="L75" s="229">
        <v>0</v>
      </c>
      <c r="M75" s="229">
        <v>31142</v>
      </c>
      <c r="N75" s="229">
        <v>1605</v>
      </c>
      <c r="O75" s="215"/>
    </row>
    <row r="76" spans="1:15" ht="12.75" x14ac:dyDescent="0.2">
      <c r="A76" s="268">
        <v>66</v>
      </c>
      <c r="B76" s="269" t="s">
        <v>108</v>
      </c>
      <c r="C76" s="273" t="s">
        <v>473</v>
      </c>
      <c r="D76" s="229">
        <f t="shared" si="9"/>
        <v>45000</v>
      </c>
      <c r="E76" s="229">
        <f t="shared" si="7"/>
        <v>0</v>
      </c>
      <c r="F76" s="229">
        <v>0</v>
      </c>
      <c r="G76" s="229">
        <v>0</v>
      </c>
      <c r="H76" s="229">
        <f t="shared" si="8"/>
        <v>45000</v>
      </c>
      <c r="I76" s="229">
        <v>2875</v>
      </c>
      <c r="J76" s="229">
        <v>0</v>
      </c>
      <c r="K76" s="229">
        <v>0</v>
      </c>
      <c r="L76" s="229">
        <v>0</v>
      </c>
      <c r="M76" s="229">
        <v>42125</v>
      </c>
      <c r="N76" s="229">
        <v>0</v>
      </c>
      <c r="O76" s="215"/>
    </row>
    <row r="77" spans="1:15" ht="12.75" x14ac:dyDescent="0.2">
      <c r="A77" s="268">
        <v>67</v>
      </c>
      <c r="B77" s="271" t="s">
        <v>109</v>
      </c>
      <c r="C77" s="273" t="s">
        <v>474</v>
      </c>
      <c r="D77" s="229">
        <f t="shared" si="9"/>
        <v>28000</v>
      </c>
      <c r="E77" s="229">
        <f t="shared" si="7"/>
        <v>0</v>
      </c>
      <c r="F77" s="229">
        <v>0</v>
      </c>
      <c r="G77" s="229">
        <v>0</v>
      </c>
      <c r="H77" s="229">
        <f t="shared" si="8"/>
        <v>28000</v>
      </c>
      <c r="I77" s="229">
        <v>2818</v>
      </c>
      <c r="J77" s="229">
        <v>0</v>
      </c>
      <c r="K77" s="229">
        <v>1100</v>
      </c>
      <c r="L77" s="229">
        <v>0</v>
      </c>
      <c r="M77" s="229">
        <v>24082</v>
      </c>
      <c r="N77" s="229">
        <v>0</v>
      </c>
      <c r="O77" s="215"/>
    </row>
    <row r="78" spans="1:15" ht="12.75" x14ac:dyDescent="0.2">
      <c r="A78" s="268">
        <v>68</v>
      </c>
      <c r="B78" s="271" t="s">
        <v>110</v>
      </c>
      <c r="C78" s="273" t="s">
        <v>475</v>
      </c>
      <c r="D78" s="229">
        <f t="shared" si="9"/>
        <v>19715</v>
      </c>
      <c r="E78" s="229">
        <f t="shared" si="7"/>
        <v>0</v>
      </c>
      <c r="F78" s="229">
        <v>0</v>
      </c>
      <c r="G78" s="229">
        <v>0</v>
      </c>
      <c r="H78" s="229">
        <f t="shared" si="8"/>
        <v>19715</v>
      </c>
      <c r="I78" s="229">
        <v>6407</v>
      </c>
      <c r="J78" s="229">
        <v>0</v>
      </c>
      <c r="K78" s="229">
        <v>0</v>
      </c>
      <c r="L78" s="229">
        <v>0</v>
      </c>
      <c r="M78" s="229">
        <v>13308</v>
      </c>
      <c r="N78" s="229">
        <v>0</v>
      </c>
      <c r="O78" s="215"/>
    </row>
    <row r="79" spans="1:15" ht="12.75" x14ac:dyDescent="0.2">
      <c r="A79" s="268">
        <v>69</v>
      </c>
      <c r="B79" s="271" t="s">
        <v>111</v>
      </c>
      <c r="C79" s="273" t="s">
        <v>476</v>
      </c>
      <c r="D79" s="229">
        <f t="shared" si="9"/>
        <v>42596</v>
      </c>
      <c r="E79" s="229">
        <f t="shared" si="7"/>
        <v>0</v>
      </c>
      <c r="F79" s="229">
        <v>0</v>
      </c>
      <c r="G79" s="229">
        <v>0</v>
      </c>
      <c r="H79" s="229">
        <f t="shared" si="8"/>
        <v>42596</v>
      </c>
      <c r="I79" s="229">
        <v>14988</v>
      </c>
      <c r="J79" s="229">
        <v>0</v>
      </c>
      <c r="K79" s="229">
        <v>0</v>
      </c>
      <c r="L79" s="229">
        <v>0</v>
      </c>
      <c r="M79" s="229">
        <v>27608</v>
      </c>
      <c r="N79" s="229">
        <v>0</v>
      </c>
      <c r="O79" s="215"/>
    </row>
    <row r="80" spans="1:15" ht="12.75" x14ac:dyDescent="0.2">
      <c r="A80" s="268">
        <v>70</v>
      </c>
      <c r="B80" s="272" t="s">
        <v>112</v>
      </c>
      <c r="C80" s="273" t="s">
        <v>113</v>
      </c>
      <c r="D80" s="229">
        <f t="shared" si="9"/>
        <v>39112</v>
      </c>
      <c r="E80" s="229">
        <f t="shared" si="7"/>
        <v>0</v>
      </c>
      <c r="F80" s="229">
        <v>0</v>
      </c>
      <c r="G80" s="229">
        <v>0</v>
      </c>
      <c r="H80" s="229">
        <f t="shared" si="8"/>
        <v>39112</v>
      </c>
      <c r="I80" s="229">
        <v>16091</v>
      </c>
      <c r="J80" s="229">
        <v>0</v>
      </c>
      <c r="K80" s="229">
        <v>0</v>
      </c>
      <c r="L80" s="229">
        <v>0</v>
      </c>
      <c r="M80" s="229">
        <v>23021</v>
      </c>
      <c r="N80" s="229">
        <v>0</v>
      </c>
      <c r="O80" s="215"/>
    </row>
    <row r="81" spans="1:15" ht="12.75" x14ac:dyDescent="0.2">
      <c r="A81" s="268">
        <v>71</v>
      </c>
      <c r="B81" s="271" t="s">
        <v>114</v>
      </c>
      <c r="C81" s="270" t="s">
        <v>115</v>
      </c>
      <c r="D81" s="229">
        <f t="shared" si="9"/>
        <v>39220</v>
      </c>
      <c r="E81" s="229">
        <f t="shared" si="7"/>
        <v>0</v>
      </c>
      <c r="F81" s="229">
        <v>0</v>
      </c>
      <c r="G81" s="229">
        <v>0</v>
      </c>
      <c r="H81" s="229">
        <f t="shared" si="8"/>
        <v>39220</v>
      </c>
      <c r="I81" s="229">
        <v>5304</v>
      </c>
      <c r="J81" s="229">
        <v>0</v>
      </c>
      <c r="K81" s="229">
        <v>0</v>
      </c>
      <c r="L81" s="229">
        <v>0</v>
      </c>
      <c r="M81" s="229">
        <v>33916</v>
      </c>
      <c r="N81" s="229">
        <v>0</v>
      </c>
      <c r="O81" s="215"/>
    </row>
    <row r="82" spans="1:15" ht="12.75" x14ac:dyDescent="0.2">
      <c r="A82" s="268">
        <v>72</v>
      </c>
      <c r="B82" s="272" t="s">
        <v>116</v>
      </c>
      <c r="C82" s="273" t="s">
        <v>117</v>
      </c>
      <c r="D82" s="229">
        <f t="shared" si="9"/>
        <v>20471</v>
      </c>
      <c r="E82" s="229">
        <f t="shared" ref="E82:E156" si="10">F82+G82</f>
        <v>0</v>
      </c>
      <c r="F82" s="229">
        <v>0</v>
      </c>
      <c r="G82" s="229">
        <v>0</v>
      </c>
      <c r="H82" s="229">
        <f t="shared" ref="H82:H158" si="11">I82+J82+M82+N82+K82+L82</f>
        <v>20471</v>
      </c>
      <c r="I82" s="229">
        <v>1696</v>
      </c>
      <c r="J82" s="229">
        <v>0</v>
      </c>
      <c r="K82" s="229">
        <v>0</v>
      </c>
      <c r="L82" s="229">
        <v>0</v>
      </c>
      <c r="M82" s="229">
        <v>18775</v>
      </c>
      <c r="N82" s="229">
        <v>0</v>
      </c>
      <c r="O82" s="215"/>
    </row>
    <row r="83" spans="1:15" ht="12.75" x14ac:dyDescent="0.2">
      <c r="A83" s="268">
        <v>73</v>
      </c>
      <c r="B83" s="271" t="s">
        <v>118</v>
      </c>
      <c r="C83" s="273" t="s">
        <v>477</v>
      </c>
      <c r="D83" s="229">
        <f t="shared" ref="D83:D158" si="12">E83+H83</f>
        <v>50000</v>
      </c>
      <c r="E83" s="229">
        <f t="shared" si="10"/>
        <v>0</v>
      </c>
      <c r="F83" s="229">
        <v>0</v>
      </c>
      <c r="G83" s="229">
        <v>0</v>
      </c>
      <c r="H83" s="229">
        <f t="shared" si="11"/>
        <v>50000</v>
      </c>
      <c r="I83" s="229">
        <v>9529</v>
      </c>
      <c r="J83" s="229">
        <v>0</v>
      </c>
      <c r="K83" s="229">
        <v>0</v>
      </c>
      <c r="L83" s="229">
        <v>0</v>
      </c>
      <c r="M83" s="229">
        <v>40471</v>
      </c>
      <c r="N83" s="229">
        <v>0</v>
      </c>
      <c r="O83" s="215"/>
    </row>
    <row r="84" spans="1:15" ht="12.75" x14ac:dyDescent="0.2">
      <c r="A84" s="268">
        <v>74</v>
      </c>
      <c r="B84" s="272" t="s">
        <v>119</v>
      </c>
      <c r="C84" s="273" t="s">
        <v>120</v>
      </c>
      <c r="D84" s="229">
        <f t="shared" si="12"/>
        <v>24000</v>
      </c>
      <c r="E84" s="229">
        <f t="shared" si="10"/>
        <v>0</v>
      </c>
      <c r="F84" s="229">
        <v>0</v>
      </c>
      <c r="G84" s="229">
        <v>0</v>
      </c>
      <c r="H84" s="229">
        <f t="shared" si="11"/>
        <v>24000</v>
      </c>
      <c r="I84" s="229">
        <v>4126</v>
      </c>
      <c r="J84" s="229">
        <v>0</v>
      </c>
      <c r="K84" s="229">
        <v>0</v>
      </c>
      <c r="L84" s="229">
        <v>0</v>
      </c>
      <c r="M84" s="229">
        <v>19874</v>
      </c>
      <c r="N84" s="229">
        <v>0</v>
      </c>
      <c r="O84" s="215"/>
    </row>
    <row r="85" spans="1:15" ht="12.75" x14ac:dyDescent="0.2">
      <c r="A85" s="268">
        <v>75</v>
      </c>
      <c r="B85" s="272" t="s">
        <v>121</v>
      </c>
      <c r="C85" s="273" t="s">
        <v>122</v>
      </c>
      <c r="D85" s="229">
        <f t="shared" si="12"/>
        <v>18777</v>
      </c>
      <c r="E85" s="229">
        <f t="shared" si="10"/>
        <v>0</v>
      </c>
      <c r="F85" s="229">
        <v>0</v>
      </c>
      <c r="G85" s="229">
        <v>0</v>
      </c>
      <c r="H85" s="229">
        <f t="shared" si="11"/>
        <v>18777</v>
      </c>
      <c r="I85" s="229">
        <v>3400</v>
      </c>
      <c r="J85" s="229">
        <v>0</v>
      </c>
      <c r="K85" s="229">
        <v>0</v>
      </c>
      <c r="L85" s="229">
        <v>0</v>
      </c>
      <c r="M85" s="229">
        <v>15377</v>
      </c>
      <c r="N85" s="229">
        <v>0</v>
      </c>
      <c r="O85" s="215"/>
    </row>
    <row r="86" spans="1:15" ht="25.5" x14ac:dyDescent="0.2">
      <c r="A86" s="268">
        <v>76</v>
      </c>
      <c r="B86" s="280" t="s">
        <v>347</v>
      </c>
      <c r="C86" s="279" t="s">
        <v>478</v>
      </c>
      <c r="D86" s="229">
        <f t="shared" si="12"/>
        <v>0</v>
      </c>
      <c r="E86" s="229">
        <f t="shared" si="10"/>
        <v>0</v>
      </c>
      <c r="F86" s="229">
        <v>0</v>
      </c>
      <c r="G86" s="229">
        <v>0</v>
      </c>
      <c r="H86" s="229">
        <f t="shared" si="11"/>
        <v>0</v>
      </c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15"/>
    </row>
    <row r="87" spans="1:15" ht="25.5" x14ac:dyDescent="0.2">
      <c r="A87" s="268">
        <v>77</v>
      </c>
      <c r="B87" s="269" t="s">
        <v>349</v>
      </c>
      <c r="C87" s="273" t="s">
        <v>479</v>
      </c>
      <c r="D87" s="229">
        <f t="shared" si="12"/>
        <v>0</v>
      </c>
      <c r="E87" s="229">
        <f t="shared" si="10"/>
        <v>0</v>
      </c>
      <c r="F87" s="229">
        <v>0</v>
      </c>
      <c r="G87" s="229">
        <v>0</v>
      </c>
      <c r="H87" s="229">
        <f t="shared" si="11"/>
        <v>0</v>
      </c>
      <c r="I87" s="229">
        <v>0</v>
      </c>
      <c r="J87" s="229">
        <v>0</v>
      </c>
      <c r="K87" s="229">
        <v>0</v>
      </c>
      <c r="L87" s="229">
        <v>0</v>
      </c>
      <c r="M87" s="229">
        <v>0</v>
      </c>
      <c r="N87" s="229">
        <v>0</v>
      </c>
      <c r="O87" s="215"/>
    </row>
    <row r="88" spans="1:15" ht="25.5" x14ac:dyDescent="0.2">
      <c r="A88" s="268">
        <v>78</v>
      </c>
      <c r="B88" s="271" t="s">
        <v>351</v>
      </c>
      <c r="C88" s="273" t="s">
        <v>480</v>
      </c>
      <c r="D88" s="229">
        <f t="shared" si="12"/>
        <v>0</v>
      </c>
      <c r="E88" s="229">
        <f t="shared" si="10"/>
        <v>0</v>
      </c>
      <c r="F88" s="229">
        <v>0</v>
      </c>
      <c r="G88" s="229">
        <v>0</v>
      </c>
      <c r="H88" s="229">
        <f t="shared" si="11"/>
        <v>0</v>
      </c>
      <c r="I88" s="229">
        <v>0</v>
      </c>
      <c r="J88" s="229">
        <v>0</v>
      </c>
      <c r="K88" s="229">
        <v>0</v>
      </c>
      <c r="L88" s="229">
        <v>0</v>
      </c>
      <c r="M88" s="229">
        <v>0</v>
      </c>
      <c r="N88" s="229">
        <v>0</v>
      </c>
      <c r="O88" s="215"/>
    </row>
    <row r="89" spans="1:15" ht="25.5" x14ac:dyDescent="0.2">
      <c r="A89" s="268">
        <v>79</v>
      </c>
      <c r="B89" s="271" t="s">
        <v>353</v>
      </c>
      <c r="C89" s="273" t="s">
        <v>481</v>
      </c>
      <c r="D89" s="229">
        <f t="shared" si="12"/>
        <v>0</v>
      </c>
      <c r="E89" s="229">
        <f t="shared" si="10"/>
        <v>0</v>
      </c>
      <c r="F89" s="229">
        <v>0</v>
      </c>
      <c r="G89" s="229">
        <v>0</v>
      </c>
      <c r="H89" s="229">
        <f t="shared" si="11"/>
        <v>0</v>
      </c>
      <c r="I89" s="229">
        <v>0</v>
      </c>
      <c r="J89" s="229">
        <v>0</v>
      </c>
      <c r="K89" s="229">
        <v>0</v>
      </c>
      <c r="L89" s="229">
        <v>0</v>
      </c>
      <c r="M89" s="229">
        <v>0</v>
      </c>
      <c r="N89" s="229">
        <v>0</v>
      </c>
      <c r="O89" s="215"/>
    </row>
    <row r="90" spans="1:15" ht="25.5" x14ac:dyDescent="0.2">
      <c r="A90" s="268">
        <v>80</v>
      </c>
      <c r="B90" s="269" t="s">
        <v>355</v>
      </c>
      <c r="C90" s="273" t="s">
        <v>482</v>
      </c>
      <c r="D90" s="229">
        <f t="shared" si="12"/>
        <v>0</v>
      </c>
      <c r="E90" s="229">
        <f t="shared" si="10"/>
        <v>0</v>
      </c>
      <c r="F90" s="229">
        <v>0</v>
      </c>
      <c r="G90" s="229">
        <v>0</v>
      </c>
      <c r="H90" s="229">
        <f t="shared" si="11"/>
        <v>0</v>
      </c>
      <c r="I90" s="229">
        <v>0</v>
      </c>
      <c r="J90" s="229">
        <v>0</v>
      </c>
      <c r="K90" s="229">
        <v>0</v>
      </c>
      <c r="L90" s="229">
        <v>0</v>
      </c>
      <c r="M90" s="229">
        <v>0</v>
      </c>
      <c r="N90" s="229">
        <v>0</v>
      </c>
      <c r="O90" s="215"/>
    </row>
    <row r="91" spans="1:15" ht="25.5" x14ac:dyDescent="0.2">
      <c r="A91" s="268">
        <v>81</v>
      </c>
      <c r="B91" s="269" t="s">
        <v>357</v>
      </c>
      <c r="C91" s="273" t="s">
        <v>483</v>
      </c>
      <c r="D91" s="229">
        <f t="shared" si="12"/>
        <v>0</v>
      </c>
      <c r="E91" s="229">
        <f t="shared" si="10"/>
        <v>0</v>
      </c>
      <c r="F91" s="229">
        <v>0</v>
      </c>
      <c r="G91" s="229">
        <v>0</v>
      </c>
      <c r="H91" s="229">
        <f t="shared" si="11"/>
        <v>0</v>
      </c>
      <c r="I91" s="229">
        <v>0</v>
      </c>
      <c r="J91" s="229">
        <v>0</v>
      </c>
      <c r="K91" s="229">
        <v>0</v>
      </c>
      <c r="L91" s="229">
        <v>0</v>
      </c>
      <c r="M91" s="229">
        <v>0</v>
      </c>
      <c r="N91" s="229">
        <v>0</v>
      </c>
      <c r="O91" s="215"/>
    </row>
    <row r="92" spans="1:15" ht="25.5" x14ac:dyDescent="0.2">
      <c r="A92" s="268">
        <v>82</v>
      </c>
      <c r="B92" s="269" t="s">
        <v>359</v>
      </c>
      <c r="C92" s="273" t="s">
        <v>484</v>
      </c>
      <c r="D92" s="229">
        <f t="shared" si="12"/>
        <v>0</v>
      </c>
      <c r="E92" s="229">
        <f t="shared" si="10"/>
        <v>0</v>
      </c>
      <c r="F92" s="229">
        <v>0</v>
      </c>
      <c r="G92" s="229">
        <v>0</v>
      </c>
      <c r="H92" s="229">
        <f t="shared" si="11"/>
        <v>0</v>
      </c>
      <c r="I92" s="229">
        <v>0</v>
      </c>
      <c r="J92" s="229">
        <v>0</v>
      </c>
      <c r="K92" s="229">
        <v>0</v>
      </c>
      <c r="L92" s="229">
        <v>0</v>
      </c>
      <c r="M92" s="229">
        <v>0</v>
      </c>
      <c r="N92" s="229">
        <v>0</v>
      </c>
      <c r="O92" s="215"/>
    </row>
    <row r="93" spans="1:15" ht="25.5" x14ac:dyDescent="0.2">
      <c r="A93" s="268">
        <v>83</v>
      </c>
      <c r="B93" s="272" t="s">
        <v>123</v>
      </c>
      <c r="C93" s="273" t="s">
        <v>124</v>
      </c>
      <c r="D93" s="229">
        <f t="shared" si="12"/>
        <v>34347</v>
      </c>
      <c r="E93" s="229">
        <f t="shared" si="10"/>
        <v>0</v>
      </c>
      <c r="F93" s="229">
        <v>0</v>
      </c>
      <c r="G93" s="229">
        <v>0</v>
      </c>
      <c r="H93" s="229">
        <f t="shared" si="11"/>
        <v>34347</v>
      </c>
      <c r="I93" s="229">
        <v>5123</v>
      </c>
      <c r="J93" s="229">
        <v>350</v>
      </c>
      <c r="K93" s="229">
        <v>0</v>
      </c>
      <c r="L93" s="229">
        <v>0</v>
      </c>
      <c r="M93" s="229">
        <v>17303</v>
      </c>
      <c r="N93" s="229">
        <v>11571</v>
      </c>
      <c r="O93" s="215"/>
    </row>
    <row r="94" spans="1:15" ht="12.75" x14ac:dyDescent="0.2">
      <c r="A94" s="268">
        <v>84</v>
      </c>
      <c r="B94" s="269" t="s">
        <v>125</v>
      </c>
      <c r="C94" s="273" t="s">
        <v>485</v>
      </c>
      <c r="D94" s="229">
        <f t="shared" si="12"/>
        <v>33701</v>
      </c>
      <c r="E94" s="229">
        <f t="shared" si="10"/>
        <v>0</v>
      </c>
      <c r="F94" s="229">
        <v>0</v>
      </c>
      <c r="G94" s="229">
        <v>0</v>
      </c>
      <c r="H94" s="229">
        <f t="shared" si="11"/>
        <v>33701</v>
      </c>
      <c r="I94" s="229">
        <v>9279</v>
      </c>
      <c r="J94" s="229">
        <v>0</v>
      </c>
      <c r="K94" s="229">
        <v>0</v>
      </c>
      <c r="L94" s="229">
        <v>0</v>
      </c>
      <c r="M94" s="229">
        <v>24422</v>
      </c>
      <c r="N94" s="229">
        <v>0</v>
      </c>
      <c r="O94" s="215"/>
    </row>
    <row r="95" spans="1:15" ht="12.75" x14ac:dyDescent="0.2">
      <c r="A95" s="268">
        <v>85</v>
      </c>
      <c r="B95" s="272" t="s">
        <v>126</v>
      </c>
      <c r="C95" s="273" t="s">
        <v>127</v>
      </c>
      <c r="D95" s="229">
        <f t="shared" si="12"/>
        <v>22909</v>
      </c>
      <c r="E95" s="229">
        <f t="shared" si="10"/>
        <v>0</v>
      </c>
      <c r="F95" s="229">
        <v>0</v>
      </c>
      <c r="G95" s="229">
        <v>0</v>
      </c>
      <c r="H95" s="229">
        <f t="shared" si="11"/>
        <v>22909</v>
      </c>
      <c r="I95" s="229">
        <v>3700</v>
      </c>
      <c r="J95" s="229">
        <v>0</v>
      </c>
      <c r="K95" s="229">
        <v>0</v>
      </c>
      <c r="L95" s="229">
        <v>0</v>
      </c>
      <c r="M95" s="229">
        <v>19209</v>
      </c>
      <c r="N95" s="229">
        <v>0</v>
      </c>
      <c r="O95" s="215"/>
    </row>
    <row r="96" spans="1:15" ht="12.75" x14ac:dyDescent="0.2">
      <c r="A96" s="268">
        <v>86</v>
      </c>
      <c r="B96" s="274" t="s">
        <v>128</v>
      </c>
      <c r="C96" s="275" t="s">
        <v>129</v>
      </c>
      <c r="D96" s="229">
        <f t="shared" si="12"/>
        <v>13767</v>
      </c>
      <c r="E96" s="229">
        <f t="shared" si="10"/>
        <v>0</v>
      </c>
      <c r="F96" s="229">
        <v>0</v>
      </c>
      <c r="G96" s="229">
        <v>0</v>
      </c>
      <c r="H96" s="229">
        <f t="shared" si="11"/>
        <v>13767</v>
      </c>
      <c r="I96" s="229">
        <v>1570</v>
      </c>
      <c r="J96" s="229">
        <v>0</v>
      </c>
      <c r="K96" s="229">
        <v>80</v>
      </c>
      <c r="L96" s="229">
        <v>0</v>
      </c>
      <c r="M96" s="229">
        <v>12117</v>
      </c>
      <c r="N96" s="229">
        <v>0</v>
      </c>
      <c r="O96" s="215"/>
    </row>
    <row r="97" spans="1:15" ht="12.75" x14ac:dyDescent="0.2">
      <c r="A97" s="268">
        <v>87</v>
      </c>
      <c r="B97" s="269" t="s">
        <v>130</v>
      </c>
      <c r="C97" s="273" t="s">
        <v>486</v>
      </c>
      <c r="D97" s="229">
        <f t="shared" si="12"/>
        <v>9112</v>
      </c>
      <c r="E97" s="229">
        <f t="shared" si="10"/>
        <v>0</v>
      </c>
      <c r="F97" s="229">
        <v>0</v>
      </c>
      <c r="G97" s="229">
        <v>0</v>
      </c>
      <c r="H97" s="229">
        <f t="shared" si="11"/>
        <v>9112</v>
      </c>
      <c r="I97" s="229">
        <v>291</v>
      </c>
      <c r="J97" s="229">
        <v>0</v>
      </c>
      <c r="K97" s="229">
        <v>0</v>
      </c>
      <c r="L97" s="229">
        <v>0</v>
      </c>
      <c r="M97" s="229">
        <v>8821</v>
      </c>
      <c r="N97" s="229">
        <v>0</v>
      </c>
      <c r="O97" s="215"/>
    </row>
    <row r="98" spans="1:15" ht="12.75" x14ac:dyDescent="0.2">
      <c r="A98" s="268">
        <v>88</v>
      </c>
      <c r="B98" s="269" t="s">
        <v>131</v>
      </c>
      <c r="C98" s="273" t="s">
        <v>132</v>
      </c>
      <c r="D98" s="229">
        <f t="shared" si="12"/>
        <v>82009</v>
      </c>
      <c r="E98" s="229">
        <f t="shared" si="10"/>
        <v>0</v>
      </c>
      <c r="F98" s="229">
        <v>0</v>
      </c>
      <c r="G98" s="229">
        <v>0</v>
      </c>
      <c r="H98" s="229">
        <f t="shared" si="11"/>
        <v>82009</v>
      </c>
      <c r="I98" s="229">
        <v>25721</v>
      </c>
      <c r="J98" s="229">
        <v>0</v>
      </c>
      <c r="K98" s="229">
        <v>400</v>
      </c>
      <c r="L98" s="229">
        <v>0</v>
      </c>
      <c r="M98" s="229">
        <v>55888</v>
      </c>
      <c r="N98" s="229">
        <v>0</v>
      </c>
      <c r="O98" s="215"/>
    </row>
    <row r="99" spans="1:15" ht="12.75" x14ac:dyDescent="0.2">
      <c r="A99" s="268">
        <v>89</v>
      </c>
      <c r="B99" s="274" t="s">
        <v>133</v>
      </c>
      <c r="C99" s="275" t="s">
        <v>134</v>
      </c>
      <c r="D99" s="229">
        <f t="shared" si="12"/>
        <v>26866</v>
      </c>
      <c r="E99" s="229">
        <f t="shared" si="10"/>
        <v>0</v>
      </c>
      <c r="F99" s="229">
        <v>0</v>
      </c>
      <c r="G99" s="229">
        <v>0</v>
      </c>
      <c r="H99" s="229">
        <f t="shared" si="11"/>
        <v>26866</v>
      </c>
      <c r="I99" s="229">
        <v>0</v>
      </c>
      <c r="J99" s="229">
        <v>1455</v>
      </c>
      <c r="K99" s="229">
        <v>0</v>
      </c>
      <c r="L99" s="229">
        <v>0</v>
      </c>
      <c r="M99" s="229">
        <v>0</v>
      </c>
      <c r="N99" s="229">
        <v>25411</v>
      </c>
      <c r="O99" s="215"/>
    </row>
    <row r="100" spans="1:15" ht="12.75" x14ac:dyDescent="0.2">
      <c r="A100" s="268">
        <v>90</v>
      </c>
      <c r="B100" s="269" t="s">
        <v>9</v>
      </c>
      <c r="C100" s="273" t="s">
        <v>487</v>
      </c>
      <c r="D100" s="229">
        <f t="shared" si="12"/>
        <v>30486</v>
      </c>
      <c r="E100" s="229">
        <f t="shared" si="10"/>
        <v>0</v>
      </c>
      <c r="F100" s="229">
        <v>0</v>
      </c>
      <c r="G100" s="229">
        <v>0</v>
      </c>
      <c r="H100" s="229">
        <f t="shared" si="11"/>
        <v>30486</v>
      </c>
      <c r="I100" s="229">
        <v>5498</v>
      </c>
      <c r="J100" s="229">
        <v>0</v>
      </c>
      <c r="K100" s="229">
        <v>593</v>
      </c>
      <c r="L100" s="229">
        <v>0</v>
      </c>
      <c r="M100" s="229">
        <v>24395</v>
      </c>
      <c r="N100" s="229">
        <v>0</v>
      </c>
      <c r="O100" s="215"/>
    </row>
    <row r="101" spans="1:15" ht="12.75" x14ac:dyDescent="0.2">
      <c r="A101" s="268">
        <v>91</v>
      </c>
      <c r="B101" s="274" t="s">
        <v>135</v>
      </c>
      <c r="C101" s="275" t="s">
        <v>136</v>
      </c>
      <c r="D101" s="229">
        <f t="shared" si="12"/>
        <v>13210</v>
      </c>
      <c r="E101" s="229">
        <f t="shared" si="10"/>
        <v>13210</v>
      </c>
      <c r="F101" s="229">
        <v>13210</v>
      </c>
      <c r="G101" s="229">
        <v>0</v>
      </c>
      <c r="H101" s="229">
        <f t="shared" si="11"/>
        <v>0</v>
      </c>
      <c r="I101" s="229">
        <v>0</v>
      </c>
      <c r="J101" s="229">
        <v>0</v>
      </c>
      <c r="K101" s="229">
        <v>0</v>
      </c>
      <c r="L101" s="229">
        <v>0</v>
      </c>
      <c r="M101" s="229">
        <v>0</v>
      </c>
      <c r="N101" s="229">
        <v>0</v>
      </c>
      <c r="O101" s="215"/>
    </row>
    <row r="102" spans="1:15" x14ac:dyDescent="0.2">
      <c r="A102" s="268">
        <v>92</v>
      </c>
      <c r="B102" s="246" t="s">
        <v>488</v>
      </c>
      <c r="C102" s="238" t="s">
        <v>489</v>
      </c>
      <c r="D102" s="229">
        <f t="shared" si="12"/>
        <v>0</v>
      </c>
      <c r="E102" s="229">
        <v>0</v>
      </c>
      <c r="F102" s="229">
        <v>0</v>
      </c>
      <c r="G102" s="229">
        <v>0</v>
      </c>
      <c r="H102" s="229">
        <f t="shared" si="11"/>
        <v>0</v>
      </c>
      <c r="I102" s="229">
        <v>0</v>
      </c>
      <c r="J102" s="229">
        <v>0</v>
      </c>
      <c r="K102" s="229">
        <v>0</v>
      </c>
      <c r="L102" s="229">
        <v>0</v>
      </c>
      <c r="M102" s="229">
        <v>0</v>
      </c>
      <c r="N102" s="229">
        <v>0</v>
      </c>
      <c r="O102" s="215"/>
    </row>
    <row r="103" spans="1:15" ht="21" customHeight="1" x14ac:dyDescent="0.2">
      <c r="A103" s="268">
        <v>93</v>
      </c>
      <c r="B103" s="272" t="s">
        <v>137</v>
      </c>
      <c r="C103" s="273" t="s">
        <v>138</v>
      </c>
      <c r="D103" s="229">
        <f t="shared" si="12"/>
        <v>500</v>
      </c>
      <c r="E103" s="229">
        <f t="shared" si="10"/>
        <v>0</v>
      </c>
      <c r="F103" s="229">
        <v>0</v>
      </c>
      <c r="G103" s="229">
        <v>0</v>
      </c>
      <c r="H103" s="229">
        <f t="shared" si="11"/>
        <v>500</v>
      </c>
      <c r="I103" s="229">
        <v>0</v>
      </c>
      <c r="J103" s="229">
        <v>0</v>
      </c>
      <c r="K103" s="229">
        <v>0</v>
      </c>
      <c r="L103" s="229">
        <v>0</v>
      </c>
      <c r="M103" s="229">
        <v>500</v>
      </c>
      <c r="N103" s="229">
        <v>0</v>
      </c>
      <c r="O103" s="215"/>
    </row>
    <row r="104" spans="1:15" ht="25.5" x14ac:dyDescent="0.2">
      <c r="A104" s="268">
        <v>94</v>
      </c>
      <c r="B104" s="271" t="s">
        <v>369</v>
      </c>
      <c r="C104" s="270" t="s">
        <v>490</v>
      </c>
      <c r="D104" s="229">
        <f t="shared" si="12"/>
        <v>0</v>
      </c>
      <c r="E104" s="229">
        <f t="shared" si="10"/>
        <v>0</v>
      </c>
      <c r="F104" s="229">
        <v>0</v>
      </c>
      <c r="G104" s="229">
        <v>0</v>
      </c>
      <c r="H104" s="229">
        <f t="shared" si="11"/>
        <v>0</v>
      </c>
      <c r="I104" s="229">
        <v>0</v>
      </c>
      <c r="J104" s="229">
        <v>0</v>
      </c>
      <c r="K104" s="229">
        <v>0</v>
      </c>
      <c r="L104" s="229">
        <v>0</v>
      </c>
      <c r="M104" s="229">
        <v>0</v>
      </c>
      <c r="N104" s="229">
        <v>0</v>
      </c>
      <c r="O104" s="215"/>
    </row>
    <row r="105" spans="1:15" ht="12.75" x14ac:dyDescent="0.2">
      <c r="A105" s="268">
        <v>95</v>
      </c>
      <c r="B105" s="271" t="s">
        <v>139</v>
      </c>
      <c r="C105" s="275" t="s">
        <v>140</v>
      </c>
      <c r="D105" s="229">
        <f t="shared" si="12"/>
        <v>3857</v>
      </c>
      <c r="E105" s="229">
        <f t="shared" si="10"/>
        <v>0</v>
      </c>
      <c r="F105" s="229">
        <v>0</v>
      </c>
      <c r="G105" s="229">
        <v>0</v>
      </c>
      <c r="H105" s="229">
        <f t="shared" si="11"/>
        <v>3857</v>
      </c>
      <c r="I105" s="229">
        <v>0</v>
      </c>
      <c r="J105" s="229">
        <v>0</v>
      </c>
      <c r="K105" s="229">
        <v>0</v>
      </c>
      <c r="L105" s="229">
        <v>0</v>
      </c>
      <c r="M105" s="229">
        <v>3857</v>
      </c>
      <c r="N105" s="229">
        <v>0</v>
      </c>
      <c r="O105" s="215"/>
    </row>
    <row r="106" spans="1:15" ht="12.75" x14ac:dyDescent="0.2">
      <c r="A106" s="268">
        <v>96</v>
      </c>
      <c r="B106" s="272" t="s">
        <v>141</v>
      </c>
      <c r="C106" s="273" t="s">
        <v>142</v>
      </c>
      <c r="D106" s="229">
        <f t="shared" si="12"/>
        <v>8058</v>
      </c>
      <c r="E106" s="229">
        <f t="shared" si="10"/>
        <v>0</v>
      </c>
      <c r="F106" s="229">
        <v>0</v>
      </c>
      <c r="G106" s="229">
        <v>0</v>
      </c>
      <c r="H106" s="229">
        <f t="shared" si="11"/>
        <v>8058</v>
      </c>
      <c r="I106" s="229">
        <v>674</v>
      </c>
      <c r="J106" s="229">
        <v>0</v>
      </c>
      <c r="K106" s="229">
        <v>0</v>
      </c>
      <c r="L106" s="229">
        <v>0</v>
      </c>
      <c r="M106" s="229">
        <v>7384</v>
      </c>
      <c r="N106" s="229">
        <v>0</v>
      </c>
      <c r="O106" s="215"/>
    </row>
    <row r="107" spans="1:15" ht="12.75" x14ac:dyDescent="0.2">
      <c r="A107" s="268">
        <v>97</v>
      </c>
      <c r="B107" s="271" t="s">
        <v>143</v>
      </c>
      <c r="C107" s="281" t="s">
        <v>144</v>
      </c>
      <c r="D107" s="229">
        <f t="shared" si="12"/>
        <v>16636</v>
      </c>
      <c r="E107" s="229">
        <f t="shared" si="10"/>
        <v>0</v>
      </c>
      <c r="F107" s="229">
        <v>0</v>
      </c>
      <c r="G107" s="229">
        <v>0</v>
      </c>
      <c r="H107" s="229">
        <f t="shared" si="11"/>
        <v>16636</v>
      </c>
      <c r="I107" s="229">
        <v>1150</v>
      </c>
      <c r="J107" s="229">
        <v>250</v>
      </c>
      <c r="K107" s="229">
        <v>300</v>
      </c>
      <c r="L107" s="229">
        <v>100</v>
      </c>
      <c r="M107" s="229">
        <v>12096</v>
      </c>
      <c r="N107" s="229">
        <v>2740</v>
      </c>
      <c r="O107" s="215"/>
    </row>
    <row r="108" spans="1:15" ht="12.75" x14ac:dyDescent="0.2">
      <c r="A108" s="268">
        <v>98</v>
      </c>
      <c r="B108" s="272" t="s">
        <v>145</v>
      </c>
      <c r="C108" s="273" t="s">
        <v>146</v>
      </c>
      <c r="D108" s="229">
        <f t="shared" si="12"/>
        <v>5000</v>
      </c>
      <c r="E108" s="229">
        <f t="shared" si="10"/>
        <v>0</v>
      </c>
      <c r="F108" s="229">
        <v>0</v>
      </c>
      <c r="G108" s="229">
        <v>0</v>
      </c>
      <c r="H108" s="229">
        <f t="shared" si="11"/>
        <v>5000</v>
      </c>
      <c r="I108" s="229">
        <v>490</v>
      </c>
      <c r="J108" s="229">
        <v>0</v>
      </c>
      <c r="K108" s="229">
        <v>0</v>
      </c>
      <c r="L108" s="229">
        <v>0</v>
      </c>
      <c r="M108" s="229">
        <v>3382</v>
      </c>
      <c r="N108" s="229">
        <v>1128</v>
      </c>
      <c r="O108" s="215"/>
    </row>
    <row r="109" spans="1:15" ht="12.75" x14ac:dyDescent="0.2">
      <c r="A109" s="268">
        <v>99</v>
      </c>
      <c r="B109" s="272" t="s">
        <v>147</v>
      </c>
      <c r="C109" s="273" t="s">
        <v>148</v>
      </c>
      <c r="D109" s="229">
        <f t="shared" si="12"/>
        <v>14500</v>
      </c>
      <c r="E109" s="229">
        <f t="shared" si="10"/>
        <v>0</v>
      </c>
      <c r="F109" s="229">
        <v>0</v>
      </c>
      <c r="G109" s="229">
        <v>0</v>
      </c>
      <c r="H109" s="229">
        <f t="shared" si="11"/>
        <v>14500</v>
      </c>
      <c r="I109" s="229">
        <v>2054</v>
      </c>
      <c r="J109" s="229">
        <v>469</v>
      </c>
      <c r="K109" s="229">
        <v>0</v>
      </c>
      <c r="L109" s="229">
        <v>0</v>
      </c>
      <c r="M109" s="229">
        <v>8891</v>
      </c>
      <c r="N109" s="229">
        <v>3086</v>
      </c>
      <c r="O109" s="215"/>
    </row>
    <row r="110" spans="1:15" ht="12.75" x14ac:dyDescent="0.2">
      <c r="A110" s="268">
        <v>100</v>
      </c>
      <c r="B110" s="271" t="s">
        <v>149</v>
      </c>
      <c r="C110" s="275" t="s">
        <v>150</v>
      </c>
      <c r="D110" s="229">
        <f t="shared" si="12"/>
        <v>10000</v>
      </c>
      <c r="E110" s="229">
        <f t="shared" si="10"/>
        <v>0</v>
      </c>
      <c r="F110" s="229">
        <v>0</v>
      </c>
      <c r="G110" s="229">
        <v>0</v>
      </c>
      <c r="H110" s="229">
        <f t="shared" si="11"/>
        <v>10000</v>
      </c>
      <c r="I110" s="229">
        <v>1150</v>
      </c>
      <c r="J110" s="229">
        <v>100</v>
      </c>
      <c r="K110" s="229">
        <v>0</v>
      </c>
      <c r="L110" s="229">
        <v>0</v>
      </c>
      <c r="M110" s="229">
        <v>6680</v>
      </c>
      <c r="N110" s="229">
        <v>2070</v>
      </c>
      <c r="O110" s="215"/>
    </row>
    <row r="111" spans="1:15" ht="12.75" x14ac:dyDescent="0.2">
      <c r="A111" s="268">
        <v>101</v>
      </c>
      <c r="B111" s="271" t="s">
        <v>151</v>
      </c>
      <c r="C111" s="270" t="s">
        <v>152</v>
      </c>
      <c r="D111" s="229">
        <f t="shared" si="12"/>
        <v>17607</v>
      </c>
      <c r="E111" s="229">
        <f t="shared" si="10"/>
        <v>0</v>
      </c>
      <c r="F111" s="229">
        <v>0</v>
      </c>
      <c r="G111" s="229">
        <v>0</v>
      </c>
      <c r="H111" s="229">
        <f t="shared" si="11"/>
        <v>17607</v>
      </c>
      <c r="I111" s="229">
        <v>4631</v>
      </c>
      <c r="J111" s="229">
        <v>34</v>
      </c>
      <c r="K111" s="229">
        <v>0</v>
      </c>
      <c r="L111" s="229">
        <v>0</v>
      </c>
      <c r="M111" s="229">
        <v>11251</v>
      </c>
      <c r="N111" s="229">
        <v>1691</v>
      </c>
      <c r="O111" s="215"/>
    </row>
    <row r="112" spans="1:15" ht="12.75" x14ac:dyDescent="0.2">
      <c r="A112" s="268">
        <v>102</v>
      </c>
      <c r="B112" s="269" t="s">
        <v>153</v>
      </c>
      <c r="C112" s="270" t="s">
        <v>154</v>
      </c>
      <c r="D112" s="229">
        <f t="shared" si="12"/>
        <v>33616</v>
      </c>
      <c r="E112" s="229">
        <f t="shared" si="10"/>
        <v>0</v>
      </c>
      <c r="F112" s="229">
        <v>0</v>
      </c>
      <c r="G112" s="229">
        <v>0</v>
      </c>
      <c r="H112" s="229">
        <f t="shared" si="11"/>
        <v>33616</v>
      </c>
      <c r="I112" s="229">
        <v>1800</v>
      </c>
      <c r="J112" s="229">
        <v>300</v>
      </c>
      <c r="K112" s="229">
        <v>0</v>
      </c>
      <c r="L112" s="229">
        <v>0</v>
      </c>
      <c r="M112" s="229">
        <v>20866</v>
      </c>
      <c r="N112" s="229">
        <v>10650</v>
      </c>
      <c r="O112" s="215"/>
    </row>
    <row r="113" spans="1:15" ht="12.75" x14ac:dyDescent="0.2">
      <c r="A113" s="268">
        <v>103</v>
      </c>
      <c r="B113" s="269" t="s">
        <v>155</v>
      </c>
      <c r="C113" s="270" t="s">
        <v>156</v>
      </c>
      <c r="D113" s="229">
        <f t="shared" si="12"/>
        <v>19643</v>
      </c>
      <c r="E113" s="229">
        <f t="shared" si="10"/>
        <v>0</v>
      </c>
      <c r="F113" s="229">
        <v>0</v>
      </c>
      <c r="G113" s="229">
        <v>0</v>
      </c>
      <c r="H113" s="229">
        <f t="shared" si="11"/>
        <v>19643</v>
      </c>
      <c r="I113" s="229">
        <v>2382</v>
      </c>
      <c r="J113" s="229">
        <v>360</v>
      </c>
      <c r="K113" s="229">
        <v>0</v>
      </c>
      <c r="L113" s="229">
        <v>200</v>
      </c>
      <c r="M113" s="229">
        <v>13900</v>
      </c>
      <c r="N113" s="229">
        <v>2801</v>
      </c>
      <c r="O113" s="215"/>
    </row>
    <row r="114" spans="1:15" ht="12.75" x14ac:dyDescent="0.2">
      <c r="A114" s="268">
        <v>104</v>
      </c>
      <c r="B114" s="272" t="s">
        <v>157</v>
      </c>
      <c r="C114" s="273" t="s">
        <v>158</v>
      </c>
      <c r="D114" s="229">
        <f t="shared" si="12"/>
        <v>4984</v>
      </c>
      <c r="E114" s="229">
        <f t="shared" si="10"/>
        <v>0</v>
      </c>
      <c r="F114" s="229">
        <v>0</v>
      </c>
      <c r="G114" s="229">
        <v>0</v>
      </c>
      <c r="H114" s="229">
        <f t="shared" si="11"/>
        <v>4984</v>
      </c>
      <c r="I114" s="229">
        <v>0</v>
      </c>
      <c r="J114" s="229">
        <v>0</v>
      </c>
      <c r="K114" s="229">
        <v>0</v>
      </c>
      <c r="L114" s="229">
        <v>0</v>
      </c>
      <c r="M114" s="229">
        <v>3884</v>
      </c>
      <c r="N114" s="229">
        <v>1100</v>
      </c>
      <c r="O114" s="215"/>
    </row>
    <row r="115" spans="1:15" ht="12.75" x14ac:dyDescent="0.2">
      <c r="A115" s="268">
        <v>105</v>
      </c>
      <c r="B115" s="274" t="s">
        <v>159</v>
      </c>
      <c r="C115" s="275" t="s">
        <v>160</v>
      </c>
      <c r="D115" s="229">
        <f t="shared" si="12"/>
        <v>20000</v>
      </c>
      <c r="E115" s="229">
        <f t="shared" si="10"/>
        <v>0</v>
      </c>
      <c r="F115" s="229">
        <v>0</v>
      </c>
      <c r="G115" s="229">
        <v>0</v>
      </c>
      <c r="H115" s="229">
        <f t="shared" si="11"/>
        <v>20000</v>
      </c>
      <c r="I115" s="229">
        <v>1923</v>
      </c>
      <c r="J115" s="229">
        <v>151</v>
      </c>
      <c r="K115" s="229">
        <v>266</v>
      </c>
      <c r="L115" s="229">
        <v>86</v>
      </c>
      <c r="M115" s="229">
        <v>10718</v>
      </c>
      <c r="N115" s="229">
        <v>6856</v>
      </c>
      <c r="O115" s="215"/>
    </row>
    <row r="116" spans="1:15" ht="12.75" x14ac:dyDescent="0.2">
      <c r="A116" s="268">
        <v>106</v>
      </c>
      <c r="B116" s="269" t="s">
        <v>161</v>
      </c>
      <c r="C116" s="270" t="s">
        <v>162</v>
      </c>
      <c r="D116" s="229">
        <f t="shared" si="12"/>
        <v>13948</v>
      </c>
      <c r="E116" s="229">
        <f t="shared" si="10"/>
        <v>0</v>
      </c>
      <c r="F116" s="229">
        <v>0</v>
      </c>
      <c r="G116" s="229">
        <v>0</v>
      </c>
      <c r="H116" s="229">
        <f t="shared" si="11"/>
        <v>13948</v>
      </c>
      <c r="I116" s="229">
        <v>884</v>
      </c>
      <c r="J116" s="229">
        <v>60</v>
      </c>
      <c r="K116" s="229">
        <v>12</v>
      </c>
      <c r="L116" s="229">
        <v>12</v>
      </c>
      <c r="M116" s="229">
        <v>10916</v>
      </c>
      <c r="N116" s="229">
        <v>2064</v>
      </c>
      <c r="O116" s="215"/>
    </row>
    <row r="117" spans="1:15" ht="12.75" x14ac:dyDescent="0.2">
      <c r="A117" s="268">
        <v>107</v>
      </c>
      <c r="B117" s="271" t="s">
        <v>163</v>
      </c>
      <c r="C117" s="270" t="s">
        <v>164</v>
      </c>
      <c r="D117" s="229">
        <f t="shared" si="12"/>
        <v>15360</v>
      </c>
      <c r="E117" s="229">
        <f t="shared" si="10"/>
        <v>0</v>
      </c>
      <c r="F117" s="229">
        <v>0</v>
      </c>
      <c r="G117" s="229">
        <v>0</v>
      </c>
      <c r="H117" s="229">
        <f t="shared" si="11"/>
        <v>15360</v>
      </c>
      <c r="I117" s="229">
        <v>1400</v>
      </c>
      <c r="J117" s="229">
        <v>130</v>
      </c>
      <c r="K117" s="229">
        <v>0</v>
      </c>
      <c r="L117" s="229">
        <v>500</v>
      </c>
      <c r="M117" s="229">
        <v>11277</v>
      </c>
      <c r="N117" s="229">
        <v>2053</v>
      </c>
      <c r="O117" s="215"/>
    </row>
    <row r="118" spans="1:15" ht="12.75" x14ac:dyDescent="0.2">
      <c r="A118" s="268">
        <v>108</v>
      </c>
      <c r="B118" s="272" t="s">
        <v>165</v>
      </c>
      <c r="C118" s="273" t="s">
        <v>166</v>
      </c>
      <c r="D118" s="229">
        <f t="shared" si="12"/>
        <v>10915</v>
      </c>
      <c r="E118" s="229">
        <f t="shared" si="10"/>
        <v>0</v>
      </c>
      <c r="F118" s="229">
        <v>0</v>
      </c>
      <c r="G118" s="229">
        <v>0</v>
      </c>
      <c r="H118" s="229">
        <f t="shared" si="11"/>
        <v>10915</v>
      </c>
      <c r="I118" s="229">
        <v>0</v>
      </c>
      <c r="J118" s="229">
        <v>0</v>
      </c>
      <c r="K118" s="229">
        <v>0</v>
      </c>
      <c r="L118" s="229">
        <v>0</v>
      </c>
      <c r="M118" s="229">
        <v>9865</v>
      </c>
      <c r="N118" s="229">
        <v>1050</v>
      </c>
      <c r="O118" s="215"/>
    </row>
    <row r="119" spans="1:15" ht="12.75" x14ac:dyDescent="0.2">
      <c r="A119" s="268">
        <v>109</v>
      </c>
      <c r="B119" s="272" t="s">
        <v>167</v>
      </c>
      <c r="C119" s="273" t="s">
        <v>168</v>
      </c>
      <c r="D119" s="229">
        <f t="shared" si="12"/>
        <v>26488</v>
      </c>
      <c r="E119" s="229">
        <f t="shared" si="10"/>
        <v>0</v>
      </c>
      <c r="F119" s="229">
        <v>0</v>
      </c>
      <c r="G119" s="229">
        <v>0</v>
      </c>
      <c r="H119" s="229">
        <f t="shared" si="11"/>
        <v>26488</v>
      </c>
      <c r="I119" s="229">
        <v>2470</v>
      </c>
      <c r="J119" s="229">
        <v>0</v>
      </c>
      <c r="K119" s="229">
        <v>960</v>
      </c>
      <c r="L119" s="229">
        <v>0</v>
      </c>
      <c r="M119" s="229">
        <v>19845</v>
      </c>
      <c r="N119" s="229">
        <v>3213</v>
      </c>
      <c r="O119" s="215"/>
    </row>
    <row r="120" spans="1:15" ht="12.75" x14ac:dyDescent="0.2">
      <c r="A120" s="268">
        <v>110</v>
      </c>
      <c r="B120" s="269" t="s">
        <v>169</v>
      </c>
      <c r="C120" s="270" t="s">
        <v>170</v>
      </c>
      <c r="D120" s="229">
        <f>E120+H120</f>
        <v>59000</v>
      </c>
      <c r="E120" s="229">
        <f t="shared" si="10"/>
        <v>0</v>
      </c>
      <c r="F120" s="229">
        <v>0</v>
      </c>
      <c r="G120" s="229">
        <v>0</v>
      </c>
      <c r="H120" s="229">
        <f t="shared" si="11"/>
        <v>59000</v>
      </c>
      <c r="I120" s="229">
        <v>3170</v>
      </c>
      <c r="J120" s="229">
        <v>0</v>
      </c>
      <c r="K120" s="229">
        <v>0</v>
      </c>
      <c r="L120" s="229">
        <v>0</v>
      </c>
      <c r="M120" s="229">
        <v>39640</v>
      </c>
      <c r="N120" s="229">
        <v>16190</v>
      </c>
      <c r="O120" s="215"/>
    </row>
    <row r="121" spans="1:15" ht="12.75" x14ac:dyDescent="0.2">
      <c r="A121" s="268">
        <v>111</v>
      </c>
      <c r="B121" s="271" t="s">
        <v>171</v>
      </c>
      <c r="C121" s="270" t="s">
        <v>491</v>
      </c>
      <c r="D121" s="229">
        <f t="shared" si="12"/>
        <v>12508</v>
      </c>
      <c r="E121" s="229">
        <f t="shared" si="10"/>
        <v>0</v>
      </c>
      <c r="F121" s="229">
        <v>0</v>
      </c>
      <c r="G121" s="229">
        <v>0</v>
      </c>
      <c r="H121" s="229">
        <f t="shared" si="11"/>
        <v>12508</v>
      </c>
      <c r="I121" s="229">
        <v>1118</v>
      </c>
      <c r="J121" s="229">
        <v>30</v>
      </c>
      <c r="K121" s="229">
        <v>150</v>
      </c>
      <c r="L121" s="229">
        <v>0</v>
      </c>
      <c r="M121" s="229">
        <v>8473</v>
      </c>
      <c r="N121" s="229">
        <v>2737</v>
      </c>
      <c r="O121" s="215"/>
    </row>
    <row r="122" spans="1:15" ht="12.75" x14ac:dyDescent="0.2">
      <c r="A122" s="268">
        <v>112</v>
      </c>
      <c r="B122" s="269" t="s">
        <v>373</v>
      </c>
      <c r="C122" s="273" t="s">
        <v>492</v>
      </c>
      <c r="D122" s="229">
        <f t="shared" si="12"/>
        <v>576</v>
      </c>
      <c r="E122" s="229">
        <f t="shared" si="10"/>
        <v>576</v>
      </c>
      <c r="F122" s="229">
        <v>576</v>
      </c>
      <c r="G122" s="229">
        <v>0</v>
      </c>
      <c r="H122" s="229">
        <f t="shared" si="11"/>
        <v>0</v>
      </c>
      <c r="I122" s="229">
        <v>0</v>
      </c>
      <c r="J122" s="229">
        <v>0</v>
      </c>
      <c r="K122" s="229">
        <v>0</v>
      </c>
      <c r="L122" s="229">
        <v>0</v>
      </c>
      <c r="M122" s="229">
        <v>0</v>
      </c>
      <c r="N122" s="229">
        <v>0</v>
      </c>
      <c r="O122" s="215"/>
    </row>
    <row r="123" spans="1:15" x14ac:dyDescent="0.2">
      <c r="A123" s="268">
        <v>113</v>
      </c>
      <c r="B123" s="237" t="s">
        <v>493</v>
      </c>
      <c r="C123" s="234" t="s">
        <v>494</v>
      </c>
      <c r="D123" s="229">
        <f t="shared" si="12"/>
        <v>0</v>
      </c>
      <c r="E123" s="229">
        <v>0</v>
      </c>
      <c r="F123" s="229">
        <v>0</v>
      </c>
      <c r="G123" s="229">
        <v>0</v>
      </c>
      <c r="H123" s="229">
        <f t="shared" si="11"/>
        <v>0</v>
      </c>
      <c r="I123" s="229">
        <v>0</v>
      </c>
      <c r="J123" s="229">
        <v>0</v>
      </c>
      <c r="K123" s="229">
        <v>0</v>
      </c>
      <c r="L123" s="229">
        <v>0</v>
      </c>
      <c r="M123" s="229">
        <v>0</v>
      </c>
      <c r="N123" s="229">
        <v>0</v>
      </c>
      <c r="O123" s="215"/>
    </row>
    <row r="124" spans="1:15" ht="12.75" x14ac:dyDescent="0.2">
      <c r="A124" s="268">
        <v>114</v>
      </c>
      <c r="B124" s="272" t="s">
        <v>375</v>
      </c>
      <c r="C124" s="273" t="s">
        <v>495</v>
      </c>
      <c r="D124" s="229">
        <f t="shared" si="12"/>
        <v>140</v>
      </c>
      <c r="E124" s="229">
        <f t="shared" si="10"/>
        <v>140</v>
      </c>
      <c r="F124" s="229">
        <v>140</v>
      </c>
      <c r="G124" s="229">
        <v>0</v>
      </c>
      <c r="H124" s="229">
        <f t="shared" si="11"/>
        <v>0</v>
      </c>
      <c r="I124" s="229">
        <v>0</v>
      </c>
      <c r="J124" s="229">
        <v>0</v>
      </c>
      <c r="K124" s="229">
        <v>0</v>
      </c>
      <c r="L124" s="229">
        <v>0</v>
      </c>
      <c r="M124" s="229">
        <v>0</v>
      </c>
      <c r="N124" s="229">
        <v>0</v>
      </c>
      <c r="O124" s="215"/>
    </row>
    <row r="125" spans="1:15" ht="12.75" x14ac:dyDescent="0.2">
      <c r="A125" s="268">
        <v>115</v>
      </c>
      <c r="B125" s="272" t="s">
        <v>377</v>
      </c>
      <c r="C125" s="273" t="s">
        <v>496</v>
      </c>
      <c r="D125" s="229">
        <f t="shared" si="12"/>
        <v>0</v>
      </c>
      <c r="E125" s="229">
        <f t="shared" si="10"/>
        <v>0</v>
      </c>
      <c r="F125" s="229">
        <v>0</v>
      </c>
      <c r="G125" s="229">
        <v>0</v>
      </c>
      <c r="H125" s="229">
        <f t="shared" si="11"/>
        <v>0</v>
      </c>
      <c r="I125" s="229">
        <v>0</v>
      </c>
      <c r="J125" s="229">
        <v>0</v>
      </c>
      <c r="K125" s="229">
        <v>0</v>
      </c>
      <c r="L125" s="229">
        <v>0</v>
      </c>
      <c r="M125" s="229">
        <v>0</v>
      </c>
      <c r="N125" s="229">
        <v>0</v>
      </c>
      <c r="O125" s="215"/>
    </row>
    <row r="126" spans="1:15" x14ac:dyDescent="0.2">
      <c r="A126" s="268">
        <v>116</v>
      </c>
      <c r="B126" s="248" t="s">
        <v>497</v>
      </c>
      <c r="C126" s="238" t="s">
        <v>498</v>
      </c>
      <c r="D126" s="229">
        <f t="shared" si="12"/>
        <v>0</v>
      </c>
      <c r="E126" s="229">
        <v>0</v>
      </c>
      <c r="F126" s="229">
        <v>0</v>
      </c>
      <c r="G126" s="229">
        <v>0</v>
      </c>
      <c r="H126" s="229">
        <f t="shared" si="11"/>
        <v>0</v>
      </c>
      <c r="I126" s="229">
        <v>0</v>
      </c>
      <c r="J126" s="229">
        <v>0</v>
      </c>
      <c r="K126" s="229">
        <v>0</v>
      </c>
      <c r="L126" s="229">
        <v>0</v>
      </c>
      <c r="M126" s="229">
        <v>0</v>
      </c>
      <c r="N126" s="229">
        <v>0</v>
      </c>
      <c r="O126" s="215"/>
    </row>
    <row r="127" spans="1:15" ht="24" x14ac:dyDescent="0.2">
      <c r="A127" s="268">
        <v>117</v>
      </c>
      <c r="B127" s="248" t="s">
        <v>379</v>
      </c>
      <c r="C127" s="238" t="s">
        <v>499</v>
      </c>
      <c r="D127" s="229">
        <f t="shared" si="12"/>
        <v>0</v>
      </c>
      <c r="E127" s="229">
        <v>0</v>
      </c>
      <c r="F127" s="229">
        <v>0</v>
      </c>
      <c r="G127" s="229">
        <v>0</v>
      </c>
      <c r="H127" s="229">
        <f t="shared" si="11"/>
        <v>0</v>
      </c>
      <c r="I127" s="229">
        <v>0</v>
      </c>
      <c r="J127" s="229">
        <v>0</v>
      </c>
      <c r="K127" s="229">
        <v>0</v>
      </c>
      <c r="L127" s="229">
        <v>0</v>
      </c>
      <c r="M127" s="229">
        <v>0</v>
      </c>
      <c r="N127" s="229">
        <v>0</v>
      </c>
      <c r="O127" s="215"/>
    </row>
    <row r="128" spans="1:15" x14ac:dyDescent="0.2">
      <c r="A128" s="268">
        <v>118</v>
      </c>
      <c r="B128" s="248" t="s">
        <v>172</v>
      </c>
      <c r="C128" s="238" t="s">
        <v>173</v>
      </c>
      <c r="D128" s="229">
        <f t="shared" si="12"/>
        <v>0</v>
      </c>
      <c r="E128" s="229">
        <v>0</v>
      </c>
      <c r="F128" s="229">
        <v>0</v>
      </c>
      <c r="G128" s="229">
        <v>0</v>
      </c>
      <c r="H128" s="229">
        <f t="shared" si="11"/>
        <v>0</v>
      </c>
      <c r="I128" s="229">
        <v>0</v>
      </c>
      <c r="J128" s="229">
        <v>0</v>
      </c>
      <c r="K128" s="229">
        <v>0</v>
      </c>
      <c r="L128" s="229">
        <v>0</v>
      </c>
      <c r="M128" s="229">
        <v>0</v>
      </c>
      <c r="N128" s="229">
        <v>0</v>
      </c>
      <c r="O128" s="215"/>
    </row>
    <row r="129" spans="1:15" ht="12.75" x14ac:dyDescent="0.2">
      <c r="A129" s="268">
        <v>119</v>
      </c>
      <c r="B129" s="272" t="s">
        <v>381</v>
      </c>
      <c r="C129" s="273" t="s">
        <v>500</v>
      </c>
      <c r="D129" s="229">
        <f t="shared" si="12"/>
        <v>2772</v>
      </c>
      <c r="E129" s="229">
        <f t="shared" si="10"/>
        <v>2772</v>
      </c>
      <c r="F129" s="226">
        <v>2772</v>
      </c>
      <c r="G129" s="226">
        <v>0</v>
      </c>
      <c r="H129" s="229">
        <f t="shared" si="11"/>
        <v>0</v>
      </c>
      <c r="I129" s="229">
        <v>0</v>
      </c>
      <c r="J129" s="229">
        <v>0</v>
      </c>
      <c r="K129" s="229">
        <v>0</v>
      </c>
      <c r="L129" s="229">
        <v>0</v>
      </c>
      <c r="M129" s="226">
        <v>0</v>
      </c>
      <c r="N129" s="226">
        <v>0</v>
      </c>
      <c r="O129" s="215"/>
    </row>
    <row r="130" spans="1:15" x14ac:dyDescent="0.2">
      <c r="A130" s="268">
        <v>120</v>
      </c>
      <c r="B130" s="250" t="s">
        <v>174</v>
      </c>
      <c r="C130" s="251" t="s">
        <v>175</v>
      </c>
      <c r="D130" s="229">
        <f t="shared" si="12"/>
        <v>0</v>
      </c>
      <c r="E130" s="229">
        <v>0</v>
      </c>
      <c r="F130" s="226">
        <v>0</v>
      </c>
      <c r="G130" s="226">
        <v>0</v>
      </c>
      <c r="H130" s="229">
        <f t="shared" si="11"/>
        <v>0</v>
      </c>
      <c r="I130" s="229">
        <v>0</v>
      </c>
      <c r="J130" s="229">
        <v>0</v>
      </c>
      <c r="K130" s="229">
        <v>0</v>
      </c>
      <c r="L130" s="229">
        <v>0</v>
      </c>
      <c r="M130" s="226">
        <v>0</v>
      </c>
      <c r="N130" s="226">
        <v>0</v>
      </c>
      <c r="O130" s="215"/>
    </row>
    <row r="131" spans="1:15" ht="12.75" x14ac:dyDescent="0.2">
      <c r="A131" s="268">
        <v>121</v>
      </c>
      <c r="B131" s="282" t="s">
        <v>176</v>
      </c>
      <c r="C131" s="283" t="s">
        <v>522</v>
      </c>
      <c r="D131" s="229">
        <f t="shared" si="12"/>
        <v>0</v>
      </c>
      <c r="E131" s="229">
        <f t="shared" si="10"/>
        <v>0</v>
      </c>
      <c r="F131" s="226">
        <v>0</v>
      </c>
      <c r="G131" s="226">
        <v>0</v>
      </c>
      <c r="H131" s="229">
        <f t="shared" si="11"/>
        <v>0</v>
      </c>
      <c r="I131" s="229">
        <v>0</v>
      </c>
      <c r="J131" s="229">
        <v>0</v>
      </c>
      <c r="K131" s="229">
        <v>0</v>
      </c>
      <c r="L131" s="229">
        <v>0</v>
      </c>
      <c r="M131" s="226">
        <v>0</v>
      </c>
      <c r="N131" s="226">
        <v>0</v>
      </c>
      <c r="O131" s="215"/>
    </row>
    <row r="132" spans="1:15" x14ac:dyDescent="0.2">
      <c r="A132" s="268">
        <v>122</v>
      </c>
      <c r="B132" s="248" t="s">
        <v>383</v>
      </c>
      <c r="C132" s="238" t="s">
        <v>501</v>
      </c>
      <c r="D132" s="229">
        <f t="shared" si="12"/>
        <v>0</v>
      </c>
      <c r="E132" s="229">
        <v>0</v>
      </c>
      <c r="F132" s="226">
        <v>0</v>
      </c>
      <c r="G132" s="226">
        <v>0</v>
      </c>
      <c r="H132" s="229">
        <f t="shared" si="11"/>
        <v>0</v>
      </c>
      <c r="I132" s="229">
        <v>0</v>
      </c>
      <c r="J132" s="229">
        <v>0</v>
      </c>
      <c r="K132" s="229">
        <v>0</v>
      </c>
      <c r="L132" s="229">
        <v>0</v>
      </c>
      <c r="M132" s="226">
        <v>0</v>
      </c>
      <c r="N132" s="226">
        <v>0</v>
      </c>
      <c r="O132" s="215"/>
    </row>
    <row r="133" spans="1:15" x14ac:dyDescent="0.2">
      <c r="A133" s="268">
        <v>123</v>
      </c>
      <c r="B133" s="237" t="s">
        <v>502</v>
      </c>
      <c r="C133" s="253" t="s">
        <v>503</v>
      </c>
      <c r="D133" s="229">
        <f t="shared" si="12"/>
        <v>0</v>
      </c>
      <c r="E133" s="229">
        <v>0</v>
      </c>
      <c r="F133" s="226">
        <v>0</v>
      </c>
      <c r="G133" s="226">
        <v>0</v>
      </c>
      <c r="H133" s="229">
        <f t="shared" si="11"/>
        <v>0</v>
      </c>
      <c r="I133" s="229">
        <v>0</v>
      </c>
      <c r="J133" s="229">
        <v>0</v>
      </c>
      <c r="K133" s="229">
        <v>0</v>
      </c>
      <c r="L133" s="229">
        <v>0</v>
      </c>
      <c r="M133" s="226">
        <v>0</v>
      </c>
      <c r="N133" s="226">
        <v>0</v>
      </c>
      <c r="O133" s="215"/>
    </row>
    <row r="134" spans="1:15" ht="24" x14ac:dyDescent="0.2">
      <c r="A134" s="268">
        <v>124</v>
      </c>
      <c r="B134" s="248" t="s">
        <v>504</v>
      </c>
      <c r="C134" s="238" t="s">
        <v>505</v>
      </c>
      <c r="D134" s="229">
        <f t="shared" si="12"/>
        <v>0</v>
      </c>
      <c r="E134" s="229">
        <v>0</v>
      </c>
      <c r="F134" s="226">
        <v>0</v>
      </c>
      <c r="G134" s="226">
        <v>0</v>
      </c>
      <c r="H134" s="229">
        <f t="shared" si="11"/>
        <v>0</v>
      </c>
      <c r="I134" s="229">
        <v>0</v>
      </c>
      <c r="J134" s="229">
        <v>0</v>
      </c>
      <c r="K134" s="229">
        <v>0</v>
      </c>
      <c r="L134" s="229">
        <v>0</v>
      </c>
      <c r="M134" s="226">
        <v>0</v>
      </c>
      <c r="N134" s="226">
        <v>0</v>
      </c>
      <c r="O134" s="215"/>
    </row>
    <row r="135" spans="1:15" ht="24" x14ac:dyDescent="0.2">
      <c r="A135" s="268">
        <v>125</v>
      </c>
      <c r="B135" s="248" t="s">
        <v>177</v>
      </c>
      <c r="C135" s="238" t="s">
        <v>178</v>
      </c>
      <c r="D135" s="229">
        <f t="shared" si="12"/>
        <v>0</v>
      </c>
      <c r="E135" s="229">
        <v>0</v>
      </c>
      <c r="F135" s="226">
        <v>0</v>
      </c>
      <c r="G135" s="226">
        <v>0</v>
      </c>
      <c r="H135" s="229">
        <f t="shared" si="11"/>
        <v>0</v>
      </c>
      <c r="I135" s="229">
        <v>0</v>
      </c>
      <c r="J135" s="229">
        <v>0</v>
      </c>
      <c r="K135" s="229">
        <v>0</v>
      </c>
      <c r="L135" s="229">
        <v>0</v>
      </c>
      <c r="M135" s="226">
        <v>0</v>
      </c>
      <c r="N135" s="226">
        <v>0</v>
      </c>
      <c r="O135" s="215"/>
    </row>
    <row r="136" spans="1:15" ht="12.75" x14ac:dyDescent="0.2">
      <c r="A136" s="268">
        <v>126</v>
      </c>
      <c r="B136" s="271" t="s">
        <v>179</v>
      </c>
      <c r="C136" s="273" t="s">
        <v>506</v>
      </c>
      <c r="D136" s="229">
        <f t="shared" si="12"/>
        <v>0</v>
      </c>
      <c r="E136" s="229">
        <f t="shared" si="10"/>
        <v>0</v>
      </c>
      <c r="F136" s="226">
        <v>0</v>
      </c>
      <c r="G136" s="226">
        <v>0</v>
      </c>
      <c r="H136" s="229">
        <f t="shared" si="11"/>
        <v>0</v>
      </c>
      <c r="I136" s="229">
        <v>0</v>
      </c>
      <c r="J136" s="229">
        <v>0</v>
      </c>
      <c r="K136" s="229">
        <v>0</v>
      </c>
      <c r="L136" s="229">
        <v>0</v>
      </c>
      <c r="M136" s="226">
        <v>0</v>
      </c>
      <c r="N136" s="226">
        <v>0</v>
      </c>
      <c r="O136" s="215"/>
    </row>
    <row r="137" spans="1:15" x14ac:dyDescent="0.2">
      <c r="A137" s="268">
        <v>127</v>
      </c>
      <c r="B137" s="254" t="s">
        <v>507</v>
      </c>
      <c r="C137" s="255" t="s">
        <v>508</v>
      </c>
      <c r="D137" s="229">
        <f t="shared" si="12"/>
        <v>0</v>
      </c>
      <c r="E137" s="229">
        <v>0</v>
      </c>
      <c r="F137" s="226">
        <v>0</v>
      </c>
      <c r="G137" s="226">
        <v>0</v>
      </c>
      <c r="H137" s="229">
        <f t="shared" si="11"/>
        <v>0</v>
      </c>
      <c r="I137" s="229">
        <v>0</v>
      </c>
      <c r="J137" s="229">
        <v>0</v>
      </c>
      <c r="K137" s="229">
        <v>0</v>
      </c>
      <c r="L137" s="229">
        <v>0</v>
      </c>
      <c r="M137" s="226">
        <v>0</v>
      </c>
      <c r="N137" s="226">
        <v>0</v>
      </c>
      <c r="O137" s="215"/>
    </row>
    <row r="138" spans="1:15" x14ac:dyDescent="0.2">
      <c r="A138" s="268">
        <v>128</v>
      </c>
      <c r="B138" s="248" t="s">
        <v>509</v>
      </c>
      <c r="C138" s="238" t="s">
        <v>510</v>
      </c>
      <c r="D138" s="229">
        <f t="shared" si="12"/>
        <v>0</v>
      </c>
      <c r="E138" s="229">
        <v>0</v>
      </c>
      <c r="F138" s="226">
        <v>0</v>
      </c>
      <c r="G138" s="226">
        <v>0</v>
      </c>
      <c r="H138" s="229">
        <f t="shared" si="11"/>
        <v>0</v>
      </c>
      <c r="I138" s="229">
        <v>0</v>
      </c>
      <c r="J138" s="229">
        <v>0</v>
      </c>
      <c r="K138" s="229">
        <v>0</v>
      </c>
      <c r="L138" s="229">
        <v>0</v>
      </c>
      <c r="M138" s="226">
        <v>0</v>
      </c>
      <c r="N138" s="226">
        <v>0</v>
      </c>
      <c r="O138" s="215"/>
    </row>
    <row r="139" spans="1:15" ht="12.75" x14ac:dyDescent="0.2">
      <c r="A139" s="268">
        <v>129</v>
      </c>
      <c r="B139" s="269" t="s">
        <v>386</v>
      </c>
      <c r="C139" s="270" t="s">
        <v>511</v>
      </c>
      <c r="D139" s="229">
        <f t="shared" si="12"/>
        <v>256</v>
      </c>
      <c r="E139" s="229">
        <f t="shared" si="10"/>
        <v>256</v>
      </c>
      <c r="F139" s="226">
        <v>256</v>
      </c>
      <c r="G139" s="226">
        <v>0</v>
      </c>
      <c r="H139" s="229">
        <f t="shared" si="11"/>
        <v>0</v>
      </c>
      <c r="I139" s="229">
        <v>0</v>
      </c>
      <c r="J139" s="229">
        <v>0</v>
      </c>
      <c r="K139" s="229">
        <v>0</v>
      </c>
      <c r="L139" s="229">
        <v>0</v>
      </c>
      <c r="M139" s="226">
        <v>0</v>
      </c>
      <c r="N139" s="226">
        <v>0</v>
      </c>
      <c r="O139" s="215"/>
    </row>
    <row r="140" spans="1:15" x14ac:dyDescent="0.2">
      <c r="A140" s="268">
        <v>130</v>
      </c>
      <c r="B140" s="246" t="s">
        <v>388</v>
      </c>
      <c r="C140" s="234" t="s">
        <v>512</v>
      </c>
      <c r="D140" s="229">
        <f t="shared" si="12"/>
        <v>0</v>
      </c>
      <c r="E140" s="229">
        <v>0</v>
      </c>
      <c r="F140" s="226">
        <v>0</v>
      </c>
      <c r="G140" s="226">
        <v>0</v>
      </c>
      <c r="H140" s="229">
        <f t="shared" si="11"/>
        <v>0</v>
      </c>
      <c r="I140" s="229">
        <v>0</v>
      </c>
      <c r="J140" s="229">
        <v>0</v>
      </c>
      <c r="K140" s="229">
        <v>0</v>
      </c>
      <c r="L140" s="229">
        <v>0</v>
      </c>
      <c r="M140" s="226">
        <v>0</v>
      </c>
      <c r="N140" s="226">
        <v>0</v>
      </c>
      <c r="O140" s="215"/>
    </row>
    <row r="141" spans="1:15" ht="12.75" x14ac:dyDescent="0.2">
      <c r="A141" s="268">
        <v>131</v>
      </c>
      <c r="B141" s="272" t="s">
        <v>390</v>
      </c>
      <c r="C141" s="273" t="s">
        <v>513</v>
      </c>
      <c r="D141" s="229">
        <f t="shared" si="12"/>
        <v>992</v>
      </c>
      <c r="E141" s="229">
        <f t="shared" si="10"/>
        <v>992</v>
      </c>
      <c r="F141" s="226">
        <v>992</v>
      </c>
      <c r="G141" s="226">
        <v>0</v>
      </c>
      <c r="H141" s="229">
        <f t="shared" si="11"/>
        <v>0</v>
      </c>
      <c r="I141" s="229">
        <v>0</v>
      </c>
      <c r="J141" s="229">
        <v>0</v>
      </c>
      <c r="K141" s="229">
        <v>0</v>
      </c>
      <c r="L141" s="229">
        <v>0</v>
      </c>
      <c r="M141" s="226">
        <v>0</v>
      </c>
      <c r="N141" s="226">
        <v>0</v>
      </c>
      <c r="O141" s="215"/>
    </row>
    <row r="142" spans="1:15" x14ac:dyDescent="0.2">
      <c r="A142" s="268">
        <v>132</v>
      </c>
      <c r="B142" s="248" t="s">
        <v>514</v>
      </c>
      <c r="C142" s="238" t="s">
        <v>515</v>
      </c>
      <c r="D142" s="229">
        <f t="shared" si="12"/>
        <v>0</v>
      </c>
      <c r="E142" s="229">
        <v>0</v>
      </c>
      <c r="F142" s="226">
        <v>0</v>
      </c>
      <c r="G142" s="226">
        <v>0</v>
      </c>
      <c r="H142" s="229">
        <f t="shared" si="11"/>
        <v>0</v>
      </c>
      <c r="I142" s="229">
        <v>0</v>
      </c>
      <c r="J142" s="229">
        <v>0</v>
      </c>
      <c r="K142" s="229">
        <v>0</v>
      </c>
      <c r="L142" s="229">
        <v>0</v>
      </c>
      <c r="M142" s="226">
        <v>0</v>
      </c>
      <c r="N142" s="226">
        <v>0</v>
      </c>
      <c r="O142" s="215"/>
    </row>
    <row r="143" spans="1:15" ht="12.75" x14ac:dyDescent="0.2">
      <c r="A143" s="268">
        <v>133</v>
      </c>
      <c r="B143" s="272" t="s">
        <v>15</v>
      </c>
      <c r="C143" s="273" t="s">
        <v>180</v>
      </c>
      <c r="D143" s="229">
        <f t="shared" si="12"/>
        <v>0</v>
      </c>
      <c r="E143" s="229">
        <f t="shared" si="10"/>
        <v>0</v>
      </c>
      <c r="F143" s="226">
        <v>0</v>
      </c>
      <c r="G143" s="226">
        <v>0</v>
      </c>
      <c r="H143" s="229">
        <f t="shared" si="11"/>
        <v>0</v>
      </c>
      <c r="I143" s="229">
        <v>0</v>
      </c>
      <c r="J143" s="229">
        <v>0</v>
      </c>
      <c r="K143" s="229">
        <v>0</v>
      </c>
      <c r="L143" s="229">
        <v>0</v>
      </c>
      <c r="M143" s="226">
        <v>0</v>
      </c>
      <c r="N143" s="226">
        <v>0</v>
      </c>
      <c r="O143" s="215"/>
    </row>
    <row r="144" spans="1:15" ht="12.75" x14ac:dyDescent="0.2">
      <c r="A144" s="268">
        <v>134</v>
      </c>
      <c r="B144" s="272" t="s">
        <v>181</v>
      </c>
      <c r="C144" s="273" t="s">
        <v>182</v>
      </c>
      <c r="D144" s="229">
        <f t="shared" si="12"/>
        <v>0</v>
      </c>
      <c r="E144" s="229">
        <f t="shared" si="10"/>
        <v>0</v>
      </c>
      <c r="F144" s="226">
        <v>0</v>
      </c>
      <c r="G144" s="226">
        <v>0</v>
      </c>
      <c r="H144" s="229">
        <f t="shared" si="11"/>
        <v>0</v>
      </c>
      <c r="I144" s="229">
        <v>0</v>
      </c>
      <c r="J144" s="229">
        <v>0</v>
      </c>
      <c r="K144" s="229">
        <v>0</v>
      </c>
      <c r="L144" s="229">
        <v>0</v>
      </c>
      <c r="M144" s="226">
        <v>0</v>
      </c>
      <c r="N144" s="226">
        <v>0</v>
      </c>
      <c r="O144" s="215"/>
    </row>
    <row r="145" spans="1:15" ht="12.75" x14ac:dyDescent="0.2">
      <c r="A145" s="268">
        <v>135</v>
      </c>
      <c r="B145" s="272" t="s">
        <v>14</v>
      </c>
      <c r="C145" s="273" t="s">
        <v>13</v>
      </c>
      <c r="D145" s="229">
        <f t="shared" si="12"/>
        <v>0</v>
      </c>
      <c r="E145" s="229">
        <f t="shared" si="10"/>
        <v>0</v>
      </c>
      <c r="F145" s="226">
        <v>0</v>
      </c>
      <c r="G145" s="226">
        <v>0</v>
      </c>
      <c r="H145" s="229">
        <f t="shared" si="11"/>
        <v>0</v>
      </c>
      <c r="I145" s="229">
        <v>0</v>
      </c>
      <c r="J145" s="229">
        <v>0</v>
      </c>
      <c r="K145" s="229">
        <v>0</v>
      </c>
      <c r="L145" s="229">
        <v>0</v>
      </c>
      <c r="M145" s="226">
        <v>0</v>
      </c>
      <c r="N145" s="226">
        <v>0</v>
      </c>
      <c r="O145" s="215"/>
    </row>
    <row r="146" spans="1:15" ht="12.75" x14ac:dyDescent="0.2">
      <c r="A146" s="268">
        <v>136</v>
      </c>
      <c r="B146" s="269" t="s">
        <v>10</v>
      </c>
      <c r="C146" s="270" t="s">
        <v>7</v>
      </c>
      <c r="D146" s="229">
        <f t="shared" si="12"/>
        <v>0</v>
      </c>
      <c r="E146" s="229">
        <f t="shared" si="10"/>
        <v>0</v>
      </c>
      <c r="F146" s="226">
        <v>0</v>
      </c>
      <c r="G146" s="226">
        <v>0</v>
      </c>
      <c r="H146" s="229">
        <f t="shared" si="11"/>
        <v>0</v>
      </c>
      <c r="I146" s="229">
        <v>0</v>
      </c>
      <c r="J146" s="229">
        <v>0</v>
      </c>
      <c r="K146" s="229">
        <v>0</v>
      </c>
      <c r="L146" s="229">
        <v>0</v>
      </c>
      <c r="M146" s="226">
        <v>0</v>
      </c>
      <c r="N146" s="226">
        <v>0</v>
      </c>
      <c r="O146" s="215"/>
    </row>
    <row r="147" spans="1:15" ht="12.75" x14ac:dyDescent="0.2">
      <c r="A147" s="268">
        <v>137</v>
      </c>
      <c r="B147" s="272" t="s">
        <v>393</v>
      </c>
      <c r="C147" s="273" t="s">
        <v>516</v>
      </c>
      <c r="D147" s="229">
        <f t="shared" si="12"/>
        <v>0</v>
      </c>
      <c r="E147" s="229">
        <f t="shared" si="10"/>
        <v>0</v>
      </c>
      <c r="F147" s="226">
        <v>0</v>
      </c>
      <c r="G147" s="226">
        <v>0</v>
      </c>
      <c r="H147" s="229">
        <f t="shared" si="11"/>
        <v>0</v>
      </c>
      <c r="I147" s="229">
        <v>0</v>
      </c>
      <c r="J147" s="229">
        <v>0</v>
      </c>
      <c r="K147" s="229">
        <v>0</v>
      </c>
      <c r="L147" s="229">
        <v>0</v>
      </c>
      <c r="M147" s="226">
        <v>0</v>
      </c>
      <c r="N147" s="226">
        <v>0</v>
      </c>
      <c r="O147" s="215"/>
    </row>
    <row r="148" spans="1:15" ht="12.75" x14ac:dyDescent="0.2">
      <c r="A148" s="268">
        <v>138</v>
      </c>
      <c r="B148" s="269" t="s">
        <v>183</v>
      </c>
      <c r="C148" s="273" t="s">
        <v>184</v>
      </c>
      <c r="D148" s="229">
        <f t="shared" si="12"/>
        <v>0</v>
      </c>
      <c r="E148" s="229">
        <f t="shared" si="10"/>
        <v>0</v>
      </c>
      <c r="F148" s="226">
        <v>0</v>
      </c>
      <c r="G148" s="226">
        <v>0</v>
      </c>
      <c r="H148" s="229">
        <f t="shared" si="11"/>
        <v>0</v>
      </c>
      <c r="I148" s="229">
        <v>0</v>
      </c>
      <c r="J148" s="229">
        <v>0</v>
      </c>
      <c r="K148" s="229">
        <v>0</v>
      </c>
      <c r="L148" s="229">
        <v>0</v>
      </c>
      <c r="M148" s="226">
        <v>0</v>
      </c>
      <c r="N148" s="226">
        <v>0</v>
      </c>
      <c r="O148" s="215"/>
    </row>
    <row r="149" spans="1:15" ht="12.75" x14ac:dyDescent="0.2">
      <c r="A149" s="268">
        <v>139</v>
      </c>
      <c r="B149" s="274" t="s">
        <v>185</v>
      </c>
      <c r="C149" s="275" t="s">
        <v>186</v>
      </c>
      <c r="D149" s="229">
        <f t="shared" si="12"/>
        <v>9855</v>
      </c>
      <c r="E149" s="229">
        <f t="shared" si="10"/>
        <v>9855</v>
      </c>
      <c r="F149" s="226">
        <v>9855</v>
      </c>
      <c r="G149" s="226">
        <v>0</v>
      </c>
      <c r="H149" s="229">
        <f t="shared" si="11"/>
        <v>0</v>
      </c>
      <c r="I149" s="229">
        <v>0</v>
      </c>
      <c r="J149" s="229">
        <v>0</v>
      </c>
      <c r="K149" s="229">
        <v>0</v>
      </c>
      <c r="L149" s="229">
        <v>0</v>
      </c>
      <c r="M149" s="226">
        <v>0</v>
      </c>
      <c r="N149" s="226">
        <v>0</v>
      </c>
      <c r="O149" s="215"/>
    </row>
    <row r="150" spans="1:15" ht="12.75" x14ac:dyDescent="0.2">
      <c r="A150" s="268">
        <v>140</v>
      </c>
      <c r="B150" s="272" t="s">
        <v>187</v>
      </c>
      <c r="C150" s="273" t="s">
        <v>188</v>
      </c>
      <c r="D150" s="229">
        <f t="shared" si="12"/>
        <v>0</v>
      </c>
      <c r="E150" s="229">
        <f t="shared" si="10"/>
        <v>0</v>
      </c>
      <c r="F150" s="226">
        <v>0</v>
      </c>
      <c r="G150" s="226">
        <v>0</v>
      </c>
      <c r="H150" s="229">
        <f t="shared" si="11"/>
        <v>0</v>
      </c>
      <c r="I150" s="229">
        <v>0</v>
      </c>
      <c r="J150" s="229">
        <v>0</v>
      </c>
      <c r="K150" s="229">
        <v>0</v>
      </c>
      <c r="L150" s="229">
        <v>0</v>
      </c>
      <c r="M150" s="226">
        <v>0</v>
      </c>
      <c r="N150" s="226">
        <v>0</v>
      </c>
      <c r="O150" s="215"/>
    </row>
    <row r="151" spans="1:15" ht="12.75" x14ac:dyDescent="0.2">
      <c r="A151" s="268">
        <v>141</v>
      </c>
      <c r="B151" s="272" t="s">
        <v>395</v>
      </c>
      <c r="C151" s="273" t="s">
        <v>396</v>
      </c>
      <c r="D151" s="229">
        <f t="shared" si="12"/>
        <v>0</v>
      </c>
      <c r="E151" s="229">
        <f t="shared" si="10"/>
        <v>0</v>
      </c>
      <c r="F151" s="226">
        <v>0</v>
      </c>
      <c r="G151" s="226">
        <v>0</v>
      </c>
      <c r="H151" s="229">
        <f t="shared" si="11"/>
        <v>0</v>
      </c>
      <c r="I151" s="229">
        <v>0</v>
      </c>
      <c r="J151" s="229">
        <v>0</v>
      </c>
      <c r="K151" s="229">
        <v>0</v>
      </c>
      <c r="L151" s="229">
        <v>0</v>
      </c>
      <c r="M151" s="226">
        <v>0</v>
      </c>
      <c r="N151" s="226">
        <v>0</v>
      </c>
      <c r="O151" s="215"/>
    </row>
    <row r="152" spans="1:15" ht="12.75" x14ac:dyDescent="0.2">
      <c r="A152" s="268">
        <v>142</v>
      </c>
      <c r="B152" s="272" t="s">
        <v>189</v>
      </c>
      <c r="C152" s="273" t="s">
        <v>190</v>
      </c>
      <c r="D152" s="229">
        <f t="shared" si="12"/>
        <v>0</v>
      </c>
      <c r="E152" s="229">
        <f t="shared" si="10"/>
        <v>0</v>
      </c>
      <c r="F152" s="226">
        <v>0</v>
      </c>
      <c r="G152" s="226">
        <v>0</v>
      </c>
      <c r="H152" s="229">
        <f t="shared" si="11"/>
        <v>0</v>
      </c>
      <c r="I152" s="229">
        <v>0</v>
      </c>
      <c r="J152" s="229">
        <v>0</v>
      </c>
      <c r="K152" s="229">
        <v>0</v>
      </c>
      <c r="L152" s="229">
        <v>0</v>
      </c>
      <c r="M152" s="226">
        <v>0</v>
      </c>
      <c r="N152" s="226">
        <v>0</v>
      </c>
      <c r="O152" s="215"/>
    </row>
    <row r="153" spans="1:15" ht="12.75" x14ac:dyDescent="0.2">
      <c r="A153" s="268">
        <v>143</v>
      </c>
      <c r="B153" s="274" t="s">
        <v>12</v>
      </c>
      <c r="C153" s="275" t="s">
        <v>2</v>
      </c>
      <c r="D153" s="229">
        <f t="shared" si="12"/>
        <v>0</v>
      </c>
      <c r="E153" s="229">
        <f t="shared" si="10"/>
        <v>0</v>
      </c>
      <c r="F153" s="226">
        <v>0</v>
      </c>
      <c r="G153" s="226">
        <v>0</v>
      </c>
      <c r="H153" s="229">
        <f t="shared" si="11"/>
        <v>0</v>
      </c>
      <c r="I153" s="229">
        <v>0</v>
      </c>
      <c r="J153" s="229">
        <v>0</v>
      </c>
      <c r="K153" s="229">
        <v>0</v>
      </c>
      <c r="L153" s="229">
        <v>0</v>
      </c>
      <c r="M153" s="226">
        <v>0</v>
      </c>
      <c r="N153" s="226">
        <v>0</v>
      </c>
      <c r="O153" s="215"/>
    </row>
    <row r="154" spans="1:15" ht="12.75" x14ac:dyDescent="0.2">
      <c r="A154" s="268">
        <v>144</v>
      </c>
      <c r="B154" s="271" t="s">
        <v>3</v>
      </c>
      <c r="C154" s="275" t="s">
        <v>191</v>
      </c>
      <c r="D154" s="229">
        <f t="shared" si="12"/>
        <v>109693</v>
      </c>
      <c r="E154" s="229">
        <f t="shared" si="10"/>
        <v>0</v>
      </c>
      <c r="F154" s="226">
        <v>0</v>
      </c>
      <c r="G154" s="226">
        <v>0</v>
      </c>
      <c r="H154" s="229">
        <f t="shared" si="11"/>
        <v>109693</v>
      </c>
      <c r="I154" s="229">
        <v>23431</v>
      </c>
      <c r="J154" s="229">
        <v>670</v>
      </c>
      <c r="K154" s="229">
        <v>135</v>
      </c>
      <c r="L154" s="229">
        <v>84</v>
      </c>
      <c r="M154" s="226">
        <v>60360</v>
      </c>
      <c r="N154" s="226">
        <v>25013</v>
      </c>
      <c r="O154" s="215"/>
    </row>
    <row r="155" spans="1:15" ht="12.75" x14ac:dyDescent="0.2">
      <c r="A155" s="268">
        <v>145</v>
      </c>
      <c r="B155" s="272" t="s">
        <v>11</v>
      </c>
      <c r="C155" s="273" t="s">
        <v>8</v>
      </c>
      <c r="D155" s="229">
        <f t="shared" si="12"/>
        <v>0</v>
      </c>
      <c r="E155" s="229">
        <f t="shared" si="10"/>
        <v>0</v>
      </c>
      <c r="F155" s="226">
        <v>0</v>
      </c>
      <c r="G155" s="226">
        <v>0</v>
      </c>
      <c r="H155" s="229">
        <f t="shared" si="11"/>
        <v>0</v>
      </c>
      <c r="I155" s="229">
        <v>0</v>
      </c>
      <c r="J155" s="229">
        <v>0</v>
      </c>
      <c r="K155" s="229">
        <v>0</v>
      </c>
      <c r="L155" s="229">
        <v>0</v>
      </c>
      <c r="M155" s="226">
        <v>0</v>
      </c>
      <c r="N155" s="226">
        <v>0</v>
      </c>
      <c r="O155" s="215"/>
    </row>
    <row r="156" spans="1:15" ht="12.75" x14ac:dyDescent="0.2">
      <c r="A156" s="268">
        <v>146</v>
      </c>
      <c r="B156" s="269" t="s">
        <v>398</v>
      </c>
      <c r="C156" s="270" t="s">
        <v>399</v>
      </c>
      <c r="D156" s="229">
        <f t="shared" si="12"/>
        <v>0</v>
      </c>
      <c r="E156" s="229">
        <f t="shared" si="10"/>
        <v>0</v>
      </c>
      <c r="F156" s="226">
        <v>0</v>
      </c>
      <c r="G156" s="226">
        <v>0</v>
      </c>
      <c r="H156" s="229">
        <f t="shared" si="11"/>
        <v>0</v>
      </c>
      <c r="I156" s="229">
        <v>0</v>
      </c>
      <c r="J156" s="229">
        <v>0</v>
      </c>
      <c r="K156" s="229">
        <v>0</v>
      </c>
      <c r="L156" s="229">
        <v>0</v>
      </c>
      <c r="M156" s="226">
        <v>0</v>
      </c>
      <c r="N156" s="226">
        <v>0</v>
      </c>
      <c r="O156" s="215"/>
    </row>
    <row r="157" spans="1:15" x14ac:dyDescent="0.2">
      <c r="A157" s="268">
        <v>147</v>
      </c>
      <c r="B157" s="237" t="s">
        <v>400</v>
      </c>
      <c r="C157" s="234" t="s">
        <v>517</v>
      </c>
      <c r="D157" s="229">
        <f t="shared" si="12"/>
        <v>0</v>
      </c>
      <c r="E157" s="229">
        <v>0</v>
      </c>
      <c r="F157" s="226">
        <v>0</v>
      </c>
      <c r="G157" s="226">
        <v>0</v>
      </c>
      <c r="H157" s="229">
        <f t="shared" si="11"/>
        <v>0</v>
      </c>
      <c r="I157" s="229">
        <v>0</v>
      </c>
      <c r="J157" s="229">
        <v>0</v>
      </c>
      <c r="K157" s="229">
        <v>0</v>
      </c>
      <c r="L157" s="229">
        <v>0</v>
      </c>
      <c r="M157" s="226">
        <v>0</v>
      </c>
      <c r="N157" s="226">
        <v>0</v>
      </c>
      <c r="O157" s="215"/>
    </row>
    <row r="158" spans="1:15" ht="12.75" x14ac:dyDescent="0.2">
      <c r="A158" s="268">
        <v>148</v>
      </c>
      <c r="B158" s="258" t="s">
        <v>192</v>
      </c>
      <c r="C158" s="259" t="s">
        <v>193</v>
      </c>
      <c r="D158" s="229">
        <f t="shared" si="12"/>
        <v>0</v>
      </c>
      <c r="E158" s="229">
        <v>0</v>
      </c>
      <c r="F158" s="226">
        <v>0</v>
      </c>
      <c r="G158" s="226">
        <v>0</v>
      </c>
      <c r="H158" s="229">
        <f t="shared" si="11"/>
        <v>0</v>
      </c>
      <c r="I158" s="229">
        <v>0</v>
      </c>
      <c r="J158" s="229">
        <v>0</v>
      </c>
      <c r="K158" s="229">
        <v>0</v>
      </c>
      <c r="L158" s="229">
        <v>0</v>
      </c>
      <c r="M158" s="226">
        <v>0</v>
      </c>
      <c r="N158" s="226">
        <v>0</v>
      </c>
      <c r="O158" s="215"/>
    </row>
    <row r="159" spans="1:15" x14ac:dyDescent="0.2">
      <c r="E159" s="260"/>
      <c r="H159" s="215"/>
      <c r="I159" s="215"/>
      <c r="J159" s="215"/>
      <c r="K159" s="284"/>
      <c r="L159" s="284"/>
      <c r="M159" s="284"/>
      <c r="N159" s="284"/>
    </row>
    <row r="160" spans="1:15" x14ac:dyDescent="0.2">
      <c r="K160" s="215"/>
    </row>
    <row r="161" spans="9:9" x14ac:dyDescent="0.2">
      <c r="I161" s="215"/>
    </row>
  </sheetData>
  <mergeCells count="18">
    <mergeCell ref="A8:C8"/>
    <mergeCell ref="A9:C9"/>
    <mergeCell ref="A10:C10"/>
    <mergeCell ref="E5:E6"/>
    <mergeCell ref="F5:G5"/>
    <mergeCell ref="H5:H6"/>
    <mergeCell ref="I5:J5"/>
    <mergeCell ref="K5:L5"/>
    <mergeCell ref="M5:N5"/>
    <mergeCell ref="A1:N1"/>
    <mergeCell ref="A2:A6"/>
    <mergeCell ref="B2:B6"/>
    <mergeCell ref="C2:C6"/>
    <mergeCell ref="D2:N2"/>
    <mergeCell ref="D3:D6"/>
    <mergeCell ref="E3:N3"/>
    <mergeCell ref="E4:G4"/>
    <mergeCell ref="H4:N4"/>
  </mergeCells>
  <pageMargins left="0.70866141732283472" right="0.70866141732283472" top="0.35433070866141736" bottom="0.15748031496062992" header="0.31496062992125984" footer="0.31496062992125984"/>
  <pageSetup paperSize="9" scale="79" fitToHeight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64"/>
  <sheetViews>
    <sheetView workbookViewId="0">
      <pane xSplit="3" ySplit="10" topLeftCell="V161" activePane="bottomRight" state="frozen"/>
      <selection activeCell="F149" sqref="F149"/>
      <selection pane="topRight" activeCell="F149" sqref="F149"/>
      <selection pane="bottomLeft" activeCell="F149" sqref="F149"/>
      <selection pane="bottomRight" activeCell="K31" sqref="K31"/>
    </sheetView>
  </sheetViews>
  <sheetFormatPr defaultRowHeight="12" x14ac:dyDescent="0.2"/>
  <cols>
    <col min="1" max="1" width="5" style="261" customWidth="1"/>
    <col min="2" max="2" width="7.140625" style="261" customWidth="1"/>
    <col min="3" max="3" width="30.42578125" style="261" customWidth="1"/>
    <col min="4" max="4" width="13.7109375" style="261" customWidth="1"/>
    <col min="5" max="8" width="9.28515625" style="261" customWidth="1"/>
    <col min="9" max="9" width="9.7109375" style="261" customWidth="1"/>
    <col min="10" max="10" width="10.7109375" style="261" customWidth="1"/>
    <col min="11" max="11" width="9.5703125" style="261" customWidth="1"/>
    <col min="12" max="14" width="10.140625" style="261" customWidth="1"/>
    <col min="15" max="15" width="9.7109375" style="261" customWidth="1"/>
    <col min="16" max="16" width="10" style="261" customWidth="1"/>
    <col min="17" max="18" width="9.5703125" style="261" customWidth="1"/>
    <col min="19" max="19" width="10.7109375" style="261" customWidth="1"/>
    <col min="20" max="20" width="8.42578125" style="261" customWidth="1"/>
    <col min="21" max="22" width="10.7109375" style="261" customWidth="1"/>
    <col min="23" max="25" width="9.140625" style="261" customWidth="1"/>
    <col min="26" max="26" width="34" style="261" customWidth="1"/>
    <col min="27" max="27" width="9.140625" style="261"/>
    <col min="28" max="28" width="12.85546875" style="261" customWidth="1"/>
    <col min="29" max="29" width="9.140625" style="261"/>
    <col min="30" max="30" width="12" style="261" customWidth="1"/>
    <col min="31" max="16384" width="9.140625" style="261"/>
  </cols>
  <sheetData>
    <row r="1" spans="1:32" ht="22.5" customHeight="1" x14ac:dyDescent="0.2">
      <c r="A1" s="768" t="s">
        <v>527</v>
      </c>
      <c r="B1" s="768"/>
      <c r="C1" s="768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295"/>
      <c r="Y1" s="295"/>
      <c r="Z1" s="295"/>
    </row>
    <row r="2" spans="1:32" ht="12" customHeight="1" x14ac:dyDescent="0.2">
      <c r="A2" s="764" t="s">
        <v>0</v>
      </c>
      <c r="B2" s="769" t="s">
        <v>431</v>
      </c>
      <c r="C2" s="764" t="s">
        <v>432</v>
      </c>
      <c r="D2" s="772" t="s">
        <v>528</v>
      </c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</row>
    <row r="3" spans="1:32" x14ac:dyDescent="0.2">
      <c r="A3" s="764"/>
      <c r="B3" s="770"/>
      <c r="C3" s="764"/>
      <c r="D3" s="763" t="s">
        <v>16</v>
      </c>
      <c r="E3" s="764" t="s">
        <v>18</v>
      </c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spans="1:32" ht="47.25" customHeight="1" x14ac:dyDescent="0.2">
      <c r="A4" s="764"/>
      <c r="B4" s="770"/>
      <c r="C4" s="764"/>
      <c r="D4" s="764"/>
      <c r="E4" s="765" t="s">
        <v>519</v>
      </c>
      <c r="F4" s="775"/>
      <c r="G4" s="775"/>
      <c r="H4" s="775"/>
      <c r="I4" s="766"/>
      <c r="J4" s="767" t="s">
        <v>520</v>
      </c>
      <c r="K4" s="767"/>
      <c r="L4" s="767"/>
      <c r="M4" s="767"/>
      <c r="N4" s="767"/>
      <c r="O4" s="767"/>
      <c r="P4" s="767"/>
      <c r="Q4" s="767" t="s">
        <v>529</v>
      </c>
      <c r="R4" s="767"/>
      <c r="S4" s="767"/>
      <c r="T4" s="767" t="s">
        <v>530</v>
      </c>
      <c r="U4" s="767"/>
      <c r="V4" s="767"/>
      <c r="W4" s="767"/>
      <c r="X4" s="767"/>
      <c r="Y4" s="767"/>
      <c r="Z4" s="296" t="s">
        <v>531</v>
      </c>
    </row>
    <row r="5" spans="1:32" ht="22.5" customHeight="1" x14ac:dyDescent="0.2">
      <c r="A5" s="764"/>
      <c r="B5" s="770"/>
      <c r="C5" s="764"/>
      <c r="D5" s="764"/>
      <c r="E5" s="764" t="s">
        <v>285</v>
      </c>
      <c r="F5" s="767" t="s">
        <v>532</v>
      </c>
      <c r="G5" s="767"/>
      <c r="H5" s="776" t="s">
        <v>301</v>
      </c>
      <c r="I5" s="777"/>
      <c r="J5" s="764" t="s">
        <v>285</v>
      </c>
      <c r="K5" s="767" t="s">
        <v>300</v>
      </c>
      <c r="L5" s="767"/>
      <c r="M5" s="765" t="s">
        <v>301</v>
      </c>
      <c r="N5" s="766"/>
      <c r="O5" s="767" t="s">
        <v>302</v>
      </c>
      <c r="P5" s="767"/>
      <c r="Q5" s="764" t="s">
        <v>285</v>
      </c>
      <c r="R5" s="767" t="s">
        <v>18</v>
      </c>
      <c r="S5" s="767"/>
      <c r="T5" s="767" t="s">
        <v>285</v>
      </c>
      <c r="U5" s="764" t="s">
        <v>533</v>
      </c>
      <c r="V5" s="764"/>
      <c r="W5" s="764"/>
      <c r="X5" s="764" t="s">
        <v>301</v>
      </c>
      <c r="Y5" s="764"/>
      <c r="Z5" s="297" t="s">
        <v>534</v>
      </c>
    </row>
    <row r="6" spans="1:32" ht="34.5" customHeight="1" x14ac:dyDescent="0.2">
      <c r="A6" s="764"/>
      <c r="B6" s="771"/>
      <c r="C6" s="764"/>
      <c r="D6" s="764"/>
      <c r="E6" s="764"/>
      <c r="F6" s="264" t="s">
        <v>304</v>
      </c>
      <c r="G6" s="298" t="s">
        <v>305</v>
      </c>
      <c r="H6" s="264" t="s">
        <v>304</v>
      </c>
      <c r="I6" s="298" t="s">
        <v>305</v>
      </c>
      <c r="J6" s="764"/>
      <c r="K6" s="264" t="s">
        <v>304</v>
      </c>
      <c r="L6" s="298" t="s">
        <v>305</v>
      </c>
      <c r="M6" s="298" t="s">
        <v>304</v>
      </c>
      <c r="N6" s="298" t="s">
        <v>305</v>
      </c>
      <c r="O6" s="264" t="s">
        <v>304</v>
      </c>
      <c r="P6" s="298" t="s">
        <v>305</v>
      </c>
      <c r="Q6" s="764"/>
      <c r="R6" s="264" t="s">
        <v>535</v>
      </c>
      <c r="S6" s="298" t="s">
        <v>536</v>
      </c>
      <c r="T6" s="767"/>
      <c r="U6" s="264" t="s">
        <v>304</v>
      </c>
      <c r="V6" s="264" t="s">
        <v>537</v>
      </c>
      <c r="W6" s="298" t="s">
        <v>305</v>
      </c>
      <c r="X6" s="264" t="s">
        <v>304</v>
      </c>
      <c r="Y6" s="298" t="s">
        <v>305</v>
      </c>
      <c r="Z6" s="264" t="s">
        <v>304</v>
      </c>
    </row>
    <row r="7" spans="1:32" s="267" customFormat="1" ht="11.25" x14ac:dyDescent="0.2">
      <c r="A7" s="265">
        <v>1</v>
      </c>
      <c r="B7" s="265">
        <v>2</v>
      </c>
      <c r="C7" s="265">
        <v>3</v>
      </c>
      <c r="D7" s="266">
        <v>4</v>
      </c>
      <c r="E7" s="220">
        <v>5</v>
      </c>
      <c r="F7" s="220">
        <v>6</v>
      </c>
      <c r="G7" s="220">
        <v>7</v>
      </c>
      <c r="H7" s="220">
        <v>8</v>
      </c>
      <c r="I7" s="220">
        <v>9</v>
      </c>
      <c r="J7" s="220">
        <v>10</v>
      </c>
      <c r="K7" s="220">
        <v>11</v>
      </c>
      <c r="L7" s="220">
        <v>12</v>
      </c>
      <c r="M7" s="220">
        <v>13</v>
      </c>
      <c r="N7" s="220">
        <v>14</v>
      </c>
      <c r="O7" s="220">
        <v>15</v>
      </c>
      <c r="P7" s="220">
        <v>16</v>
      </c>
      <c r="Q7" s="220">
        <v>17</v>
      </c>
      <c r="R7" s="220">
        <v>18</v>
      </c>
      <c r="S7" s="220">
        <v>19</v>
      </c>
      <c r="T7" s="220">
        <v>20</v>
      </c>
      <c r="U7" s="220">
        <v>21</v>
      </c>
      <c r="V7" s="220">
        <v>22</v>
      </c>
      <c r="W7" s="220">
        <v>23</v>
      </c>
      <c r="X7" s="220">
        <v>24</v>
      </c>
      <c r="Y7" s="220">
        <v>25</v>
      </c>
      <c r="Z7" s="220">
        <v>26</v>
      </c>
    </row>
    <row r="8" spans="1:32" s="267" customFormat="1" x14ac:dyDescent="0.2">
      <c r="A8" s="747" t="s">
        <v>1</v>
      </c>
      <c r="B8" s="747"/>
      <c r="C8" s="747"/>
      <c r="D8" s="223">
        <f>D9+D10</f>
        <v>4086221</v>
      </c>
      <c r="E8" s="223">
        <f>SUM(F8:I8)</f>
        <v>178040</v>
      </c>
      <c r="F8" s="223">
        <f t="shared" ref="F8:I8" si="0">F9+F10</f>
        <v>94976</v>
      </c>
      <c r="G8" s="223">
        <f t="shared" si="0"/>
        <v>3710</v>
      </c>
      <c r="H8" s="223">
        <f t="shared" si="0"/>
        <v>24209</v>
      </c>
      <c r="I8" s="223">
        <f t="shared" si="0"/>
        <v>55145</v>
      </c>
      <c r="J8" s="223">
        <f>J9+J10</f>
        <v>3014623</v>
      </c>
      <c r="K8" s="223">
        <f t="shared" ref="K8:P8" si="1">K9+K10</f>
        <v>435981</v>
      </c>
      <c r="L8" s="223">
        <f t="shared" si="1"/>
        <v>78664</v>
      </c>
      <c r="M8" s="223">
        <f t="shared" si="1"/>
        <v>105574</v>
      </c>
      <c r="N8" s="223">
        <f t="shared" si="1"/>
        <v>49356</v>
      </c>
      <c r="O8" s="223">
        <f t="shared" si="1"/>
        <v>1290989</v>
      </c>
      <c r="P8" s="223">
        <f t="shared" si="1"/>
        <v>729031</v>
      </c>
      <c r="Q8" s="223">
        <f>R8+S8</f>
        <v>55632</v>
      </c>
      <c r="R8" s="223">
        <f t="shared" ref="R8:S8" si="2">R9+R10</f>
        <v>38951</v>
      </c>
      <c r="S8" s="223">
        <f t="shared" si="2"/>
        <v>16681</v>
      </c>
      <c r="T8" s="223">
        <f t="shared" ref="T8:T9" si="3">U8+W8+X8+Y8</f>
        <v>835676</v>
      </c>
      <c r="U8" s="223">
        <f t="shared" ref="U8:X8" si="4">U9+U10</f>
        <v>646064</v>
      </c>
      <c r="V8" s="223">
        <f t="shared" si="4"/>
        <v>26073</v>
      </c>
      <c r="W8" s="223">
        <f t="shared" si="4"/>
        <v>168202</v>
      </c>
      <c r="X8" s="223">
        <f t="shared" si="4"/>
        <v>10709</v>
      </c>
      <c r="Y8" s="223">
        <f>Y9+Y10</f>
        <v>10701</v>
      </c>
      <c r="Z8" s="223">
        <f>Z9+Z10</f>
        <v>2250</v>
      </c>
    </row>
    <row r="9" spans="1:32" s="267" customFormat="1" x14ac:dyDescent="0.2">
      <c r="A9" s="757" t="s">
        <v>19</v>
      </c>
      <c r="B9" s="758"/>
      <c r="C9" s="759"/>
      <c r="D9" s="223">
        <f t="shared" ref="D9:D10" si="5">E9+J9+Q9+T9+Z9</f>
        <v>329420</v>
      </c>
      <c r="E9" s="223">
        <f t="shared" ref="E9" si="6">F9+G9+H9+I9</f>
        <v>4392</v>
      </c>
      <c r="F9" s="223">
        <v>4392</v>
      </c>
      <c r="G9" s="223">
        <v>0</v>
      </c>
      <c r="H9" s="223">
        <v>0</v>
      </c>
      <c r="I9" s="223">
        <v>0</v>
      </c>
      <c r="J9" s="223">
        <f>'[10]Прот.8-21'!J9</f>
        <v>325028</v>
      </c>
      <c r="K9" s="223">
        <v>0</v>
      </c>
      <c r="L9" s="223">
        <v>0</v>
      </c>
      <c r="M9" s="223">
        <v>0</v>
      </c>
      <c r="N9" s="223">
        <v>0</v>
      </c>
      <c r="O9" s="223">
        <v>0</v>
      </c>
      <c r="P9" s="223">
        <v>0</v>
      </c>
      <c r="Q9" s="223">
        <f t="shared" ref="Q9:Q10" si="7">R9+S9</f>
        <v>0</v>
      </c>
      <c r="R9" s="223">
        <v>0</v>
      </c>
      <c r="S9" s="223">
        <v>0</v>
      </c>
      <c r="T9" s="223">
        <f t="shared" si="3"/>
        <v>0</v>
      </c>
      <c r="U9" s="223">
        <v>0</v>
      </c>
      <c r="V9" s="223"/>
      <c r="W9" s="223">
        <v>0</v>
      </c>
      <c r="X9" s="223">
        <v>0</v>
      </c>
      <c r="Y9" s="223">
        <v>0</v>
      </c>
      <c r="Z9" s="223">
        <v>0</v>
      </c>
    </row>
    <row r="10" spans="1:32" s="267" customFormat="1" x14ac:dyDescent="0.2">
      <c r="A10" s="757" t="s">
        <v>20</v>
      </c>
      <c r="B10" s="758"/>
      <c r="C10" s="759"/>
      <c r="D10" s="223">
        <f t="shared" si="5"/>
        <v>3756801</v>
      </c>
      <c r="E10" s="223">
        <f>+F10+G10+H10+I10</f>
        <v>173648</v>
      </c>
      <c r="F10" s="223">
        <f t="shared" ref="F10:I10" si="8">SUM(F11:F158)</f>
        <v>90584</v>
      </c>
      <c r="G10" s="223">
        <f t="shared" si="8"/>
        <v>3710</v>
      </c>
      <c r="H10" s="223">
        <f t="shared" si="8"/>
        <v>24209</v>
      </c>
      <c r="I10" s="223">
        <f t="shared" si="8"/>
        <v>55145</v>
      </c>
      <c r="J10" s="223">
        <f>SUM(K10:P10)</f>
        <v>2689595</v>
      </c>
      <c r="K10" s="223">
        <f t="shared" ref="K10:P10" si="9">SUM(K11:K158)</f>
        <v>435981</v>
      </c>
      <c r="L10" s="223">
        <f t="shared" si="9"/>
        <v>78664</v>
      </c>
      <c r="M10" s="223">
        <f t="shared" si="9"/>
        <v>105574</v>
      </c>
      <c r="N10" s="223">
        <f t="shared" si="9"/>
        <v>49356</v>
      </c>
      <c r="O10" s="223">
        <f t="shared" si="9"/>
        <v>1290989</v>
      </c>
      <c r="P10" s="223">
        <f t="shared" si="9"/>
        <v>729031</v>
      </c>
      <c r="Q10" s="223">
        <f t="shared" si="7"/>
        <v>55632</v>
      </c>
      <c r="R10" s="223">
        <f t="shared" ref="R10:S10" si="10">SUM(R11:R158)</f>
        <v>38951</v>
      </c>
      <c r="S10" s="223">
        <f t="shared" si="10"/>
        <v>16681</v>
      </c>
      <c r="T10" s="223">
        <f>U10+W10+X10+Y10</f>
        <v>835676</v>
      </c>
      <c r="U10" s="223">
        <f t="shared" ref="U10:Y10" si="11">SUM(U11:U158)</f>
        <v>646064</v>
      </c>
      <c r="V10" s="223">
        <f t="shared" si="11"/>
        <v>26073</v>
      </c>
      <c r="W10" s="223">
        <f t="shared" si="11"/>
        <v>168202</v>
      </c>
      <c r="X10" s="223">
        <f t="shared" si="11"/>
        <v>10709</v>
      </c>
      <c r="Y10" s="223">
        <f t="shared" si="11"/>
        <v>10701</v>
      </c>
      <c r="Z10" s="223">
        <f>SUM(Z11:Z158)</f>
        <v>2250</v>
      </c>
    </row>
    <row r="11" spans="1:32" ht="12.75" x14ac:dyDescent="0.2">
      <c r="A11" s="268">
        <v>1</v>
      </c>
      <c r="B11" s="269" t="s">
        <v>21</v>
      </c>
      <c r="C11" s="270" t="s">
        <v>22</v>
      </c>
      <c r="D11" s="229">
        <f>E11+J11+Q11+T11+Z11</f>
        <v>8763</v>
      </c>
      <c r="E11" s="229">
        <f t="shared" ref="E11:E81" si="12">F11+G11+H11+I11</f>
        <v>0</v>
      </c>
      <c r="F11" s="229">
        <v>0</v>
      </c>
      <c r="G11" s="229">
        <v>0</v>
      </c>
      <c r="H11" s="229">
        <v>0</v>
      </c>
      <c r="I11" s="229">
        <v>0</v>
      </c>
      <c r="J11" s="229">
        <f t="shared" ref="J11:J81" si="13">O11+P11+N11+M11+L11+K11</f>
        <v>8763</v>
      </c>
      <c r="K11" s="229">
        <v>2562</v>
      </c>
      <c r="L11" s="229">
        <v>269</v>
      </c>
      <c r="M11" s="229">
        <v>1654</v>
      </c>
      <c r="N11" s="229">
        <v>320</v>
      </c>
      <c r="O11" s="229">
        <v>2867</v>
      </c>
      <c r="P11" s="229">
        <v>1091</v>
      </c>
      <c r="Q11" s="229">
        <f>R11+S11</f>
        <v>0</v>
      </c>
      <c r="R11" s="229">
        <v>0</v>
      </c>
      <c r="S11" s="229">
        <v>0</v>
      </c>
      <c r="T11" s="229">
        <f t="shared" ref="T11:T81" si="14">U11+W11+X11+Y11</f>
        <v>0</v>
      </c>
      <c r="U11" s="229">
        <v>0</v>
      </c>
      <c r="V11" s="229">
        <v>0</v>
      </c>
      <c r="W11" s="229">
        <v>0</v>
      </c>
      <c r="X11" s="229">
        <v>0</v>
      </c>
      <c r="Y11" s="229">
        <v>0</v>
      </c>
      <c r="Z11" s="229">
        <v>0</v>
      </c>
      <c r="AA11" s="215"/>
      <c r="AB11" s="215"/>
      <c r="AC11" s="215"/>
      <c r="AE11" s="215"/>
      <c r="AF11" s="215"/>
    </row>
    <row r="12" spans="1:32" ht="12.75" x14ac:dyDescent="0.2">
      <c r="A12" s="268">
        <v>2</v>
      </c>
      <c r="B12" s="271" t="s">
        <v>23</v>
      </c>
      <c r="C12" s="270" t="s">
        <v>521</v>
      </c>
      <c r="D12" s="229">
        <f t="shared" ref="D12:D82" si="15">E12+J12+Q12+T12+Z12</f>
        <v>14532</v>
      </c>
      <c r="E12" s="229">
        <f t="shared" si="12"/>
        <v>0</v>
      </c>
      <c r="F12" s="229">
        <v>0</v>
      </c>
      <c r="G12" s="229">
        <v>0</v>
      </c>
      <c r="H12" s="229">
        <v>0</v>
      </c>
      <c r="I12" s="229">
        <v>0</v>
      </c>
      <c r="J12" s="229">
        <f t="shared" si="13"/>
        <v>13068</v>
      </c>
      <c r="K12" s="229">
        <v>1450</v>
      </c>
      <c r="L12" s="229">
        <v>65</v>
      </c>
      <c r="M12" s="229">
        <v>3800</v>
      </c>
      <c r="N12" s="229">
        <v>850</v>
      </c>
      <c r="O12" s="229">
        <v>5553</v>
      </c>
      <c r="P12" s="229">
        <v>1350</v>
      </c>
      <c r="Q12" s="229">
        <f>R12+S12</f>
        <v>1464</v>
      </c>
      <c r="R12" s="229">
        <v>1025</v>
      </c>
      <c r="S12" s="229">
        <v>439</v>
      </c>
      <c r="T12" s="229">
        <f t="shared" si="14"/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15"/>
      <c r="AB12" s="215"/>
      <c r="AE12" s="215"/>
      <c r="AF12" s="215"/>
    </row>
    <row r="13" spans="1:32" ht="12.75" x14ac:dyDescent="0.2">
      <c r="A13" s="268">
        <v>3</v>
      </c>
      <c r="B13" s="272" t="s">
        <v>24</v>
      </c>
      <c r="C13" s="273" t="s">
        <v>25</v>
      </c>
      <c r="D13" s="229">
        <f t="shared" si="15"/>
        <v>23401</v>
      </c>
      <c r="E13" s="229">
        <f t="shared" si="12"/>
        <v>0</v>
      </c>
      <c r="F13" s="229">
        <v>0</v>
      </c>
      <c r="G13" s="229">
        <v>0</v>
      </c>
      <c r="H13" s="229">
        <v>0</v>
      </c>
      <c r="I13" s="229">
        <v>0</v>
      </c>
      <c r="J13" s="229">
        <f t="shared" si="13"/>
        <v>21937</v>
      </c>
      <c r="K13" s="229">
        <v>1110</v>
      </c>
      <c r="L13" s="229">
        <v>584</v>
      </c>
      <c r="M13" s="229">
        <v>0</v>
      </c>
      <c r="N13" s="229">
        <v>0</v>
      </c>
      <c r="O13" s="229">
        <v>11052</v>
      </c>
      <c r="P13" s="229">
        <v>9191</v>
      </c>
      <c r="Q13" s="229">
        <f t="shared" ref="Q13:Q83" si="16">R13+S13</f>
        <v>1464</v>
      </c>
      <c r="R13" s="229">
        <v>1025</v>
      </c>
      <c r="S13" s="229">
        <v>439</v>
      </c>
      <c r="T13" s="229">
        <f t="shared" si="14"/>
        <v>0</v>
      </c>
      <c r="U13" s="229">
        <v>0</v>
      </c>
      <c r="V13" s="229">
        <v>0</v>
      </c>
      <c r="W13" s="229">
        <v>0</v>
      </c>
      <c r="X13" s="229">
        <v>0</v>
      </c>
      <c r="Y13" s="229">
        <v>0</v>
      </c>
      <c r="Z13" s="229">
        <v>0</v>
      </c>
      <c r="AA13" s="215"/>
      <c r="AB13" s="215"/>
      <c r="AE13" s="215"/>
      <c r="AF13" s="215"/>
    </row>
    <row r="14" spans="1:32" ht="12.75" x14ac:dyDescent="0.2">
      <c r="A14" s="268">
        <v>4</v>
      </c>
      <c r="B14" s="269" t="s">
        <v>26</v>
      </c>
      <c r="C14" s="270" t="s">
        <v>448</v>
      </c>
      <c r="D14" s="229">
        <f t="shared" si="15"/>
        <v>17962</v>
      </c>
      <c r="E14" s="229">
        <f t="shared" si="12"/>
        <v>0</v>
      </c>
      <c r="F14" s="229">
        <v>0</v>
      </c>
      <c r="G14" s="229">
        <v>0</v>
      </c>
      <c r="H14" s="229">
        <v>0</v>
      </c>
      <c r="I14" s="229">
        <v>0</v>
      </c>
      <c r="J14" s="229">
        <f t="shared" si="13"/>
        <v>17962</v>
      </c>
      <c r="K14" s="229">
        <v>3401</v>
      </c>
      <c r="L14" s="229">
        <v>950</v>
      </c>
      <c r="M14" s="229">
        <v>867</v>
      </c>
      <c r="N14" s="229">
        <v>433</v>
      </c>
      <c r="O14" s="229">
        <v>9701</v>
      </c>
      <c r="P14" s="229">
        <v>2610</v>
      </c>
      <c r="Q14" s="229">
        <f t="shared" si="16"/>
        <v>0</v>
      </c>
      <c r="R14" s="229">
        <v>0</v>
      </c>
      <c r="S14" s="229">
        <v>0</v>
      </c>
      <c r="T14" s="229">
        <f t="shared" si="14"/>
        <v>0</v>
      </c>
      <c r="U14" s="229">
        <v>0</v>
      </c>
      <c r="V14" s="229">
        <v>0</v>
      </c>
      <c r="W14" s="229">
        <v>0</v>
      </c>
      <c r="X14" s="229">
        <v>0</v>
      </c>
      <c r="Y14" s="229">
        <v>0</v>
      </c>
      <c r="Z14" s="229">
        <v>0</v>
      </c>
      <c r="AA14" s="215"/>
      <c r="AB14" s="215"/>
      <c r="AE14" s="215"/>
      <c r="AF14" s="215"/>
    </row>
    <row r="15" spans="1:32" ht="14.25" customHeight="1" x14ac:dyDescent="0.2">
      <c r="A15" s="268">
        <v>5</v>
      </c>
      <c r="B15" s="269" t="s">
        <v>27</v>
      </c>
      <c r="C15" s="270" t="s">
        <v>28</v>
      </c>
      <c r="D15" s="229">
        <f t="shared" si="15"/>
        <v>15422</v>
      </c>
      <c r="E15" s="229">
        <f t="shared" si="12"/>
        <v>0</v>
      </c>
      <c r="F15" s="229">
        <v>0</v>
      </c>
      <c r="G15" s="229">
        <v>0</v>
      </c>
      <c r="H15" s="229">
        <v>0</v>
      </c>
      <c r="I15" s="229">
        <v>0</v>
      </c>
      <c r="J15" s="229">
        <f t="shared" si="13"/>
        <v>15422</v>
      </c>
      <c r="K15" s="229">
        <v>1870</v>
      </c>
      <c r="L15" s="229">
        <v>890</v>
      </c>
      <c r="M15" s="229">
        <v>1786</v>
      </c>
      <c r="N15" s="229">
        <v>1245</v>
      </c>
      <c r="O15" s="229">
        <v>7274</v>
      </c>
      <c r="P15" s="229">
        <v>2357</v>
      </c>
      <c r="Q15" s="229">
        <f t="shared" si="16"/>
        <v>0</v>
      </c>
      <c r="R15" s="229">
        <v>0</v>
      </c>
      <c r="S15" s="229">
        <v>0</v>
      </c>
      <c r="T15" s="229">
        <f t="shared" si="14"/>
        <v>0</v>
      </c>
      <c r="U15" s="229">
        <v>0</v>
      </c>
      <c r="V15" s="229">
        <v>0</v>
      </c>
      <c r="W15" s="229">
        <v>0</v>
      </c>
      <c r="X15" s="229">
        <v>0</v>
      </c>
      <c r="Y15" s="229">
        <v>0</v>
      </c>
      <c r="Z15" s="229">
        <v>0</v>
      </c>
      <c r="AA15" s="215"/>
      <c r="AB15" s="215"/>
      <c r="AE15" s="215"/>
      <c r="AF15" s="215"/>
    </row>
    <row r="16" spans="1:32" ht="12.75" x14ac:dyDescent="0.2">
      <c r="A16" s="268">
        <v>6</v>
      </c>
      <c r="B16" s="272" t="s">
        <v>4</v>
      </c>
      <c r="C16" s="273" t="s">
        <v>29</v>
      </c>
      <c r="D16" s="229">
        <f t="shared" si="15"/>
        <v>116421</v>
      </c>
      <c r="E16" s="229">
        <f t="shared" si="12"/>
        <v>0</v>
      </c>
      <c r="F16" s="229">
        <v>0</v>
      </c>
      <c r="G16" s="229">
        <v>0</v>
      </c>
      <c r="H16" s="229">
        <v>0</v>
      </c>
      <c r="I16" s="229">
        <v>0</v>
      </c>
      <c r="J16" s="229">
        <f t="shared" si="13"/>
        <v>114957</v>
      </c>
      <c r="K16" s="229">
        <v>17911</v>
      </c>
      <c r="L16" s="229">
        <v>5716</v>
      </c>
      <c r="M16" s="229">
        <v>3501</v>
      </c>
      <c r="N16" s="229">
        <v>3672</v>
      </c>
      <c r="O16" s="229">
        <v>48454</v>
      </c>
      <c r="P16" s="229">
        <v>35703</v>
      </c>
      <c r="Q16" s="229">
        <f t="shared" si="16"/>
        <v>1464</v>
      </c>
      <c r="R16" s="229">
        <v>1025</v>
      </c>
      <c r="S16" s="229">
        <v>439</v>
      </c>
      <c r="T16" s="229">
        <f t="shared" si="14"/>
        <v>0</v>
      </c>
      <c r="U16" s="229">
        <v>0</v>
      </c>
      <c r="V16" s="229">
        <v>0</v>
      </c>
      <c r="W16" s="229">
        <v>0</v>
      </c>
      <c r="X16" s="229">
        <v>0</v>
      </c>
      <c r="Y16" s="229">
        <v>0</v>
      </c>
      <c r="Z16" s="229">
        <v>0</v>
      </c>
      <c r="AA16" s="215"/>
      <c r="AB16" s="215"/>
      <c r="AE16" s="215"/>
      <c r="AF16" s="215"/>
    </row>
    <row r="17" spans="1:32" ht="12.75" x14ac:dyDescent="0.2">
      <c r="A17" s="268">
        <v>7</v>
      </c>
      <c r="B17" s="274" t="s">
        <v>30</v>
      </c>
      <c r="C17" s="275" t="s">
        <v>449</v>
      </c>
      <c r="D17" s="229">
        <f t="shared" si="15"/>
        <v>48899</v>
      </c>
      <c r="E17" s="229">
        <f t="shared" si="12"/>
        <v>0</v>
      </c>
      <c r="F17" s="229">
        <v>0</v>
      </c>
      <c r="G17" s="229">
        <v>0</v>
      </c>
      <c r="H17" s="229">
        <v>0</v>
      </c>
      <c r="I17" s="229">
        <v>0</v>
      </c>
      <c r="J17" s="229">
        <f t="shared" si="13"/>
        <v>45740</v>
      </c>
      <c r="K17" s="229">
        <v>2632</v>
      </c>
      <c r="L17" s="229">
        <v>985</v>
      </c>
      <c r="M17" s="229">
        <v>3334</v>
      </c>
      <c r="N17" s="229">
        <v>584</v>
      </c>
      <c r="O17" s="229">
        <v>24549</v>
      </c>
      <c r="P17" s="229">
        <v>13656</v>
      </c>
      <c r="Q17" s="229">
        <f t="shared" si="16"/>
        <v>1327</v>
      </c>
      <c r="R17" s="229">
        <v>888</v>
      </c>
      <c r="S17" s="229">
        <v>439</v>
      </c>
      <c r="T17" s="229">
        <f t="shared" si="14"/>
        <v>1832</v>
      </c>
      <c r="U17" s="229">
        <v>1832</v>
      </c>
      <c r="V17" s="229">
        <v>1681</v>
      </c>
      <c r="W17" s="229">
        <v>0</v>
      </c>
      <c r="X17" s="229">
        <v>0</v>
      </c>
      <c r="Y17" s="229">
        <v>0</v>
      </c>
      <c r="Z17" s="229">
        <v>0</v>
      </c>
      <c r="AA17" s="215"/>
      <c r="AB17" s="215"/>
      <c r="AE17" s="215"/>
      <c r="AF17" s="215"/>
    </row>
    <row r="18" spans="1:32" ht="12.75" x14ac:dyDescent="0.2">
      <c r="A18" s="268">
        <v>8</v>
      </c>
      <c r="B18" s="272" t="s">
        <v>31</v>
      </c>
      <c r="C18" s="273" t="s">
        <v>32</v>
      </c>
      <c r="D18" s="229">
        <f t="shared" si="15"/>
        <v>14574</v>
      </c>
      <c r="E18" s="229">
        <f t="shared" si="12"/>
        <v>0</v>
      </c>
      <c r="F18" s="229">
        <v>0</v>
      </c>
      <c r="G18" s="229">
        <v>0</v>
      </c>
      <c r="H18" s="229">
        <v>0</v>
      </c>
      <c r="I18" s="229">
        <v>0</v>
      </c>
      <c r="J18" s="229">
        <f t="shared" si="13"/>
        <v>14574</v>
      </c>
      <c r="K18" s="229">
        <v>1820</v>
      </c>
      <c r="L18" s="229">
        <v>310</v>
      </c>
      <c r="M18" s="229">
        <v>2736</v>
      </c>
      <c r="N18" s="229">
        <v>2055</v>
      </c>
      <c r="O18" s="229">
        <v>3811</v>
      </c>
      <c r="P18" s="229">
        <v>3842</v>
      </c>
      <c r="Q18" s="229">
        <f t="shared" si="16"/>
        <v>0</v>
      </c>
      <c r="R18" s="229">
        <v>0</v>
      </c>
      <c r="S18" s="229">
        <v>0</v>
      </c>
      <c r="T18" s="229">
        <f t="shared" si="14"/>
        <v>0</v>
      </c>
      <c r="U18" s="229">
        <v>0</v>
      </c>
      <c r="V18" s="229">
        <v>0</v>
      </c>
      <c r="W18" s="229">
        <v>0</v>
      </c>
      <c r="X18" s="229">
        <v>0</v>
      </c>
      <c r="Y18" s="229">
        <v>0</v>
      </c>
      <c r="Z18" s="229">
        <v>0</v>
      </c>
      <c r="AA18" s="215"/>
      <c r="AB18" s="215"/>
      <c r="AE18" s="215"/>
      <c r="AF18" s="215"/>
    </row>
    <row r="19" spans="1:32" ht="12.75" x14ac:dyDescent="0.2">
      <c r="A19" s="268">
        <v>9</v>
      </c>
      <c r="B19" s="272" t="s">
        <v>33</v>
      </c>
      <c r="C19" s="273" t="s">
        <v>34</v>
      </c>
      <c r="D19" s="229">
        <f t="shared" si="15"/>
        <v>23372</v>
      </c>
      <c r="E19" s="229">
        <f t="shared" si="12"/>
        <v>0</v>
      </c>
      <c r="F19" s="229">
        <v>0</v>
      </c>
      <c r="G19" s="229">
        <v>0</v>
      </c>
      <c r="H19" s="229">
        <v>0</v>
      </c>
      <c r="I19" s="229">
        <v>0</v>
      </c>
      <c r="J19" s="229">
        <f t="shared" si="13"/>
        <v>22108</v>
      </c>
      <c r="K19" s="229">
        <v>3560</v>
      </c>
      <c r="L19" s="229">
        <v>1233</v>
      </c>
      <c r="M19" s="229">
        <v>1060</v>
      </c>
      <c r="N19" s="229">
        <v>307</v>
      </c>
      <c r="O19" s="229">
        <v>9845</v>
      </c>
      <c r="P19" s="229">
        <v>6103</v>
      </c>
      <c r="Q19" s="229">
        <f t="shared" si="16"/>
        <v>1264</v>
      </c>
      <c r="R19" s="229">
        <v>825</v>
      </c>
      <c r="S19" s="229">
        <v>439</v>
      </c>
      <c r="T19" s="229">
        <f t="shared" si="14"/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15"/>
      <c r="AB19" s="215"/>
      <c r="AE19" s="215"/>
      <c r="AF19" s="215"/>
    </row>
    <row r="20" spans="1:32" ht="12.75" x14ac:dyDescent="0.2">
      <c r="A20" s="268">
        <v>10</v>
      </c>
      <c r="B20" s="272" t="s">
        <v>35</v>
      </c>
      <c r="C20" s="273" t="s">
        <v>36</v>
      </c>
      <c r="D20" s="229">
        <f t="shared" si="15"/>
        <v>20240</v>
      </c>
      <c r="E20" s="229">
        <f t="shared" si="12"/>
        <v>0</v>
      </c>
      <c r="F20" s="229">
        <v>0</v>
      </c>
      <c r="G20" s="229">
        <v>0</v>
      </c>
      <c r="H20" s="229">
        <v>0</v>
      </c>
      <c r="I20" s="229">
        <v>0</v>
      </c>
      <c r="J20" s="229">
        <f t="shared" si="13"/>
        <v>20240</v>
      </c>
      <c r="K20" s="229">
        <v>6249</v>
      </c>
      <c r="L20" s="229">
        <v>0</v>
      </c>
      <c r="M20" s="229">
        <v>1320</v>
      </c>
      <c r="N20" s="229">
        <v>955</v>
      </c>
      <c r="O20" s="229">
        <v>10312</v>
      </c>
      <c r="P20" s="229">
        <v>1404</v>
      </c>
      <c r="Q20" s="229">
        <f t="shared" si="16"/>
        <v>0</v>
      </c>
      <c r="R20" s="229">
        <v>0</v>
      </c>
      <c r="S20" s="229">
        <v>0</v>
      </c>
      <c r="T20" s="229">
        <f t="shared" si="14"/>
        <v>0</v>
      </c>
      <c r="U20" s="229">
        <v>0</v>
      </c>
      <c r="V20" s="229">
        <v>0</v>
      </c>
      <c r="W20" s="229">
        <v>0</v>
      </c>
      <c r="X20" s="229">
        <v>0</v>
      </c>
      <c r="Y20" s="229">
        <v>0</v>
      </c>
      <c r="Z20" s="229">
        <v>0</v>
      </c>
      <c r="AA20" s="215"/>
      <c r="AB20" s="215"/>
      <c r="AE20" s="215"/>
      <c r="AF20" s="215"/>
    </row>
    <row r="21" spans="1:32" ht="12.75" x14ac:dyDescent="0.2">
      <c r="A21" s="268">
        <v>11</v>
      </c>
      <c r="B21" s="272" t="s">
        <v>37</v>
      </c>
      <c r="C21" s="273" t="s">
        <v>38</v>
      </c>
      <c r="D21" s="229">
        <f t="shared" si="15"/>
        <v>13332</v>
      </c>
      <c r="E21" s="229">
        <f t="shared" si="12"/>
        <v>0</v>
      </c>
      <c r="F21" s="229">
        <v>0</v>
      </c>
      <c r="G21" s="229">
        <v>0</v>
      </c>
      <c r="H21" s="229">
        <v>0</v>
      </c>
      <c r="I21" s="229">
        <v>0</v>
      </c>
      <c r="J21" s="229">
        <f t="shared" si="13"/>
        <v>13332</v>
      </c>
      <c r="K21" s="229">
        <v>1124</v>
      </c>
      <c r="L21" s="229">
        <v>424</v>
      </c>
      <c r="M21" s="229">
        <v>1807</v>
      </c>
      <c r="N21" s="229">
        <v>68</v>
      </c>
      <c r="O21" s="229">
        <v>5865</v>
      </c>
      <c r="P21" s="229">
        <v>4044</v>
      </c>
      <c r="Q21" s="229">
        <f t="shared" si="16"/>
        <v>0</v>
      </c>
      <c r="R21" s="229">
        <v>0</v>
      </c>
      <c r="S21" s="229">
        <v>0</v>
      </c>
      <c r="T21" s="229">
        <f t="shared" si="14"/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15"/>
      <c r="AB21" s="215"/>
      <c r="AE21" s="215"/>
      <c r="AF21" s="215"/>
    </row>
    <row r="22" spans="1:32" ht="12.75" x14ac:dyDescent="0.2">
      <c r="A22" s="268">
        <v>12</v>
      </c>
      <c r="B22" s="272" t="s">
        <v>39</v>
      </c>
      <c r="C22" s="273" t="s">
        <v>40</v>
      </c>
      <c r="D22" s="229">
        <f t="shared" si="15"/>
        <v>27620</v>
      </c>
      <c r="E22" s="229">
        <f t="shared" si="12"/>
        <v>0</v>
      </c>
      <c r="F22" s="229">
        <v>0</v>
      </c>
      <c r="G22" s="229">
        <v>0</v>
      </c>
      <c r="H22" s="229">
        <v>0</v>
      </c>
      <c r="I22" s="229">
        <v>0</v>
      </c>
      <c r="J22" s="229">
        <f t="shared" si="13"/>
        <v>26156</v>
      </c>
      <c r="K22" s="229">
        <v>11080</v>
      </c>
      <c r="L22" s="229">
        <v>850</v>
      </c>
      <c r="M22" s="229">
        <v>450</v>
      </c>
      <c r="N22" s="229">
        <v>300</v>
      </c>
      <c r="O22" s="229">
        <v>11146</v>
      </c>
      <c r="P22" s="229">
        <v>2330</v>
      </c>
      <c r="Q22" s="229">
        <f t="shared" si="16"/>
        <v>1464</v>
      </c>
      <c r="R22" s="229">
        <v>1025</v>
      </c>
      <c r="S22" s="229">
        <v>439</v>
      </c>
      <c r="T22" s="229">
        <f t="shared" si="14"/>
        <v>0</v>
      </c>
      <c r="U22" s="229">
        <v>0</v>
      </c>
      <c r="V22" s="229">
        <v>0</v>
      </c>
      <c r="W22" s="229">
        <v>0</v>
      </c>
      <c r="X22" s="229">
        <v>0</v>
      </c>
      <c r="Y22" s="229">
        <v>0</v>
      </c>
      <c r="Z22" s="229">
        <v>0</v>
      </c>
      <c r="AA22" s="215"/>
      <c r="AB22" s="215"/>
      <c r="AE22" s="215"/>
      <c r="AF22" s="215"/>
    </row>
    <row r="23" spans="1:32" x14ac:dyDescent="0.2">
      <c r="A23" s="268">
        <v>13</v>
      </c>
      <c r="B23" s="237" t="s">
        <v>307</v>
      </c>
      <c r="C23" s="238" t="s">
        <v>450</v>
      </c>
      <c r="D23" s="229">
        <f t="shared" si="15"/>
        <v>0</v>
      </c>
      <c r="E23" s="229">
        <f t="shared" si="12"/>
        <v>0</v>
      </c>
      <c r="F23" s="229">
        <v>0</v>
      </c>
      <c r="G23" s="229">
        <v>0</v>
      </c>
      <c r="H23" s="229">
        <v>0</v>
      </c>
      <c r="I23" s="229">
        <v>0</v>
      </c>
      <c r="J23" s="229">
        <f t="shared" si="13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229">
        <v>0</v>
      </c>
      <c r="Q23" s="229">
        <f t="shared" si="16"/>
        <v>0</v>
      </c>
      <c r="R23" s="229">
        <v>0</v>
      </c>
      <c r="S23" s="229">
        <v>0</v>
      </c>
      <c r="T23" s="229">
        <f t="shared" si="14"/>
        <v>0</v>
      </c>
      <c r="U23" s="229">
        <v>0</v>
      </c>
      <c r="V23" s="229">
        <v>0</v>
      </c>
      <c r="W23" s="229">
        <v>0</v>
      </c>
      <c r="X23" s="229">
        <v>0</v>
      </c>
      <c r="Y23" s="229">
        <v>0</v>
      </c>
      <c r="Z23" s="229">
        <v>0</v>
      </c>
      <c r="AA23" s="215"/>
      <c r="AB23" s="215"/>
      <c r="AE23" s="215"/>
      <c r="AF23" s="215"/>
    </row>
    <row r="24" spans="1:32" x14ac:dyDescent="0.2">
      <c r="A24" s="268">
        <v>14</v>
      </c>
      <c r="B24" s="237" t="s">
        <v>309</v>
      </c>
      <c r="C24" s="234" t="s">
        <v>451</v>
      </c>
      <c r="D24" s="229">
        <f t="shared" si="15"/>
        <v>0</v>
      </c>
      <c r="E24" s="229">
        <f t="shared" si="12"/>
        <v>0</v>
      </c>
      <c r="F24" s="229">
        <v>0</v>
      </c>
      <c r="G24" s="229">
        <v>0</v>
      </c>
      <c r="H24" s="229">
        <v>0</v>
      </c>
      <c r="I24" s="229">
        <v>0</v>
      </c>
      <c r="J24" s="229">
        <f t="shared" si="13"/>
        <v>0</v>
      </c>
      <c r="K24" s="229">
        <v>0</v>
      </c>
      <c r="L24" s="229">
        <v>0</v>
      </c>
      <c r="M24" s="229">
        <v>0</v>
      </c>
      <c r="N24" s="229">
        <v>0</v>
      </c>
      <c r="O24" s="229">
        <v>0</v>
      </c>
      <c r="P24" s="229">
        <v>0</v>
      </c>
      <c r="Q24" s="229">
        <f t="shared" si="16"/>
        <v>0</v>
      </c>
      <c r="R24" s="229">
        <v>0</v>
      </c>
      <c r="S24" s="229">
        <v>0</v>
      </c>
      <c r="T24" s="229">
        <f t="shared" si="14"/>
        <v>0</v>
      </c>
      <c r="U24" s="229">
        <v>0</v>
      </c>
      <c r="V24" s="229">
        <v>0</v>
      </c>
      <c r="W24" s="229">
        <v>0</v>
      </c>
      <c r="X24" s="229">
        <v>0</v>
      </c>
      <c r="Y24" s="229">
        <v>0</v>
      </c>
      <c r="Z24" s="229">
        <v>0</v>
      </c>
      <c r="AA24" s="215"/>
      <c r="AB24" s="215"/>
      <c r="AE24" s="215"/>
      <c r="AF24" s="215"/>
    </row>
    <row r="25" spans="1:32" ht="12.75" x14ac:dyDescent="0.2">
      <c r="A25" s="268">
        <v>15</v>
      </c>
      <c r="B25" s="272" t="s">
        <v>41</v>
      </c>
      <c r="C25" s="273" t="s">
        <v>42</v>
      </c>
      <c r="D25" s="229">
        <f t="shared" si="15"/>
        <v>14054</v>
      </c>
      <c r="E25" s="229">
        <f t="shared" si="12"/>
        <v>0</v>
      </c>
      <c r="F25" s="229">
        <v>0</v>
      </c>
      <c r="G25" s="229">
        <v>0</v>
      </c>
      <c r="H25" s="229">
        <v>0</v>
      </c>
      <c r="I25" s="229">
        <v>0</v>
      </c>
      <c r="J25" s="229">
        <f t="shared" si="13"/>
        <v>14054</v>
      </c>
      <c r="K25" s="229">
        <v>1334</v>
      </c>
      <c r="L25" s="229">
        <v>1792</v>
      </c>
      <c r="M25" s="229">
        <v>0</v>
      </c>
      <c r="N25" s="229">
        <v>0</v>
      </c>
      <c r="O25" s="229">
        <v>4029</v>
      </c>
      <c r="P25" s="229">
        <v>6899</v>
      </c>
      <c r="Q25" s="229">
        <f t="shared" si="16"/>
        <v>0</v>
      </c>
      <c r="R25" s="229">
        <v>0</v>
      </c>
      <c r="S25" s="229">
        <v>0</v>
      </c>
      <c r="T25" s="229">
        <f t="shared" si="14"/>
        <v>0</v>
      </c>
      <c r="U25" s="229">
        <v>0</v>
      </c>
      <c r="V25" s="229">
        <v>0</v>
      </c>
      <c r="W25" s="229">
        <v>0</v>
      </c>
      <c r="X25" s="229">
        <v>0</v>
      </c>
      <c r="Y25" s="229">
        <v>0</v>
      </c>
      <c r="Z25" s="229">
        <v>0</v>
      </c>
      <c r="AA25" s="215"/>
      <c r="AB25" s="215"/>
      <c r="AE25" s="215"/>
      <c r="AF25" s="215"/>
    </row>
    <row r="26" spans="1:32" ht="12.75" x14ac:dyDescent="0.2">
      <c r="A26" s="268">
        <v>16</v>
      </c>
      <c r="B26" s="272" t="s">
        <v>43</v>
      </c>
      <c r="C26" s="273" t="s">
        <v>44</v>
      </c>
      <c r="D26" s="229">
        <f t="shared" si="15"/>
        <v>21412</v>
      </c>
      <c r="E26" s="229">
        <f t="shared" si="12"/>
        <v>0</v>
      </c>
      <c r="F26" s="229">
        <v>0</v>
      </c>
      <c r="G26" s="229">
        <v>0</v>
      </c>
      <c r="H26" s="229">
        <v>0</v>
      </c>
      <c r="I26" s="229">
        <v>0</v>
      </c>
      <c r="J26" s="229">
        <f t="shared" si="13"/>
        <v>20067</v>
      </c>
      <c r="K26" s="229">
        <v>1848</v>
      </c>
      <c r="L26" s="229">
        <v>110</v>
      </c>
      <c r="M26" s="229">
        <v>4706</v>
      </c>
      <c r="N26" s="229">
        <v>386</v>
      </c>
      <c r="O26" s="229">
        <v>5303</v>
      </c>
      <c r="P26" s="229">
        <v>7714</v>
      </c>
      <c r="Q26" s="229">
        <f t="shared" si="16"/>
        <v>1345</v>
      </c>
      <c r="R26" s="229">
        <v>906</v>
      </c>
      <c r="S26" s="229">
        <v>439</v>
      </c>
      <c r="T26" s="229">
        <f t="shared" si="14"/>
        <v>0</v>
      </c>
      <c r="U26" s="229">
        <v>0</v>
      </c>
      <c r="V26" s="229">
        <v>0</v>
      </c>
      <c r="W26" s="229">
        <v>0</v>
      </c>
      <c r="X26" s="229">
        <v>0</v>
      </c>
      <c r="Y26" s="229">
        <v>0</v>
      </c>
      <c r="Z26" s="229">
        <v>0</v>
      </c>
      <c r="AA26" s="215"/>
      <c r="AB26" s="215"/>
      <c r="AE26" s="215"/>
      <c r="AF26" s="215"/>
    </row>
    <row r="27" spans="1:32" ht="12.75" x14ac:dyDescent="0.2">
      <c r="A27" s="268">
        <v>17</v>
      </c>
      <c r="B27" s="272" t="s">
        <v>45</v>
      </c>
      <c r="C27" s="273" t="s">
        <v>452</v>
      </c>
      <c r="D27" s="229">
        <f t="shared" si="15"/>
        <v>41092</v>
      </c>
      <c r="E27" s="229">
        <f t="shared" si="12"/>
        <v>0</v>
      </c>
      <c r="F27" s="229">
        <v>0</v>
      </c>
      <c r="G27" s="229">
        <v>0</v>
      </c>
      <c r="H27" s="229">
        <v>0</v>
      </c>
      <c r="I27" s="229">
        <v>0</v>
      </c>
      <c r="J27" s="229">
        <f t="shared" si="13"/>
        <v>41092</v>
      </c>
      <c r="K27" s="229">
        <v>5604</v>
      </c>
      <c r="L27" s="229">
        <v>350</v>
      </c>
      <c r="M27" s="229">
        <v>1897</v>
      </c>
      <c r="N27" s="229">
        <v>513</v>
      </c>
      <c r="O27" s="229">
        <v>14218</v>
      </c>
      <c r="P27" s="229">
        <v>18510</v>
      </c>
      <c r="Q27" s="229">
        <f t="shared" si="16"/>
        <v>0</v>
      </c>
      <c r="R27" s="229">
        <v>0</v>
      </c>
      <c r="S27" s="229">
        <v>0</v>
      </c>
      <c r="T27" s="229">
        <f t="shared" si="14"/>
        <v>0</v>
      </c>
      <c r="U27" s="229">
        <v>0</v>
      </c>
      <c r="V27" s="229">
        <v>0</v>
      </c>
      <c r="W27" s="229">
        <v>0</v>
      </c>
      <c r="X27" s="229">
        <v>0</v>
      </c>
      <c r="Y27" s="229">
        <v>0</v>
      </c>
      <c r="Z27" s="229">
        <v>0</v>
      </c>
      <c r="AA27" s="215"/>
      <c r="AB27" s="215"/>
      <c r="AE27" s="215"/>
      <c r="AF27" s="215"/>
    </row>
    <row r="28" spans="1:32" ht="12.75" x14ac:dyDescent="0.2">
      <c r="A28" s="268">
        <v>18</v>
      </c>
      <c r="B28" s="272" t="s">
        <v>46</v>
      </c>
      <c r="C28" s="273" t="s">
        <v>47</v>
      </c>
      <c r="D28" s="229">
        <f t="shared" si="15"/>
        <v>56140</v>
      </c>
      <c r="E28" s="229">
        <f t="shared" si="12"/>
        <v>0</v>
      </c>
      <c r="F28" s="229">
        <v>0</v>
      </c>
      <c r="G28" s="229">
        <v>0</v>
      </c>
      <c r="H28" s="229">
        <v>0</v>
      </c>
      <c r="I28" s="229">
        <v>0</v>
      </c>
      <c r="J28" s="229">
        <f t="shared" si="13"/>
        <v>54676</v>
      </c>
      <c r="K28" s="229">
        <v>20090</v>
      </c>
      <c r="L28" s="229">
        <v>6040</v>
      </c>
      <c r="M28" s="229">
        <v>2995</v>
      </c>
      <c r="N28" s="229">
        <v>749</v>
      </c>
      <c r="O28" s="229">
        <v>11402</v>
      </c>
      <c r="P28" s="229">
        <v>13400</v>
      </c>
      <c r="Q28" s="229">
        <f t="shared" si="16"/>
        <v>1464</v>
      </c>
      <c r="R28" s="229">
        <v>1025</v>
      </c>
      <c r="S28" s="229">
        <v>439</v>
      </c>
      <c r="T28" s="229">
        <f t="shared" si="14"/>
        <v>0</v>
      </c>
      <c r="U28" s="229">
        <v>0</v>
      </c>
      <c r="V28" s="229">
        <v>0</v>
      </c>
      <c r="W28" s="229">
        <v>0</v>
      </c>
      <c r="X28" s="229">
        <v>0</v>
      </c>
      <c r="Y28" s="229">
        <v>0</v>
      </c>
      <c r="Z28" s="229">
        <v>0</v>
      </c>
      <c r="AA28" s="215"/>
      <c r="AB28" s="215"/>
      <c r="AE28" s="215"/>
      <c r="AF28" s="215"/>
    </row>
    <row r="29" spans="1:32" ht="12.75" x14ac:dyDescent="0.2">
      <c r="A29" s="268">
        <v>19</v>
      </c>
      <c r="B29" s="269" t="s">
        <v>48</v>
      </c>
      <c r="C29" s="270" t="s">
        <v>49</v>
      </c>
      <c r="D29" s="229">
        <f t="shared" si="15"/>
        <v>9628</v>
      </c>
      <c r="E29" s="229">
        <f t="shared" si="12"/>
        <v>0</v>
      </c>
      <c r="F29" s="229">
        <v>0</v>
      </c>
      <c r="G29" s="229">
        <v>0</v>
      </c>
      <c r="H29" s="229">
        <v>0</v>
      </c>
      <c r="I29" s="229">
        <v>0</v>
      </c>
      <c r="J29" s="229">
        <f t="shared" si="13"/>
        <v>9628</v>
      </c>
      <c r="K29" s="229">
        <v>2115</v>
      </c>
      <c r="L29" s="229">
        <v>150</v>
      </c>
      <c r="M29" s="229">
        <v>131</v>
      </c>
      <c r="N29" s="229">
        <v>35</v>
      </c>
      <c r="O29" s="229">
        <v>3072</v>
      </c>
      <c r="P29" s="229">
        <v>4125</v>
      </c>
      <c r="Q29" s="229">
        <f t="shared" si="16"/>
        <v>0</v>
      </c>
      <c r="R29" s="229">
        <v>0</v>
      </c>
      <c r="S29" s="229">
        <v>0</v>
      </c>
      <c r="T29" s="229">
        <f t="shared" si="14"/>
        <v>0</v>
      </c>
      <c r="U29" s="229">
        <v>0</v>
      </c>
      <c r="V29" s="229">
        <v>0</v>
      </c>
      <c r="W29" s="229">
        <v>0</v>
      </c>
      <c r="X29" s="229">
        <v>0</v>
      </c>
      <c r="Y29" s="229">
        <v>0</v>
      </c>
      <c r="Z29" s="229">
        <v>0</v>
      </c>
      <c r="AA29" s="215"/>
      <c r="AB29" s="215"/>
      <c r="AE29" s="215"/>
      <c r="AF29" s="215"/>
    </row>
    <row r="30" spans="1:32" ht="12.75" x14ac:dyDescent="0.2">
      <c r="A30" s="268">
        <v>20</v>
      </c>
      <c r="B30" s="269" t="s">
        <v>50</v>
      </c>
      <c r="C30" s="270" t="s">
        <v>453</v>
      </c>
      <c r="D30" s="229">
        <f t="shared" si="15"/>
        <v>7040</v>
      </c>
      <c r="E30" s="229">
        <f t="shared" si="12"/>
        <v>0</v>
      </c>
      <c r="F30" s="229">
        <v>0</v>
      </c>
      <c r="G30" s="229">
        <v>0</v>
      </c>
      <c r="H30" s="229">
        <v>0</v>
      </c>
      <c r="I30" s="229">
        <v>0</v>
      </c>
      <c r="J30" s="229">
        <f t="shared" si="13"/>
        <v>7040</v>
      </c>
      <c r="K30" s="229">
        <v>2606</v>
      </c>
      <c r="L30" s="229">
        <v>155</v>
      </c>
      <c r="M30" s="229">
        <v>0</v>
      </c>
      <c r="N30" s="229">
        <v>0</v>
      </c>
      <c r="O30" s="229">
        <v>3569</v>
      </c>
      <c r="P30" s="229">
        <v>710</v>
      </c>
      <c r="Q30" s="229">
        <f t="shared" si="16"/>
        <v>0</v>
      </c>
      <c r="R30" s="229">
        <v>0</v>
      </c>
      <c r="S30" s="229">
        <v>0</v>
      </c>
      <c r="T30" s="229">
        <f t="shared" si="14"/>
        <v>0</v>
      </c>
      <c r="U30" s="229">
        <v>0</v>
      </c>
      <c r="V30" s="229">
        <v>0</v>
      </c>
      <c r="W30" s="229">
        <v>0</v>
      </c>
      <c r="X30" s="229">
        <v>0</v>
      </c>
      <c r="Y30" s="229">
        <v>0</v>
      </c>
      <c r="Z30" s="229">
        <v>0</v>
      </c>
      <c r="AA30" s="215"/>
      <c r="AB30" s="215"/>
      <c r="AE30" s="215"/>
      <c r="AF30" s="215"/>
    </row>
    <row r="31" spans="1:32" ht="12.75" x14ac:dyDescent="0.2">
      <c r="A31" s="268">
        <v>21</v>
      </c>
      <c r="B31" s="269" t="s">
        <v>51</v>
      </c>
      <c r="C31" s="270" t="s">
        <v>52</v>
      </c>
      <c r="D31" s="229">
        <f t="shared" si="15"/>
        <v>52360</v>
      </c>
      <c r="E31" s="229">
        <f t="shared" si="12"/>
        <v>0</v>
      </c>
      <c r="F31" s="229">
        <v>0</v>
      </c>
      <c r="G31" s="229">
        <v>0</v>
      </c>
      <c r="H31" s="229">
        <v>0</v>
      </c>
      <c r="I31" s="229">
        <v>0</v>
      </c>
      <c r="J31" s="229">
        <f t="shared" si="13"/>
        <v>50896</v>
      </c>
      <c r="K31" s="229">
        <v>4615</v>
      </c>
      <c r="L31" s="229">
        <v>2560</v>
      </c>
      <c r="M31" s="229">
        <v>1337</v>
      </c>
      <c r="N31" s="229">
        <v>952</v>
      </c>
      <c r="O31" s="229">
        <v>31261</v>
      </c>
      <c r="P31" s="229">
        <v>10171</v>
      </c>
      <c r="Q31" s="229">
        <f t="shared" si="16"/>
        <v>1464</v>
      </c>
      <c r="R31" s="229">
        <v>1025</v>
      </c>
      <c r="S31" s="229">
        <v>439</v>
      </c>
      <c r="T31" s="229">
        <f t="shared" si="14"/>
        <v>0</v>
      </c>
      <c r="U31" s="229">
        <v>0</v>
      </c>
      <c r="V31" s="229">
        <v>0</v>
      </c>
      <c r="W31" s="229">
        <v>0</v>
      </c>
      <c r="X31" s="229">
        <v>0</v>
      </c>
      <c r="Y31" s="229">
        <v>0</v>
      </c>
      <c r="Z31" s="229">
        <v>0</v>
      </c>
      <c r="AA31" s="215"/>
      <c r="AB31" s="215"/>
      <c r="AE31" s="215"/>
      <c r="AF31" s="215"/>
    </row>
    <row r="32" spans="1:32" ht="12.75" x14ac:dyDescent="0.2">
      <c r="A32" s="268">
        <v>22</v>
      </c>
      <c r="B32" s="269" t="s">
        <v>53</v>
      </c>
      <c r="C32" s="270" t="s">
        <v>54</v>
      </c>
      <c r="D32" s="229">
        <f t="shared" si="15"/>
        <v>54396</v>
      </c>
      <c r="E32" s="229">
        <f t="shared" si="12"/>
        <v>0</v>
      </c>
      <c r="F32" s="229">
        <v>0</v>
      </c>
      <c r="G32" s="229">
        <v>0</v>
      </c>
      <c r="H32" s="229">
        <v>0</v>
      </c>
      <c r="I32" s="229">
        <v>0</v>
      </c>
      <c r="J32" s="229">
        <f t="shared" si="13"/>
        <v>52932</v>
      </c>
      <c r="K32" s="229">
        <v>6192</v>
      </c>
      <c r="L32" s="229">
        <v>1383</v>
      </c>
      <c r="M32" s="229">
        <v>2728</v>
      </c>
      <c r="N32" s="229">
        <v>1973</v>
      </c>
      <c r="O32" s="229">
        <v>26900</v>
      </c>
      <c r="P32" s="229">
        <v>13756</v>
      </c>
      <c r="Q32" s="229">
        <f t="shared" si="16"/>
        <v>1464</v>
      </c>
      <c r="R32" s="229">
        <v>1025</v>
      </c>
      <c r="S32" s="229">
        <v>439</v>
      </c>
      <c r="T32" s="229">
        <f t="shared" si="14"/>
        <v>0</v>
      </c>
      <c r="U32" s="229">
        <v>0</v>
      </c>
      <c r="V32" s="229">
        <v>0</v>
      </c>
      <c r="W32" s="229">
        <v>0</v>
      </c>
      <c r="X32" s="229">
        <v>0</v>
      </c>
      <c r="Y32" s="229">
        <v>0</v>
      </c>
      <c r="Z32" s="229">
        <v>0</v>
      </c>
      <c r="AA32" s="215"/>
      <c r="AB32" s="215"/>
      <c r="AE32" s="215"/>
      <c r="AF32" s="215"/>
    </row>
    <row r="33" spans="1:32" ht="13.5" customHeight="1" x14ac:dyDescent="0.2">
      <c r="A33" s="268">
        <v>23</v>
      </c>
      <c r="B33" s="272" t="s">
        <v>55</v>
      </c>
      <c r="C33" s="273" t="s">
        <v>56</v>
      </c>
      <c r="D33" s="229">
        <f t="shared" si="15"/>
        <v>15303</v>
      </c>
      <c r="E33" s="229">
        <f t="shared" si="12"/>
        <v>0</v>
      </c>
      <c r="F33" s="229">
        <v>0</v>
      </c>
      <c r="G33" s="229">
        <v>0</v>
      </c>
      <c r="H33" s="229">
        <v>0</v>
      </c>
      <c r="I33" s="229">
        <v>0</v>
      </c>
      <c r="J33" s="229">
        <f t="shared" si="13"/>
        <v>15303</v>
      </c>
      <c r="K33" s="229">
        <v>3297</v>
      </c>
      <c r="L33" s="229">
        <v>370</v>
      </c>
      <c r="M33" s="229">
        <v>2415</v>
      </c>
      <c r="N33" s="229">
        <v>1747</v>
      </c>
      <c r="O33" s="229">
        <v>5675</v>
      </c>
      <c r="P33" s="229">
        <v>1799</v>
      </c>
      <c r="Q33" s="229">
        <f t="shared" si="16"/>
        <v>0</v>
      </c>
      <c r="R33" s="229">
        <v>0</v>
      </c>
      <c r="S33" s="229">
        <v>0</v>
      </c>
      <c r="T33" s="229">
        <f t="shared" si="14"/>
        <v>0</v>
      </c>
      <c r="U33" s="229">
        <v>0</v>
      </c>
      <c r="V33" s="229">
        <v>0</v>
      </c>
      <c r="W33" s="229">
        <v>0</v>
      </c>
      <c r="X33" s="229">
        <v>0</v>
      </c>
      <c r="Y33" s="229">
        <v>0</v>
      </c>
      <c r="Z33" s="229">
        <v>0</v>
      </c>
      <c r="AA33" s="215"/>
      <c r="AB33" s="215"/>
      <c r="AE33" s="215"/>
      <c r="AF33" s="215"/>
    </row>
    <row r="34" spans="1:32" ht="13.5" customHeight="1" x14ac:dyDescent="0.2">
      <c r="A34" s="268">
        <v>24</v>
      </c>
      <c r="B34" s="248" t="s">
        <v>57</v>
      </c>
      <c r="C34" s="238" t="s">
        <v>58</v>
      </c>
      <c r="D34" s="229">
        <f t="shared" si="15"/>
        <v>0</v>
      </c>
      <c r="E34" s="229">
        <f t="shared" si="12"/>
        <v>0</v>
      </c>
      <c r="F34" s="229">
        <v>0</v>
      </c>
      <c r="G34" s="229">
        <v>0</v>
      </c>
      <c r="H34" s="229">
        <v>0</v>
      </c>
      <c r="I34" s="229">
        <v>0</v>
      </c>
      <c r="J34" s="229">
        <f t="shared" si="13"/>
        <v>0</v>
      </c>
      <c r="K34" s="229">
        <v>0</v>
      </c>
      <c r="L34" s="229">
        <v>0</v>
      </c>
      <c r="M34" s="229">
        <v>0</v>
      </c>
      <c r="N34" s="229">
        <v>0</v>
      </c>
      <c r="O34" s="229">
        <v>0</v>
      </c>
      <c r="P34" s="229">
        <v>0</v>
      </c>
      <c r="Q34" s="229">
        <f t="shared" si="16"/>
        <v>0</v>
      </c>
      <c r="R34" s="229">
        <v>0</v>
      </c>
      <c r="S34" s="229">
        <v>0</v>
      </c>
      <c r="T34" s="229">
        <f t="shared" si="14"/>
        <v>0</v>
      </c>
      <c r="U34" s="229">
        <v>0</v>
      </c>
      <c r="V34" s="229">
        <v>0</v>
      </c>
      <c r="W34" s="229">
        <v>0</v>
      </c>
      <c r="X34" s="229">
        <v>0</v>
      </c>
      <c r="Y34" s="229">
        <v>0</v>
      </c>
      <c r="Z34" s="229">
        <v>0</v>
      </c>
      <c r="AA34" s="215"/>
      <c r="AB34" s="215"/>
      <c r="AE34" s="215"/>
      <c r="AF34" s="215"/>
    </row>
    <row r="35" spans="1:32" ht="27.75" customHeight="1" x14ac:dyDescent="0.2">
      <c r="A35" s="268">
        <v>25</v>
      </c>
      <c r="B35" s="248" t="s">
        <v>454</v>
      </c>
      <c r="C35" s="238" t="s">
        <v>455</v>
      </c>
      <c r="D35" s="229">
        <f t="shared" si="15"/>
        <v>0</v>
      </c>
      <c r="E35" s="229">
        <f t="shared" si="12"/>
        <v>0</v>
      </c>
      <c r="F35" s="229">
        <v>0</v>
      </c>
      <c r="G35" s="229">
        <v>0</v>
      </c>
      <c r="H35" s="229">
        <v>0</v>
      </c>
      <c r="I35" s="229">
        <v>0</v>
      </c>
      <c r="J35" s="229">
        <f t="shared" si="13"/>
        <v>0</v>
      </c>
      <c r="K35" s="229">
        <v>0</v>
      </c>
      <c r="L35" s="229">
        <v>0</v>
      </c>
      <c r="M35" s="229">
        <v>0</v>
      </c>
      <c r="N35" s="229">
        <v>0</v>
      </c>
      <c r="O35" s="229">
        <v>0</v>
      </c>
      <c r="P35" s="229">
        <v>0</v>
      </c>
      <c r="Q35" s="229">
        <f t="shared" si="16"/>
        <v>0</v>
      </c>
      <c r="R35" s="229">
        <v>0</v>
      </c>
      <c r="S35" s="229">
        <v>0</v>
      </c>
      <c r="T35" s="229">
        <f t="shared" si="14"/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15"/>
      <c r="AB35" s="215"/>
      <c r="AE35" s="215"/>
      <c r="AF35" s="215"/>
    </row>
    <row r="36" spans="1:32" ht="12.75" x14ac:dyDescent="0.2">
      <c r="A36" s="268">
        <v>26</v>
      </c>
      <c r="B36" s="269" t="s">
        <v>6</v>
      </c>
      <c r="C36" s="275" t="s">
        <v>59</v>
      </c>
      <c r="D36" s="229">
        <f t="shared" si="15"/>
        <v>61128</v>
      </c>
      <c r="E36" s="229">
        <f t="shared" si="12"/>
        <v>0</v>
      </c>
      <c r="F36" s="229">
        <v>0</v>
      </c>
      <c r="G36" s="229">
        <v>0</v>
      </c>
      <c r="H36" s="229">
        <v>0</v>
      </c>
      <c r="I36" s="229">
        <v>0</v>
      </c>
      <c r="J36" s="229">
        <f t="shared" si="13"/>
        <v>57984</v>
      </c>
      <c r="K36" s="229">
        <v>22767</v>
      </c>
      <c r="L36" s="229">
        <v>0</v>
      </c>
      <c r="M36" s="229">
        <v>0</v>
      </c>
      <c r="N36" s="229">
        <v>0</v>
      </c>
      <c r="O36" s="229">
        <v>35217</v>
      </c>
      <c r="P36" s="229">
        <v>0</v>
      </c>
      <c r="Q36" s="229">
        <f t="shared" si="16"/>
        <v>1464</v>
      </c>
      <c r="R36" s="229">
        <v>1025</v>
      </c>
      <c r="S36" s="229">
        <v>439</v>
      </c>
      <c r="T36" s="229">
        <f t="shared" si="14"/>
        <v>1680</v>
      </c>
      <c r="U36" s="229">
        <v>1680</v>
      </c>
      <c r="V36" s="229">
        <v>0</v>
      </c>
      <c r="W36" s="229">
        <v>0</v>
      </c>
      <c r="X36" s="229">
        <v>0</v>
      </c>
      <c r="Y36" s="229">
        <v>0</v>
      </c>
      <c r="Z36" s="229">
        <v>0</v>
      </c>
      <c r="AA36" s="215"/>
      <c r="AB36" s="215"/>
      <c r="AE36" s="215"/>
      <c r="AF36" s="215"/>
    </row>
    <row r="37" spans="1:32" ht="12.75" x14ac:dyDescent="0.2">
      <c r="A37" s="268">
        <v>27</v>
      </c>
      <c r="B37" s="272" t="s">
        <v>5</v>
      </c>
      <c r="C37" s="273" t="s">
        <v>17</v>
      </c>
      <c r="D37" s="229">
        <f t="shared" si="15"/>
        <v>94612</v>
      </c>
      <c r="E37" s="229">
        <f t="shared" si="12"/>
        <v>0</v>
      </c>
      <c r="F37" s="229">
        <v>0</v>
      </c>
      <c r="G37" s="229">
        <v>0</v>
      </c>
      <c r="H37" s="229">
        <v>0</v>
      </c>
      <c r="I37" s="229">
        <v>0</v>
      </c>
      <c r="J37" s="229">
        <f t="shared" si="13"/>
        <v>91068</v>
      </c>
      <c r="K37" s="229">
        <v>20354</v>
      </c>
      <c r="L37" s="229">
        <v>2443</v>
      </c>
      <c r="M37" s="229">
        <v>541</v>
      </c>
      <c r="N37" s="229">
        <v>421</v>
      </c>
      <c r="O37" s="229">
        <v>44555</v>
      </c>
      <c r="P37" s="229">
        <v>22754</v>
      </c>
      <c r="Q37" s="229">
        <f t="shared" si="16"/>
        <v>2399</v>
      </c>
      <c r="R37" s="229">
        <v>1657</v>
      </c>
      <c r="S37" s="229">
        <v>742</v>
      </c>
      <c r="T37" s="229">
        <f t="shared" si="14"/>
        <v>1145</v>
      </c>
      <c r="U37" s="229">
        <v>1145</v>
      </c>
      <c r="V37" s="229">
        <v>0</v>
      </c>
      <c r="W37" s="229">
        <v>0</v>
      </c>
      <c r="X37" s="229">
        <v>0</v>
      </c>
      <c r="Y37" s="229">
        <v>0</v>
      </c>
      <c r="Z37" s="229">
        <v>0</v>
      </c>
      <c r="AA37" s="215"/>
      <c r="AB37" s="215"/>
      <c r="AE37" s="215"/>
      <c r="AF37" s="215"/>
    </row>
    <row r="38" spans="1:32" ht="12.75" x14ac:dyDescent="0.2">
      <c r="A38" s="268">
        <v>28</v>
      </c>
      <c r="B38" s="272" t="s">
        <v>60</v>
      </c>
      <c r="C38" s="273" t="s">
        <v>61</v>
      </c>
      <c r="D38" s="229">
        <f t="shared" si="15"/>
        <v>60332</v>
      </c>
      <c r="E38" s="229">
        <f t="shared" si="12"/>
        <v>0</v>
      </c>
      <c r="F38" s="229">
        <v>0</v>
      </c>
      <c r="G38" s="229">
        <v>0</v>
      </c>
      <c r="H38" s="229">
        <v>0</v>
      </c>
      <c r="I38" s="229">
        <v>0</v>
      </c>
      <c r="J38" s="229">
        <f t="shared" si="13"/>
        <v>57957</v>
      </c>
      <c r="K38" s="229">
        <v>0</v>
      </c>
      <c r="L38" s="229">
        <v>2300</v>
      </c>
      <c r="M38" s="229">
        <v>0</v>
      </c>
      <c r="N38" s="229">
        <v>200</v>
      </c>
      <c r="O38" s="229">
        <v>0</v>
      </c>
      <c r="P38" s="229">
        <v>55457</v>
      </c>
      <c r="Q38" s="229">
        <f t="shared" si="16"/>
        <v>0</v>
      </c>
      <c r="R38" s="229">
        <v>0</v>
      </c>
      <c r="S38" s="229">
        <v>0</v>
      </c>
      <c r="T38" s="229">
        <f t="shared" si="14"/>
        <v>2375</v>
      </c>
      <c r="U38" s="229">
        <v>1956</v>
      </c>
      <c r="V38" s="229">
        <v>0</v>
      </c>
      <c r="W38" s="229">
        <v>419</v>
      </c>
      <c r="X38" s="229">
        <v>0</v>
      </c>
      <c r="Y38" s="229">
        <v>0</v>
      </c>
      <c r="Z38" s="229">
        <v>0</v>
      </c>
      <c r="AA38" s="215"/>
      <c r="AB38" s="215"/>
      <c r="AE38" s="215"/>
      <c r="AF38" s="215"/>
    </row>
    <row r="39" spans="1:32" ht="12.75" x14ac:dyDescent="0.2">
      <c r="A39" s="268">
        <v>29</v>
      </c>
      <c r="B39" s="269" t="s">
        <v>315</v>
      </c>
      <c r="C39" s="270" t="s">
        <v>316</v>
      </c>
      <c r="D39" s="229">
        <f t="shared" si="15"/>
        <v>7586</v>
      </c>
      <c r="E39" s="229">
        <f t="shared" si="12"/>
        <v>7586</v>
      </c>
      <c r="F39" s="229">
        <v>4092</v>
      </c>
      <c r="G39" s="229">
        <v>3494</v>
      </c>
      <c r="H39" s="229">
        <v>0</v>
      </c>
      <c r="I39" s="229">
        <v>0</v>
      </c>
      <c r="J39" s="229">
        <f t="shared" si="13"/>
        <v>0</v>
      </c>
      <c r="K39" s="229">
        <v>0</v>
      </c>
      <c r="L39" s="229">
        <v>0</v>
      </c>
      <c r="M39" s="229">
        <v>0</v>
      </c>
      <c r="N39" s="229">
        <v>0</v>
      </c>
      <c r="O39" s="229">
        <v>0</v>
      </c>
      <c r="P39" s="229">
        <v>0</v>
      </c>
      <c r="Q39" s="229">
        <f t="shared" si="16"/>
        <v>0</v>
      </c>
      <c r="R39" s="229">
        <v>0</v>
      </c>
      <c r="S39" s="229">
        <v>0</v>
      </c>
      <c r="T39" s="229">
        <f t="shared" si="14"/>
        <v>0</v>
      </c>
      <c r="U39" s="229">
        <v>0</v>
      </c>
      <c r="V39" s="229">
        <v>0</v>
      </c>
      <c r="W39" s="229">
        <v>0</v>
      </c>
      <c r="X39" s="229">
        <v>0</v>
      </c>
      <c r="Y39" s="229">
        <v>0</v>
      </c>
      <c r="Z39" s="229">
        <v>0</v>
      </c>
      <c r="AA39" s="215"/>
      <c r="AB39" s="215"/>
      <c r="AE39" s="215"/>
      <c r="AF39" s="215"/>
    </row>
    <row r="40" spans="1:32" ht="12.75" x14ac:dyDescent="0.2">
      <c r="A40" s="268">
        <v>30</v>
      </c>
      <c r="B40" s="271" t="s">
        <v>317</v>
      </c>
      <c r="C40" s="275" t="s">
        <v>318</v>
      </c>
      <c r="D40" s="229">
        <f t="shared" si="15"/>
        <v>9694</v>
      </c>
      <c r="E40" s="229">
        <f t="shared" si="12"/>
        <v>9694</v>
      </c>
      <c r="F40" s="229">
        <v>0</v>
      </c>
      <c r="G40" s="229">
        <v>0</v>
      </c>
      <c r="H40" s="229">
        <v>1021</v>
      </c>
      <c r="I40" s="229">
        <v>8673</v>
      </c>
      <c r="J40" s="229">
        <f t="shared" si="13"/>
        <v>0</v>
      </c>
      <c r="K40" s="229">
        <v>0</v>
      </c>
      <c r="L40" s="229">
        <v>0</v>
      </c>
      <c r="M40" s="229">
        <v>0</v>
      </c>
      <c r="N40" s="229">
        <v>0</v>
      </c>
      <c r="O40" s="229">
        <v>0</v>
      </c>
      <c r="P40" s="229">
        <v>0</v>
      </c>
      <c r="Q40" s="229">
        <f t="shared" si="16"/>
        <v>0</v>
      </c>
      <c r="R40" s="229">
        <v>0</v>
      </c>
      <c r="S40" s="229">
        <v>0</v>
      </c>
      <c r="T40" s="229">
        <f t="shared" si="14"/>
        <v>0</v>
      </c>
      <c r="U40" s="229">
        <v>0</v>
      </c>
      <c r="V40" s="229">
        <v>0</v>
      </c>
      <c r="W40" s="229">
        <v>0</v>
      </c>
      <c r="X40" s="229">
        <v>0</v>
      </c>
      <c r="Y40" s="229">
        <v>0</v>
      </c>
      <c r="Z40" s="229">
        <v>0</v>
      </c>
      <c r="AA40" s="215"/>
      <c r="AB40" s="215"/>
      <c r="AE40" s="215"/>
      <c r="AF40" s="215"/>
    </row>
    <row r="41" spans="1:32" ht="24" x14ac:dyDescent="0.2">
      <c r="A41" s="268">
        <v>31</v>
      </c>
      <c r="B41" s="293" t="s">
        <v>456</v>
      </c>
      <c r="C41" s="234" t="s">
        <v>457</v>
      </c>
      <c r="D41" s="229">
        <f t="shared" si="15"/>
        <v>0</v>
      </c>
      <c r="E41" s="229">
        <f t="shared" si="12"/>
        <v>0</v>
      </c>
      <c r="F41" s="229">
        <v>0</v>
      </c>
      <c r="G41" s="229">
        <v>0</v>
      </c>
      <c r="H41" s="229">
        <v>0</v>
      </c>
      <c r="I41" s="229">
        <v>0</v>
      </c>
      <c r="J41" s="229">
        <f t="shared" si="13"/>
        <v>0</v>
      </c>
      <c r="K41" s="229">
        <v>0</v>
      </c>
      <c r="L41" s="229">
        <v>0</v>
      </c>
      <c r="M41" s="229">
        <v>0</v>
      </c>
      <c r="N41" s="229">
        <v>0</v>
      </c>
      <c r="O41" s="229">
        <v>0</v>
      </c>
      <c r="P41" s="229">
        <v>0</v>
      </c>
      <c r="Q41" s="229">
        <f t="shared" si="16"/>
        <v>0</v>
      </c>
      <c r="R41" s="229">
        <v>0</v>
      </c>
      <c r="S41" s="229">
        <v>0</v>
      </c>
      <c r="T41" s="229">
        <f t="shared" si="14"/>
        <v>0</v>
      </c>
      <c r="U41" s="229">
        <v>0</v>
      </c>
      <c r="V41" s="229">
        <v>0</v>
      </c>
      <c r="W41" s="229">
        <v>0</v>
      </c>
      <c r="X41" s="229">
        <v>0</v>
      </c>
      <c r="Y41" s="229">
        <v>0</v>
      </c>
      <c r="Z41" s="229">
        <v>0</v>
      </c>
      <c r="AA41" s="215"/>
      <c r="AB41" s="215"/>
      <c r="AE41" s="215"/>
      <c r="AF41" s="215"/>
    </row>
    <row r="42" spans="1:32" ht="25.5" x14ac:dyDescent="0.2">
      <c r="A42" s="268">
        <v>32</v>
      </c>
      <c r="B42" s="272" t="s">
        <v>62</v>
      </c>
      <c r="C42" s="273" t="s">
        <v>63</v>
      </c>
      <c r="D42" s="229">
        <f t="shared" si="15"/>
        <v>6055</v>
      </c>
      <c r="E42" s="229">
        <f t="shared" si="12"/>
        <v>0</v>
      </c>
      <c r="F42" s="229">
        <v>0</v>
      </c>
      <c r="G42" s="229">
        <v>0</v>
      </c>
      <c r="H42" s="229">
        <v>0</v>
      </c>
      <c r="I42" s="229">
        <v>0</v>
      </c>
      <c r="J42" s="229">
        <f t="shared" si="13"/>
        <v>6055</v>
      </c>
      <c r="K42" s="229">
        <v>458</v>
      </c>
      <c r="L42" s="229">
        <v>0</v>
      </c>
      <c r="M42" s="229">
        <v>35</v>
      </c>
      <c r="N42" s="229">
        <v>0</v>
      </c>
      <c r="O42" s="229">
        <v>5562</v>
      </c>
      <c r="P42" s="229">
        <v>0</v>
      </c>
      <c r="Q42" s="229">
        <f t="shared" si="16"/>
        <v>0</v>
      </c>
      <c r="R42" s="229">
        <v>0</v>
      </c>
      <c r="S42" s="229">
        <v>0</v>
      </c>
      <c r="T42" s="229">
        <f t="shared" si="14"/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15"/>
      <c r="AB42" s="215"/>
      <c r="AE42" s="215"/>
      <c r="AF42" s="215"/>
    </row>
    <row r="43" spans="1:32" ht="12.75" x14ac:dyDescent="0.2">
      <c r="A43" s="268">
        <v>33</v>
      </c>
      <c r="B43" s="271" t="s">
        <v>64</v>
      </c>
      <c r="C43" s="270" t="s">
        <v>65</v>
      </c>
      <c r="D43" s="229">
        <f t="shared" si="15"/>
        <v>64225</v>
      </c>
      <c r="E43" s="229">
        <f t="shared" si="12"/>
        <v>0</v>
      </c>
      <c r="F43" s="229">
        <v>0</v>
      </c>
      <c r="G43" s="229">
        <v>0</v>
      </c>
      <c r="H43" s="229">
        <v>0</v>
      </c>
      <c r="I43" s="229">
        <v>0</v>
      </c>
      <c r="J43" s="229">
        <f t="shared" si="13"/>
        <v>63053</v>
      </c>
      <c r="K43" s="229">
        <v>3082</v>
      </c>
      <c r="L43" s="229">
        <v>657</v>
      </c>
      <c r="M43" s="229">
        <v>824</v>
      </c>
      <c r="N43" s="229">
        <v>546</v>
      </c>
      <c r="O43" s="229">
        <v>45574</v>
      </c>
      <c r="P43" s="229">
        <v>12370</v>
      </c>
      <c r="Q43" s="229">
        <f t="shared" si="16"/>
        <v>1172</v>
      </c>
      <c r="R43" s="229">
        <v>808</v>
      </c>
      <c r="S43" s="229">
        <v>364</v>
      </c>
      <c r="T43" s="229">
        <f t="shared" si="14"/>
        <v>0</v>
      </c>
      <c r="U43" s="229">
        <v>0</v>
      </c>
      <c r="V43" s="229">
        <v>0</v>
      </c>
      <c r="W43" s="229">
        <v>0</v>
      </c>
      <c r="X43" s="229">
        <v>0</v>
      </c>
      <c r="Y43" s="229">
        <v>0</v>
      </c>
      <c r="Z43" s="229">
        <v>0</v>
      </c>
      <c r="AA43" s="215"/>
      <c r="AB43" s="215"/>
      <c r="AE43" s="215"/>
      <c r="AF43" s="215"/>
    </row>
    <row r="44" spans="1:32" ht="12.75" x14ac:dyDescent="0.2">
      <c r="A44" s="268">
        <v>34</v>
      </c>
      <c r="B44" s="274" t="s">
        <v>66</v>
      </c>
      <c r="C44" s="275" t="s">
        <v>67</v>
      </c>
      <c r="D44" s="229">
        <f t="shared" si="15"/>
        <v>101391</v>
      </c>
      <c r="E44" s="229">
        <f t="shared" si="12"/>
        <v>0</v>
      </c>
      <c r="F44" s="229">
        <v>0</v>
      </c>
      <c r="G44" s="229">
        <v>0</v>
      </c>
      <c r="H44" s="229">
        <v>0</v>
      </c>
      <c r="I44" s="229">
        <v>0</v>
      </c>
      <c r="J44" s="229">
        <f t="shared" si="13"/>
        <v>99927</v>
      </c>
      <c r="K44" s="229">
        <v>17220</v>
      </c>
      <c r="L44" s="229">
        <v>6300</v>
      </c>
      <c r="M44" s="229">
        <v>5228</v>
      </c>
      <c r="N44" s="229">
        <v>5489</v>
      </c>
      <c r="O44" s="229">
        <v>32799</v>
      </c>
      <c r="P44" s="229">
        <v>32891</v>
      </c>
      <c r="Q44" s="229">
        <f t="shared" si="16"/>
        <v>1464</v>
      </c>
      <c r="R44" s="229">
        <v>1025</v>
      </c>
      <c r="S44" s="229">
        <v>439</v>
      </c>
      <c r="T44" s="229">
        <f t="shared" si="14"/>
        <v>0</v>
      </c>
      <c r="U44" s="229">
        <v>0</v>
      </c>
      <c r="V44" s="229">
        <v>0</v>
      </c>
      <c r="W44" s="229">
        <v>0</v>
      </c>
      <c r="X44" s="229">
        <v>0</v>
      </c>
      <c r="Y44" s="229">
        <v>0</v>
      </c>
      <c r="Z44" s="229">
        <v>0</v>
      </c>
      <c r="AA44" s="215"/>
      <c r="AB44" s="215"/>
      <c r="AE44" s="215"/>
      <c r="AF44" s="215"/>
    </row>
    <row r="45" spans="1:32" ht="12.75" x14ac:dyDescent="0.2">
      <c r="A45" s="268">
        <v>35</v>
      </c>
      <c r="B45" s="269" t="s">
        <v>320</v>
      </c>
      <c r="C45" s="270" t="s">
        <v>321</v>
      </c>
      <c r="D45" s="229">
        <f t="shared" si="15"/>
        <v>1507</v>
      </c>
      <c r="E45" s="229">
        <f t="shared" si="12"/>
        <v>1507</v>
      </c>
      <c r="F45" s="229">
        <v>1291</v>
      </c>
      <c r="G45" s="229">
        <v>216</v>
      </c>
      <c r="H45" s="229">
        <v>0</v>
      </c>
      <c r="I45" s="229">
        <v>0</v>
      </c>
      <c r="J45" s="229">
        <f t="shared" si="13"/>
        <v>0</v>
      </c>
      <c r="K45" s="229">
        <v>0</v>
      </c>
      <c r="L45" s="229">
        <v>0</v>
      </c>
      <c r="M45" s="229">
        <v>0</v>
      </c>
      <c r="N45" s="229">
        <v>0</v>
      </c>
      <c r="O45" s="229">
        <v>0</v>
      </c>
      <c r="P45" s="229">
        <v>0</v>
      </c>
      <c r="Q45" s="229">
        <f t="shared" si="16"/>
        <v>0</v>
      </c>
      <c r="R45" s="229">
        <v>0</v>
      </c>
      <c r="S45" s="229">
        <v>0</v>
      </c>
      <c r="T45" s="229">
        <f t="shared" si="14"/>
        <v>0</v>
      </c>
      <c r="U45" s="229">
        <v>0</v>
      </c>
      <c r="V45" s="229">
        <v>0</v>
      </c>
      <c r="W45" s="229">
        <v>0</v>
      </c>
      <c r="X45" s="229">
        <v>0</v>
      </c>
      <c r="Y45" s="229">
        <v>0</v>
      </c>
      <c r="Z45" s="229">
        <v>0</v>
      </c>
      <c r="AA45" s="215"/>
      <c r="AB45" s="215"/>
      <c r="AE45" s="215"/>
      <c r="AF45" s="215"/>
    </row>
    <row r="46" spans="1:32" ht="12.75" x14ac:dyDescent="0.2">
      <c r="A46" s="268">
        <v>36</v>
      </c>
      <c r="B46" s="271" t="s">
        <v>68</v>
      </c>
      <c r="C46" s="270" t="s">
        <v>69</v>
      </c>
      <c r="D46" s="229">
        <f t="shared" si="15"/>
        <v>13640</v>
      </c>
      <c r="E46" s="229">
        <f t="shared" si="12"/>
        <v>0</v>
      </c>
      <c r="F46" s="229">
        <v>0</v>
      </c>
      <c r="G46" s="229">
        <v>0</v>
      </c>
      <c r="H46" s="229">
        <v>0</v>
      </c>
      <c r="I46" s="229">
        <v>0</v>
      </c>
      <c r="J46" s="229">
        <f t="shared" si="13"/>
        <v>13640</v>
      </c>
      <c r="K46" s="229">
        <v>400</v>
      </c>
      <c r="L46" s="229">
        <v>290</v>
      </c>
      <c r="M46" s="229">
        <v>1080</v>
      </c>
      <c r="N46" s="229">
        <v>90</v>
      </c>
      <c r="O46" s="229">
        <v>7160</v>
      </c>
      <c r="P46" s="229">
        <v>4620</v>
      </c>
      <c r="Q46" s="229">
        <f t="shared" si="16"/>
        <v>0</v>
      </c>
      <c r="R46" s="229">
        <v>0</v>
      </c>
      <c r="S46" s="229">
        <v>0</v>
      </c>
      <c r="T46" s="229">
        <f t="shared" si="14"/>
        <v>0</v>
      </c>
      <c r="U46" s="229">
        <v>0</v>
      </c>
      <c r="V46" s="229">
        <v>0</v>
      </c>
      <c r="W46" s="229">
        <v>0</v>
      </c>
      <c r="X46" s="229">
        <v>0</v>
      </c>
      <c r="Y46" s="229">
        <v>0</v>
      </c>
      <c r="Z46" s="229">
        <v>0</v>
      </c>
      <c r="AA46" s="215"/>
      <c r="AB46" s="215"/>
      <c r="AE46" s="215"/>
      <c r="AF46" s="215"/>
    </row>
    <row r="47" spans="1:32" ht="12.75" x14ac:dyDescent="0.2">
      <c r="A47" s="268">
        <v>37</v>
      </c>
      <c r="B47" s="272" t="s">
        <v>70</v>
      </c>
      <c r="C47" s="273" t="s">
        <v>71</v>
      </c>
      <c r="D47" s="229">
        <f t="shared" si="15"/>
        <v>45238</v>
      </c>
      <c r="E47" s="229">
        <f t="shared" si="12"/>
        <v>0</v>
      </c>
      <c r="F47" s="229">
        <v>0</v>
      </c>
      <c r="G47" s="229">
        <v>0</v>
      </c>
      <c r="H47" s="229">
        <v>0</v>
      </c>
      <c r="I47" s="229">
        <v>0</v>
      </c>
      <c r="J47" s="229">
        <f t="shared" si="13"/>
        <v>45238</v>
      </c>
      <c r="K47" s="229">
        <v>10465</v>
      </c>
      <c r="L47" s="229">
        <v>1553</v>
      </c>
      <c r="M47" s="229">
        <v>5142</v>
      </c>
      <c r="N47" s="229">
        <v>2069</v>
      </c>
      <c r="O47" s="229">
        <v>17504</v>
      </c>
      <c r="P47" s="229">
        <v>8505</v>
      </c>
      <c r="Q47" s="229">
        <f t="shared" si="16"/>
        <v>0</v>
      </c>
      <c r="R47" s="229">
        <v>0</v>
      </c>
      <c r="S47" s="229">
        <v>0</v>
      </c>
      <c r="T47" s="229">
        <f t="shared" si="14"/>
        <v>0</v>
      </c>
      <c r="U47" s="229">
        <v>0</v>
      </c>
      <c r="V47" s="229">
        <v>0</v>
      </c>
      <c r="W47" s="229">
        <v>0</v>
      </c>
      <c r="X47" s="229">
        <v>0</v>
      </c>
      <c r="Y47" s="229">
        <v>0</v>
      </c>
      <c r="Z47" s="229">
        <v>0</v>
      </c>
      <c r="AA47" s="215"/>
      <c r="AB47" s="215"/>
      <c r="AE47" s="215"/>
      <c r="AF47" s="215"/>
    </row>
    <row r="48" spans="1:32" ht="12.75" x14ac:dyDescent="0.2">
      <c r="A48" s="268">
        <v>38</v>
      </c>
      <c r="B48" s="271" t="s">
        <v>72</v>
      </c>
      <c r="C48" s="270" t="s">
        <v>73</v>
      </c>
      <c r="D48" s="229">
        <f t="shared" si="15"/>
        <v>20882</v>
      </c>
      <c r="E48" s="229">
        <f t="shared" si="12"/>
        <v>0</v>
      </c>
      <c r="F48" s="229">
        <v>0</v>
      </c>
      <c r="G48" s="229">
        <v>0</v>
      </c>
      <c r="H48" s="229">
        <v>0</v>
      </c>
      <c r="I48" s="229">
        <v>0</v>
      </c>
      <c r="J48" s="229">
        <f t="shared" si="13"/>
        <v>20882</v>
      </c>
      <c r="K48" s="229">
        <v>2469</v>
      </c>
      <c r="L48" s="229">
        <v>603</v>
      </c>
      <c r="M48" s="229">
        <v>367</v>
      </c>
      <c r="N48" s="229">
        <v>0</v>
      </c>
      <c r="O48" s="229">
        <v>9289</v>
      </c>
      <c r="P48" s="229">
        <v>8154</v>
      </c>
      <c r="Q48" s="229">
        <f t="shared" si="16"/>
        <v>0</v>
      </c>
      <c r="R48" s="229">
        <v>0</v>
      </c>
      <c r="S48" s="229">
        <v>0</v>
      </c>
      <c r="T48" s="229">
        <f t="shared" si="14"/>
        <v>0</v>
      </c>
      <c r="U48" s="229">
        <v>0</v>
      </c>
      <c r="V48" s="229">
        <v>0</v>
      </c>
      <c r="W48" s="229">
        <v>0</v>
      </c>
      <c r="X48" s="229">
        <v>0</v>
      </c>
      <c r="Y48" s="229">
        <v>0</v>
      </c>
      <c r="Z48" s="229">
        <v>0</v>
      </c>
      <c r="AA48" s="215"/>
      <c r="AB48" s="215"/>
      <c r="AE48" s="215"/>
      <c r="AF48" s="215"/>
    </row>
    <row r="49" spans="1:32" ht="12.75" x14ac:dyDescent="0.2">
      <c r="A49" s="268">
        <v>39</v>
      </c>
      <c r="B49" s="269" t="s">
        <v>74</v>
      </c>
      <c r="C49" s="270" t="s">
        <v>458</v>
      </c>
      <c r="D49" s="229">
        <f t="shared" si="15"/>
        <v>72250</v>
      </c>
      <c r="E49" s="229">
        <f t="shared" si="12"/>
        <v>0</v>
      </c>
      <c r="F49" s="229">
        <v>0</v>
      </c>
      <c r="G49" s="229">
        <v>0</v>
      </c>
      <c r="H49" s="229">
        <v>0</v>
      </c>
      <c r="I49" s="229">
        <v>0</v>
      </c>
      <c r="J49" s="229">
        <f t="shared" si="13"/>
        <v>70786</v>
      </c>
      <c r="K49" s="229">
        <v>8046</v>
      </c>
      <c r="L49" s="229">
        <v>3264</v>
      </c>
      <c r="M49" s="229">
        <v>2454</v>
      </c>
      <c r="N49" s="229">
        <v>790</v>
      </c>
      <c r="O49" s="229">
        <v>37246</v>
      </c>
      <c r="P49" s="229">
        <v>18986</v>
      </c>
      <c r="Q49" s="229">
        <f t="shared" si="16"/>
        <v>1464</v>
      </c>
      <c r="R49" s="229">
        <v>1025</v>
      </c>
      <c r="S49" s="229">
        <v>439</v>
      </c>
      <c r="T49" s="229">
        <f t="shared" si="14"/>
        <v>0</v>
      </c>
      <c r="U49" s="229">
        <v>0</v>
      </c>
      <c r="V49" s="229">
        <v>0</v>
      </c>
      <c r="W49" s="229">
        <v>0</v>
      </c>
      <c r="X49" s="229">
        <v>0</v>
      </c>
      <c r="Y49" s="229">
        <v>0</v>
      </c>
      <c r="Z49" s="229">
        <v>0</v>
      </c>
      <c r="AA49" s="215"/>
      <c r="AB49" s="215"/>
      <c r="AE49" s="215"/>
      <c r="AF49" s="215"/>
    </row>
    <row r="50" spans="1:32" ht="12.75" x14ac:dyDescent="0.2">
      <c r="A50" s="268">
        <v>40</v>
      </c>
      <c r="B50" s="276" t="s">
        <v>75</v>
      </c>
      <c r="C50" s="277" t="s">
        <v>459</v>
      </c>
      <c r="D50" s="229">
        <f t="shared" si="15"/>
        <v>19387</v>
      </c>
      <c r="E50" s="229">
        <f t="shared" si="12"/>
        <v>0</v>
      </c>
      <c r="F50" s="229">
        <v>0</v>
      </c>
      <c r="G50" s="229">
        <v>0</v>
      </c>
      <c r="H50" s="229">
        <v>0</v>
      </c>
      <c r="I50" s="229">
        <v>0</v>
      </c>
      <c r="J50" s="229">
        <f t="shared" si="13"/>
        <v>19387</v>
      </c>
      <c r="K50" s="229">
        <v>1980</v>
      </c>
      <c r="L50" s="229">
        <v>555</v>
      </c>
      <c r="M50" s="229">
        <v>912</v>
      </c>
      <c r="N50" s="229">
        <v>526</v>
      </c>
      <c r="O50" s="229">
        <v>11754</v>
      </c>
      <c r="P50" s="229">
        <v>3660</v>
      </c>
      <c r="Q50" s="229">
        <f t="shared" si="16"/>
        <v>0</v>
      </c>
      <c r="R50" s="229">
        <v>0</v>
      </c>
      <c r="S50" s="229">
        <v>0</v>
      </c>
      <c r="T50" s="229">
        <f t="shared" si="14"/>
        <v>0</v>
      </c>
      <c r="U50" s="229">
        <v>0</v>
      </c>
      <c r="V50" s="229">
        <v>0</v>
      </c>
      <c r="W50" s="229">
        <v>0</v>
      </c>
      <c r="X50" s="229">
        <v>0</v>
      </c>
      <c r="Y50" s="229">
        <v>0</v>
      </c>
      <c r="Z50" s="229">
        <v>0</v>
      </c>
      <c r="AA50" s="215"/>
      <c r="AB50" s="215"/>
      <c r="AE50" s="215"/>
      <c r="AF50" s="215"/>
    </row>
    <row r="51" spans="1:32" ht="12.75" x14ac:dyDescent="0.2">
      <c r="A51" s="268">
        <v>41</v>
      </c>
      <c r="B51" s="269" t="s">
        <v>76</v>
      </c>
      <c r="C51" s="270" t="s">
        <v>460</v>
      </c>
      <c r="D51" s="229">
        <f t="shared" si="15"/>
        <v>12236</v>
      </c>
      <c r="E51" s="229">
        <f t="shared" si="12"/>
        <v>0</v>
      </c>
      <c r="F51" s="229">
        <v>0</v>
      </c>
      <c r="G51" s="229">
        <v>0</v>
      </c>
      <c r="H51" s="229">
        <v>0</v>
      </c>
      <c r="I51" s="229">
        <v>0</v>
      </c>
      <c r="J51" s="229">
        <f t="shared" si="13"/>
        <v>12236</v>
      </c>
      <c r="K51" s="229">
        <v>313</v>
      </c>
      <c r="L51" s="229">
        <v>474</v>
      </c>
      <c r="M51" s="229">
        <v>104</v>
      </c>
      <c r="N51" s="229">
        <v>1</v>
      </c>
      <c r="O51" s="229">
        <v>11015</v>
      </c>
      <c r="P51" s="229">
        <v>329</v>
      </c>
      <c r="Q51" s="229">
        <f t="shared" si="16"/>
        <v>0</v>
      </c>
      <c r="R51" s="229">
        <v>0</v>
      </c>
      <c r="S51" s="229">
        <v>0</v>
      </c>
      <c r="T51" s="229">
        <f t="shared" si="14"/>
        <v>0</v>
      </c>
      <c r="U51" s="229">
        <v>0</v>
      </c>
      <c r="V51" s="229">
        <v>0</v>
      </c>
      <c r="W51" s="229">
        <v>0</v>
      </c>
      <c r="X51" s="229">
        <v>0</v>
      </c>
      <c r="Y51" s="229">
        <v>0</v>
      </c>
      <c r="Z51" s="229">
        <v>0</v>
      </c>
      <c r="AA51" s="215"/>
      <c r="AB51" s="215"/>
      <c r="AE51" s="215"/>
      <c r="AF51" s="215"/>
    </row>
    <row r="52" spans="1:32" ht="12.75" x14ac:dyDescent="0.2">
      <c r="A52" s="268">
        <v>42</v>
      </c>
      <c r="B52" s="274" t="s">
        <v>77</v>
      </c>
      <c r="C52" s="275" t="s">
        <v>78</v>
      </c>
      <c r="D52" s="229">
        <f t="shared" si="15"/>
        <v>18112</v>
      </c>
      <c r="E52" s="229">
        <f t="shared" si="12"/>
        <v>0</v>
      </c>
      <c r="F52" s="229">
        <v>0</v>
      </c>
      <c r="G52" s="229">
        <v>0</v>
      </c>
      <c r="H52" s="229">
        <v>0</v>
      </c>
      <c r="I52" s="229">
        <v>0</v>
      </c>
      <c r="J52" s="229">
        <f t="shared" si="13"/>
        <v>18112</v>
      </c>
      <c r="K52" s="229">
        <v>1331</v>
      </c>
      <c r="L52" s="229">
        <v>285</v>
      </c>
      <c r="M52" s="229">
        <v>1318</v>
      </c>
      <c r="N52" s="229">
        <v>278</v>
      </c>
      <c r="O52" s="229">
        <v>12468</v>
      </c>
      <c r="P52" s="229">
        <v>2432</v>
      </c>
      <c r="Q52" s="229">
        <f t="shared" si="16"/>
        <v>0</v>
      </c>
      <c r="R52" s="229">
        <v>0</v>
      </c>
      <c r="S52" s="229">
        <v>0</v>
      </c>
      <c r="T52" s="229">
        <f t="shared" si="14"/>
        <v>0</v>
      </c>
      <c r="U52" s="229">
        <v>0</v>
      </c>
      <c r="V52" s="229">
        <v>0</v>
      </c>
      <c r="W52" s="229">
        <v>0</v>
      </c>
      <c r="X52" s="229">
        <v>0</v>
      </c>
      <c r="Y52" s="229">
        <v>0</v>
      </c>
      <c r="Z52" s="229">
        <v>0</v>
      </c>
      <c r="AA52" s="215"/>
      <c r="AB52" s="215"/>
      <c r="AE52" s="215"/>
      <c r="AF52" s="215"/>
    </row>
    <row r="53" spans="1:32" ht="12.75" x14ac:dyDescent="0.2">
      <c r="A53" s="268">
        <v>43</v>
      </c>
      <c r="B53" s="272" t="s">
        <v>322</v>
      </c>
      <c r="C53" s="273" t="s">
        <v>323</v>
      </c>
      <c r="D53" s="229">
        <f t="shared" si="15"/>
        <v>10463</v>
      </c>
      <c r="E53" s="229">
        <f t="shared" si="12"/>
        <v>0</v>
      </c>
      <c r="F53" s="229">
        <v>0</v>
      </c>
      <c r="G53" s="229">
        <v>0</v>
      </c>
      <c r="H53" s="229">
        <v>0</v>
      </c>
      <c r="I53" s="229">
        <v>0</v>
      </c>
      <c r="J53" s="229">
        <f t="shared" si="13"/>
        <v>10463</v>
      </c>
      <c r="K53" s="229">
        <v>1434</v>
      </c>
      <c r="L53" s="229">
        <v>510</v>
      </c>
      <c r="M53" s="229">
        <v>240</v>
      </c>
      <c r="N53" s="229">
        <v>51</v>
      </c>
      <c r="O53" s="229">
        <v>7217</v>
      </c>
      <c r="P53" s="229">
        <v>1011</v>
      </c>
      <c r="Q53" s="229">
        <f t="shared" si="16"/>
        <v>0</v>
      </c>
      <c r="R53" s="229">
        <v>0</v>
      </c>
      <c r="S53" s="229">
        <v>0</v>
      </c>
      <c r="T53" s="229">
        <f t="shared" si="14"/>
        <v>0</v>
      </c>
      <c r="U53" s="229">
        <v>0</v>
      </c>
      <c r="V53" s="229">
        <v>0</v>
      </c>
      <c r="W53" s="229">
        <v>0</v>
      </c>
      <c r="X53" s="229">
        <v>0</v>
      </c>
      <c r="Y53" s="229">
        <v>0</v>
      </c>
      <c r="Z53" s="229">
        <v>0</v>
      </c>
      <c r="AA53" s="215"/>
      <c r="AB53" s="215"/>
      <c r="AE53" s="215"/>
      <c r="AF53" s="215"/>
    </row>
    <row r="54" spans="1:32" ht="12.75" x14ac:dyDescent="0.2">
      <c r="A54" s="268">
        <v>44</v>
      </c>
      <c r="B54" s="271" t="s">
        <v>79</v>
      </c>
      <c r="C54" s="270" t="s">
        <v>80</v>
      </c>
      <c r="D54" s="229">
        <f t="shared" si="15"/>
        <v>11079</v>
      </c>
      <c r="E54" s="229">
        <f t="shared" si="12"/>
        <v>0</v>
      </c>
      <c r="F54" s="229">
        <v>0</v>
      </c>
      <c r="G54" s="229">
        <v>0</v>
      </c>
      <c r="H54" s="229">
        <v>0</v>
      </c>
      <c r="I54" s="229">
        <v>0</v>
      </c>
      <c r="J54" s="229">
        <f t="shared" si="13"/>
        <v>11079</v>
      </c>
      <c r="K54" s="229">
        <v>770</v>
      </c>
      <c r="L54" s="229">
        <v>0</v>
      </c>
      <c r="M54" s="229">
        <v>1100</v>
      </c>
      <c r="N54" s="229">
        <v>0</v>
      </c>
      <c r="O54" s="229">
        <v>9209</v>
      </c>
      <c r="P54" s="229">
        <v>0</v>
      </c>
      <c r="Q54" s="229">
        <f t="shared" si="16"/>
        <v>0</v>
      </c>
      <c r="R54" s="229">
        <v>0</v>
      </c>
      <c r="S54" s="229">
        <v>0</v>
      </c>
      <c r="T54" s="229">
        <f t="shared" si="14"/>
        <v>0</v>
      </c>
      <c r="U54" s="229">
        <v>0</v>
      </c>
      <c r="V54" s="229">
        <v>0</v>
      </c>
      <c r="W54" s="229">
        <v>0</v>
      </c>
      <c r="X54" s="229">
        <v>0</v>
      </c>
      <c r="Y54" s="229">
        <v>0</v>
      </c>
      <c r="Z54" s="229">
        <v>0</v>
      </c>
      <c r="AA54" s="215"/>
      <c r="AB54" s="215"/>
      <c r="AE54" s="215"/>
      <c r="AF54" s="215"/>
    </row>
    <row r="55" spans="1:32" ht="12.75" x14ac:dyDescent="0.2">
      <c r="A55" s="268">
        <v>45</v>
      </c>
      <c r="B55" s="272" t="s">
        <v>81</v>
      </c>
      <c r="C55" s="273" t="s">
        <v>82</v>
      </c>
      <c r="D55" s="229">
        <f t="shared" si="15"/>
        <v>59854</v>
      </c>
      <c r="E55" s="229">
        <f t="shared" si="12"/>
        <v>0</v>
      </c>
      <c r="F55" s="229">
        <v>0</v>
      </c>
      <c r="G55" s="229">
        <v>0</v>
      </c>
      <c r="H55" s="229">
        <v>0</v>
      </c>
      <c r="I55" s="229">
        <v>0</v>
      </c>
      <c r="J55" s="229">
        <f t="shared" si="13"/>
        <v>57731</v>
      </c>
      <c r="K55" s="229">
        <v>3755</v>
      </c>
      <c r="L55" s="229">
        <v>407</v>
      </c>
      <c r="M55" s="229">
        <v>0</v>
      </c>
      <c r="N55" s="229">
        <v>8014</v>
      </c>
      <c r="O55" s="229">
        <v>27802</v>
      </c>
      <c r="P55" s="229">
        <v>17753</v>
      </c>
      <c r="Q55" s="229">
        <f t="shared" si="16"/>
        <v>1049</v>
      </c>
      <c r="R55" s="229">
        <v>722</v>
      </c>
      <c r="S55" s="229">
        <v>327</v>
      </c>
      <c r="T55" s="229">
        <f t="shared" si="14"/>
        <v>1074</v>
      </c>
      <c r="U55" s="229">
        <v>1074</v>
      </c>
      <c r="V55" s="229">
        <v>0</v>
      </c>
      <c r="W55" s="229">
        <v>0</v>
      </c>
      <c r="X55" s="229">
        <v>0</v>
      </c>
      <c r="Y55" s="229">
        <v>0</v>
      </c>
      <c r="Z55" s="229">
        <v>0</v>
      </c>
      <c r="AA55" s="215"/>
      <c r="AB55" s="215"/>
      <c r="AE55" s="215"/>
      <c r="AF55" s="215"/>
    </row>
    <row r="56" spans="1:32" ht="12.75" x14ac:dyDescent="0.2">
      <c r="A56" s="268">
        <v>46</v>
      </c>
      <c r="B56" s="269" t="s">
        <v>83</v>
      </c>
      <c r="C56" s="270" t="s">
        <v>461</v>
      </c>
      <c r="D56" s="229">
        <f t="shared" si="15"/>
        <v>21505</v>
      </c>
      <c r="E56" s="229">
        <f t="shared" si="12"/>
        <v>0</v>
      </c>
      <c r="F56" s="229">
        <v>0</v>
      </c>
      <c r="G56" s="229">
        <v>0</v>
      </c>
      <c r="H56" s="229">
        <v>0</v>
      </c>
      <c r="I56" s="229">
        <v>0</v>
      </c>
      <c r="J56" s="229">
        <f t="shared" si="13"/>
        <v>21505</v>
      </c>
      <c r="K56" s="229">
        <v>1205</v>
      </c>
      <c r="L56" s="229">
        <v>180</v>
      </c>
      <c r="M56" s="229">
        <v>1252</v>
      </c>
      <c r="N56" s="229">
        <v>226</v>
      </c>
      <c r="O56" s="229">
        <v>14388</v>
      </c>
      <c r="P56" s="229">
        <v>4254</v>
      </c>
      <c r="Q56" s="229">
        <f t="shared" si="16"/>
        <v>0</v>
      </c>
      <c r="R56" s="229">
        <v>0</v>
      </c>
      <c r="S56" s="229">
        <v>0</v>
      </c>
      <c r="T56" s="229">
        <f t="shared" si="14"/>
        <v>0</v>
      </c>
      <c r="U56" s="229">
        <v>0</v>
      </c>
      <c r="V56" s="229">
        <v>0</v>
      </c>
      <c r="W56" s="229">
        <v>0</v>
      </c>
      <c r="X56" s="229">
        <v>0</v>
      </c>
      <c r="Y56" s="229">
        <v>0</v>
      </c>
      <c r="Z56" s="229">
        <v>0</v>
      </c>
      <c r="AA56" s="215"/>
      <c r="AB56" s="215"/>
      <c r="AE56" s="215"/>
      <c r="AF56" s="215"/>
    </row>
    <row r="57" spans="1:32" ht="12.75" x14ac:dyDescent="0.2">
      <c r="A57" s="268">
        <v>47</v>
      </c>
      <c r="B57" s="269" t="s">
        <v>84</v>
      </c>
      <c r="C57" s="270" t="s">
        <v>85</v>
      </c>
      <c r="D57" s="229">
        <f t="shared" si="15"/>
        <v>63425</v>
      </c>
      <c r="E57" s="229">
        <f t="shared" si="12"/>
        <v>0</v>
      </c>
      <c r="F57" s="229">
        <v>0</v>
      </c>
      <c r="G57" s="229">
        <v>0</v>
      </c>
      <c r="H57" s="229">
        <v>0</v>
      </c>
      <c r="I57" s="229">
        <v>0</v>
      </c>
      <c r="J57" s="229">
        <f t="shared" si="13"/>
        <v>61961</v>
      </c>
      <c r="K57" s="229">
        <v>10412</v>
      </c>
      <c r="L57" s="229">
        <v>3254</v>
      </c>
      <c r="M57" s="229">
        <v>1041</v>
      </c>
      <c r="N57" s="229">
        <v>834</v>
      </c>
      <c r="O57" s="229">
        <v>32152</v>
      </c>
      <c r="P57" s="229">
        <v>14268</v>
      </c>
      <c r="Q57" s="229">
        <f t="shared" si="16"/>
        <v>1464</v>
      </c>
      <c r="R57" s="229">
        <v>1025</v>
      </c>
      <c r="S57" s="229">
        <v>439</v>
      </c>
      <c r="T57" s="229">
        <f t="shared" si="14"/>
        <v>0</v>
      </c>
      <c r="U57" s="229">
        <v>0</v>
      </c>
      <c r="V57" s="229">
        <v>0</v>
      </c>
      <c r="W57" s="229">
        <v>0</v>
      </c>
      <c r="X57" s="229">
        <v>0</v>
      </c>
      <c r="Y57" s="229">
        <v>0</v>
      </c>
      <c r="Z57" s="229">
        <v>0</v>
      </c>
      <c r="AA57" s="215"/>
      <c r="AB57" s="215"/>
      <c r="AE57" s="215"/>
      <c r="AF57" s="215"/>
    </row>
    <row r="58" spans="1:32" ht="12.75" x14ac:dyDescent="0.2">
      <c r="A58" s="268">
        <v>48</v>
      </c>
      <c r="B58" s="278" t="s">
        <v>86</v>
      </c>
      <c r="C58" s="279" t="s">
        <v>87</v>
      </c>
      <c r="D58" s="229">
        <f t="shared" si="15"/>
        <v>14981</v>
      </c>
      <c r="E58" s="229">
        <f t="shared" si="12"/>
        <v>0</v>
      </c>
      <c r="F58" s="229">
        <v>0</v>
      </c>
      <c r="G58" s="229">
        <v>0</v>
      </c>
      <c r="H58" s="229">
        <v>0</v>
      </c>
      <c r="I58" s="229">
        <v>0</v>
      </c>
      <c r="J58" s="229">
        <f t="shared" si="13"/>
        <v>14981</v>
      </c>
      <c r="K58" s="229">
        <v>1810</v>
      </c>
      <c r="L58" s="229">
        <v>380</v>
      </c>
      <c r="M58" s="229">
        <v>500</v>
      </c>
      <c r="N58" s="229">
        <v>50</v>
      </c>
      <c r="O58" s="229">
        <v>5820</v>
      </c>
      <c r="P58" s="229">
        <v>6421</v>
      </c>
      <c r="Q58" s="229">
        <f t="shared" si="16"/>
        <v>0</v>
      </c>
      <c r="R58" s="229">
        <v>0</v>
      </c>
      <c r="S58" s="229">
        <v>0</v>
      </c>
      <c r="T58" s="229">
        <f t="shared" si="14"/>
        <v>0</v>
      </c>
      <c r="U58" s="229">
        <v>0</v>
      </c>
      <c r="V58" s="229">
        <v>0</v>
      </c>
      <c r="W58" s="229">
        <v>0</v>
      </c>
      <c r="X58" s="229">
        <v>0</v>
      </c>
      <c r="Y58" s="229">
        <v>0</v>
      </c>
      <c r="Z58" s="229">
        <v>0</v>
      </c>
      <c r="AA58" s="215"/>
      <c r="AB58" s="215"/>
      <c r="AE58" s="215"/>
      <c r="AF58" s="215"/>
    </row>
    <row r="59" spans="1:32" ht="12.75" x14ac:dyDescent="0.2">
      <c r="A59" s="268">
        <v>49</v>
      </c>
      <c r="B59" s="272" t="s">
        <v>88</v>
      </c>
      <c r="C59" s="273" t="s">
        <v>462</v>
      </c>
      <c r="D59" s="229">
        <f t="shared" si="15"/>
        <v>18702</v>
      </c>
      <c r="E59" s="229">
        <f t="shared" si="12"/>
        <v>0</v>
      </c>
      <c r="F59" s="229">
        <v>0</v>
      </c>
      <c r="G59" s="229">
        <v>0</v>
      </c>
      <c r="H59" s="229">
        <v>0</v>
      </c>
      <c r="I59" s="229">
        <v>0</v>
      </c>
      <c r="J59" s="229">
        <f t="shared" si="13"/>
        <v>18702</v>
      </c>
      <c r="K59" s="229">
        <v>3311</v>
      </c>
      <c r="L59" s="229">
        <v>950</v>
      </c>
      <c r="M59" s="229">
        <v>769</v>
      </c>
      <c r="N59" s="229">
        <v>1252</v>
      </c>
      <c r="O59" s="229">
        <v>7584</v>
      </c>
      <c r="P59" s="229">
        <v>4836</v>
      </c>
      <c r="Q59" s="229">
        <f t="shared" si="16"/>
        <v>0</v>
      </c>
      <c r="R59" s="229">
        <v>0</v>
      </c>
      <c r="S59" s="229">
        <v>0</v>
      </c>
      <c r="T59" s="229">
        <f t="shared" si="14"/>
        <v>0</v>
      </c>
      <c r="U59" s="229">
        <v>0</v>
      </c>
      <c r="V59" s="229">
        <v>0</v>
      </c>
      <c r="W59" s="229">
        <v>0</v>
      </c>
      <c r="X59" s="229">
        <v>0</v>
      </c>
      <c r="Y59" s="229">
        <v>0</v>
      </c>
      <c r="Z59" s="229">
        <v>0</v>
      </c>
      <c r="AA59" s="215"/>
      <c r="AB59" s="215"/>
      <c r="AE59" s="215"/>
      <c r="AF59" s="215"/>
    </row>
    <row r="60" spans="1:32" ht="12.75" x14ac:dyDescent="0.2">
      <c r="A60" s="268">
        <v>50</v>
      </c>
      <c r="B60" s="271" t="s">
        <v>89</v>
      </c>
      <c r="C60" s="270" t="s">
        <v>90</v>
      </c>
      <c r="D60" s="229">
        <f t="shared" si="15"/>
        <v>39884</v>
      </c>
      <c r="E60" s="229">
        <f t="shared" si="12"/>
        <v>0</v>
      </c>
      <c r="F60" s="229">
        <v>0</v>
      </c>
      <c r="G60" s="229">
        <v>0</v>
      </c>
      <c r="H60" s="229">
        <v>0</v>
      </c>
      <c r="I60" s="229">
        <v>0</v>
      </c>
      <c r="J60" s="229">
        <f t="shared" si="13"/>
        <v>38420</v>
      </c>
      <c r="K60" s="229">
        <v>3078</v>
      </c>
      <c r="L60" s="229">
        <v>1536</v>
      </c>
      <c r="M60" s="229">
        <v>1296</v>
      </c>
      <c r="N60" s="229">
        <v>1312</v>
      </c>
      <c r="O60" s="229">
        <v>18793</v>
      </c>
      <c r="P60" s="229">
        <v>12405</v>
      </c>
      <c r="Q60" s="229">
        <f t="shared" si="16"/>
        <v>1464</v>
      </c>
      <c r="R60" s="229">
        <v>1025</v>
      </c>
      <c r="S60" s="229">
        <v>439</v>
      </c>
      <c r="T60" s="229">
        <f t="shared" si="14"/>
        <v>0</v>
      </c>
      <c r="U60" s="229">
        <v>0</v>
      </c>
      <c r="V60" s="229">
        <v>0</v>
      </c>
      <c r="W60" s="229">
        <v>0</v>
      </c>
      <c r="X60" s="229">
        <v>0</v>
      </c>
      <c r="Y60" s="229">
        <v>0</v>
      </c>
      <c r="Z60" s="229">
        <v>0</v>
      </c>
      <c r="AA60" s="215"/>
      <c r="AB60" s="215"/>
      <c r="AE60" s="215"/>
      <c r="AF60" s="215"/>
    </row>
    <row r="61" spans="1:32" ht="12.75" x14ac:dyDescent="0.2">
      <c r="A61" s="268">
        <v>51</v>
      </c>
      <c r="B61" s="272" t="s">
        <v>91</v>
      </c>
      <c r="C61" s="273" t="s">
        <v>92</v>
      </c>
      <c r="D61" s="229">
        <f t="shared" si="15"/>
        <v>8524</v>
      </c>
      <c r="E61" s="229">
        <f t="shared" si="12"/>
        <v>0</v>
      </c>
      <c r="F61" s="229">
        <v>0</v>
      </c>
      <c r="G61" s="229">
        <v>0</v>
      </c>
      <c r="H61" s="229">
        <v>0</v>
      </c>
      <c r="I61" s="229">
        <v>0</v>
      </c>
      <c r="J61" s="229">
        <f t="shared" si="13"/>
        <v>8524</v>
      </c>
      <c r="K61" s="229">
        <v>1054</v>
      </c>
      <c r="L61" s="229">
        <v>93</v>
      </c>
      <c r="M61" s="229">
        <v>119</v>
      </c>
      <c r="N61" s="229">
        <v>63</v>
      </c>
      <c r="O61" s="229">
        <v>5293</v>
      </c>
      <c r="P61" s="229">
        <v>1902</v>
      </c>
      <c r="Q61" s="229">
        <f t="shared" si="16"/>
        <v>0</v>
      </c>
      <c r="R61" s="229">
        <v>0</v>
      </c>
      <c r="S61" s="229">
        <v>0</v>
      </c>
      <c r="T61" s="229">
        <f t="shared" si="14"/>
        <v>0</v>
      </c>
      <c r="U61" s="229">
        <v>0</v>
      </c>
      <c r="V61" s="229">
        <v>0</v>
      </c>
      <c r="W61" s="229">
        <v>0</v>
      </c>
      <c r="X61" s="229">
        <v>0</v>
      </c>
      <c r="Y61" s="229">
        <v>0</v>
      </c>
      <c r="Z61" s="229">
        <v>0</v>
      </c>
      <c r="AA61" s="215"/>
      <c r="AB61" s="215"/>
      <c r="AE61" s="215"/>
      <c r="AF61" s="215"/>
    </row>
    <row r="62" spans="1:32" ht="12.75" x14ac:dyDescent="0.2">
      <c r="A62" s="268">
        <v>52</v>
      </c>
      <c r="B62" s="271" t="s">
        <v>93</v>
      </c>
      <c r="C62" s="270" t="s">
        <v>94</v>
      </c>
      <c r="D62" s="229">
        <f t="shared" si="15"/>
        <v>15083</v>
      </c>
      <c r="E62" s="229">
        <f t="shared" si="12"/>
        <v>0</v>
      </c>
      <c r="F62" s="229">
        <v>0</v>
      </c>
      <c r="G62" s="229">
        <v>0</v>
      </c>
      <c r="H62" s="229">
        <v>0</v>
      </c>
      <c r="I62" s="229">
        <v>0</v>
      </c>
      <c r="J62" s="229">
        <f t="shared" si="13"/>
        <v>13619</v>
      </c>
      <c r="K62" s="229">
        <v>2300</v>
      </c>
      <c r="L62" s="229">
        <v>500</v>
      </c>
      <c r="M62" s="229">
        <v>233</v>
      </c>
      <c r="N62" s="229">
        <v>194</v>
      </c>
      <c r="O62" s="229">
        <v>9392</v>
      </c>
      <c r="P62" s="229">
        <v>1000</v>
      </c>
      <c r="Q62" s="229">
        <f t="shared" si="16"/>
        <v>1464</v>
      </c>
      <c r="R62" s="229">
        <v>1025</v>
      </c>
      <c r="S62" s="229">
        <v>439</v>
      </c>
      <c r="T62" s="229">
        <f t="shared" si="14"/>
        <v>0</v>
      </c>
      <c r="U62" s="229">
        <v>0</v>
      </c>
      <c r="V62" s="229">
        <v>0</v>
      </c>
      <c r="W62" s="229">
        <v>0</v>
      </c>
      <c r="X62" s="229">
        <v>0</v>
      </c>
      <c r="Y62" s="229">
        <v>0</v>
      </c>
      <c r="Z62" s="229">
        <v>0</v>
      </c>
      <c r="AA62" s="215"/>
      <c r="AB62" s="215"/>
      <c r="AE62" s="215"/>
      <c r="AF62" s="215"/>
    </row>
    <row r="63" spans="1:32" ht="12.75" x14ac:dyDescent="0.2">
      <c r="A63" s="268">
        <v>53</v>
      </c>
      <c r="B63" s="272" t="s">
        <v>95</v>
      </c>
      <c r="C63" s="273" t="s">
        <v>463</v>
      </c>
      <c r="D63" s="229">
        <f t="shared" si="15"/>
        <v>15351</v>
      </c>
      <c r="E63" s="229">
        <f t="shared" si="12"/>
        <v>0</v>
      </c>
      <c r="F63" s="229">
        <v>0</v>
      </c>
      <c r="G63" s="229">
        <v>0</v>
      </c>
      <c r="H63" s="229">
        <v>0</v>
      </c>
      <c r="I63" s="229">
        <v>0</v>
      </c>
      <c r="J63" s="229">
        <f t="shared" si="13"/>
        <v>15351</v>
      </c>
      <c r="K63" s="229">
        <v>1060</v>
      </c>
      <c r="L63" s="229">
        <v>250</v>
      </c>
      <c r="M63" s="229">
        <v>495</v>
      </c>
      <c r="N63" s="229">
        <v>82</v>
      </c>
      <c r="O63" s="229">
        <v>8128</v>
      </c>
      <c r="P63" s="229">
        <v>5336</v>
      </c>
      <c r="Q63" s="229">
        <f t="shared" si="16"/>
        <v>0</v>
      </c>
      <c r="R63" s="229">
        <v>0</v>
      </c>
      <c r="S63" s="229">
        <v>0</v>
      </c>
      <c r="T63" s="229">
        <f t="shared" si="14"/>
        <v>0</v>
      </c>
      <c r="U63" s="229">
        <v>0</v>
      </c>
      <c r="V63" s="229">
        <v>0</v>
      </c>
      <c r="W63" s="229">
        <v>0</v>
      </c>
      <c r="X63" s="229">
        <v>0</v>
      </c>
      <c r="Y63" s="229">
        <v>0</v>
      </c>
      <c r="Z63" s="229">
        <v>0</v>
      </c>
      <c r="AA63" s="215"/>
      <c r="AB63" s="215"/>
      <c r="AE63" s="215"/>
      <c r="AF63" s="215"/>
    </row>
    <row r="64" spans="1:32" ht="12.75" x14ac:dyDescent="0.2">
      <c r="A64" s="268">
        <v>54</v>
      </c>
      <c r="B64" s="272" t="s">
        <v>96</v>
      </c>
      <c r="C64" s="273" t="s">
        <v>97</v>
      </c>
      <c r="D64" s="229">
        <f t="shared" si="15"/>
        <v>97455</v>
      </c>
      <c r="E64" s="229">
        <f t="shared" si="12"/>
        <v>0</v>
      </c>
      <c r="F64" s="229">
        <v>0</v>
      </c>
      <c r="G64" s="229">
        <v>0</v>
      </c>
      <c r="H64" s="229">
        <v>0</v>
      </c>
      <c r="I64" s="229">
        <v>0</v>
      </c>
      <c r="J64" s="229">
        <f t="shared" si="13"/>
        <v>96006</v>
      </c>
      <c r="K64" s="229">
        <v>16577</v>
      </c>
      <c r="L64" s="229">
        <v>4106</v>
      </c>
      <c r="M64" s="229">
        <v>4434</v>
      </c>
      <c r="N64" s="229">
        <v>1505</v>
      </c>
      <c r="O64" s="229">
        <v>51530</v>
      </c>
      <c r="P64" s="229">
        <v>17854</v>
      </c>
      <c r="Q64" s="229">
        <f t="shared" si="16"/>
        <v>1221</v>
      </c>
      <c r="R64" s="229">
        <v>894</v>
      </c>
      <c r="S64" s="229">
        <v>327</v>
      </c>
      <c r="T64" s="229">
        <f t="shared" si="14"/>
        <v>228</v>
      </c>
      <c r="U64" s="229">
        <v>228</v>
      </c>
      <c r="V64" s="229">
        <v>0</v>
      </c>
      <c r="W64" s="229">
        <v>0</v>
      </c>
      <c r="X64" s="229">
        <v>0</v>
      </c>
      <c r="Y64" s="229">
        <v>0</v>
      </c>
      <c r="Z64" s="229">
        <v>0</v>
      </c>
      <c r="AA64" s="215"/>
      <c r="AB64" s="215"/>
      <c r="AE64" s="215"/>
      <c r="AF64" s="215"/>
    </row>
    <row r="65" spans="1:32" ht="12.75" x14ac:dyDescent="0.2">
      <c r="A65" s="268">
        <v>55</v>
      </c>
      <c r="B65" s="272" t="s">
        <v>98</v>
      </c>
      <c r="C65" s="273" t="s">
        <v>464</v>
      </c>
      <c r="D65" s="229">
        <f t="shared" si="15"/>
        <v>13307</v>
      </c>
      <c r="E65" s="229">
        <f t="shared" si="12"/>
        <v>0</v>
      </c>
      <c r="F65" s="229">
        <v>0</v>
      </c>
      <c r="G65" s="229">
        <v>0</v>
      </c>
      <c r="H65" s="229">
        <v>0</v>
      </c>
      <c r="I65" s="229">
        <v>0</v>
      </c>
      <c r="J65" s="229">
        <f t="shared" si="13"/>
        <v>13307</v>
      </c>
      <c r="K65" s="229">
        <v>3968</v>
      </c>
      <c r="L65" s="229">
        <v>344</v>
      </c>
      <c r="M65" s="229">
        <v>1635</v>
      </c>
      <c r="N65" s="229">
        <v>610</v>
      </c>
      <c r="O65" s="229">
        <v>5701</v>
      </c>
      <c r="P65" s="229">
        <v>1049</v>
      </c>
      <c r="Q65" s="229">
        <f t="shared" si="16"/>
        <v>0</v>
      </c>
      <c r="R65" s="229">
        <v>0</v>
      </c>
      <c r="S65" s="229">
        <v>0</v>
      </c>
      <c r="T65" s="229">
        <f t="shared" si="14"/>
        <v>0</v>
      </c>
      <c r="U65" s="229">
        <v>0</v>
      </c>
      <c r="V65" s="229">
        <v>0</v>
      </c>
      <c r="W65" s="229">
        <v>0</v>
      </c>
      <c r="X65" s="229">
        <v>0</v>
      </c>
      <c r="Y65" s="229">
        <v>0</v>
      </c>
      <c r="Z65" s="229">
        <v>0</v>
      </c>
      <c r="AA65" s="215"/>
      <c r="AB65" s="215"/>
      <c r="AE65" s="215"/>
      <c r="AF65" s="215"/>
    </row>
    <row r="66" spans="1:32" x14ac:dyDescent="0.2">
      <c r="A66" s="268">
        <v>56</v>
      </c>
      <c r="B66" s="248" t="s">
        <v>325</v>
      </c>
      <c r="C66" s="238" t="s">
        <v>465</v>
      </c>
      <c r="D66" s="229">
        <f t="shared" si="15"/>
        <v>0</v>
      </c>
      <c r="E66" s="229">
        <f t="shared" si="12"/>
        <v>0</v>
      </c>
      <c r="F66" s="229">
        <v>0</v>
      </c>
      <c r="G66" s="229">
        <v>0</v>
      </c>
      <c r="H66" s="229">
        <v>0</v>
      </c>
      <c r="I66" s="229">
        <v>0</v>
      </c>
      <c r="J66" s="229">
        <f t="shared" si="13"/>
        <v>0</v>
      </c>
      <c r="K66" s="229">
        <v>0</v>
      </c>
      <c r="L66" s="229">
        <v>0</v>
      </c>
      <c r="M66" s="229">
        <v>0</v>
      </c>
      <c r="N66" s="229">
        <v>0</v>
      </c>
      <c r="O66" s="229">
        <v>0</v>
      </c>
      <c r="P66" s="229">
        <v>0</v>
      </c>
      <c r="Q66" s="229">
        <f t="shared" si="16"/>
        <v>0</v>
      </c>
      <c r="R66" s="229">
        <v>0</v>
      </c>
      <c r="S66" s="229">
        <v>0</v>
      </c>
      <c r="T66" s="229">
        <f t="shared" si="14"/>
        <v>0</v>
      </c>
      <c r="U66" s="229">
        <v>0</v>
      </c>
      <c r="V66" s="229">
        <v>0</v>
      </c>
      <c r="W66" s="229">
        <v>0</v>
      </c>
      <c r="X66" s="229">
        <v>0</v>
      </c>
      <c r="Y66" s="229">
        <v>0</v>
      </c>
      <c r="Z66" s="229">
        <v>0</v>
      </c>
      <c r="AA66" s="215"/>
      <c r="AB66" s="215"/>
      <c r="AE66" s="215"/>
      <c r="AF66" s="215"/>
    </row>
    <row r="67" spans="1:32" x14ac:dyDescent="0.2">
      <c r="A67" s="268">
        <v>57</v>
      </c>
      <c r="B67" s="248" t="s">
        <v>466</v>
      </c>
      <c r="C67" s="238" t="s">
        <v>467</v>
      </c>
      <c r="D67" s="229">
        <f t="shared" si="15"/>
        <v>0</v>
      </c>
      <c r="E67" s="229">
        <f t="shared" si="12"/>
        <v>0</v>
      </c>
      <c r="F67" s="229">
        <v>0</v>
      </c>
      <c r="G67" s="229">
        <v>0</v>
      </c>
      <c r="H67" s="229">
        <v>0</v>
      </c>
      <c r="I67" s="229">
        <v>0</v>
      </c>
      <c r="J67" s="229">
        <f t="shared" si="13"/>
        <v>0</v>
      </c>
      <c r="K67" s="229">
        <v>0</v>
      </c>
      <c r="L67" s="229">
        <v>0</v>
      </c>
      <c r="M67" s="229">
        <v>0</v>
      </c>
      <c r="N67" s="229">
        <v>0</v>
      </c>
      <c r="O67" s="229">
        <v>0</v>
      </c>
      <c r="P67" s="229">
        <v>0</v>
      </c>
      <c r="Q67" s="229">
        <f t="shared" si="16"/>
        <v>0</v>
      </c>
      <c r="R67" s="229">
        <v>0</v>
      </c>
      <c r="S67" s="229">
        <v>0</v>
      </c>
      <c r="T67" s="229">
        <f t="shared" si="14"/>
        <v>0</v>
      </c>
      <c r="U67" s="229">
        <v>0</v>
      </c>
      <c r="V67" s="229">
        <v>0</v>
      </c>
      <c r="W67" s="229">
        <v>0</v>
      </c>
      <c r="X67" s="229">
        <v>0</v>
      </c>
      <c r="Y67" s="229">
        <v>0</v>
      </c>
      <c r="Z67" s="229">
        <v>0</v>
      </c>
      <c r="AA67" s="215"/>
      <c r="AB67" s="215"/>
      <c r="AE67" s="215"/>
      <c r="AF67" s="215"/>
    </row>
    <row r="68" spans="1:32" ht="25.5" x14ac:dyDescent="0.2">
      <c r="A68" s="268">
        <v>58</v>
      </c>
      <c r="B68" s="272" t="s">
        <v>99</v>
      </c>
      <c r="C68" s="273" t="s">
        <v>100</v>
      </c>
      <c r="D68" s="229">
        <f t="shared" si="15"/>
        <v>46788</v>
      </c>
      <c r="E68" s="229">
        <f t="shared" si="12"/>
        <v>0</v>
      </c>
      <c r="F68" s="229">
        <v>0</v>
      </c>
      <c r="G68" s="229">
        <v>0</v>
      </c>
      <c r="H68" s="229">
        <v>0</v>
      </c>
      <c r="I68" s="229">
        <v>0</v>
      </c>
      <c r="J68" s="229">
        <f t="shared" si="13"/>
        <v>46137</v>
      </c>
      <c r="K68" s="229">
        <v>0</v>
      </c>
      <c r="L68" s="229">
        <v>2626</v>
      </c>
      <c r="M68" s="229">
        <v>0</v>
      </c>
      <c r="N68" s="229">
        <v>0</v>
      </c>
      <c r="O68" s="229">
        <v>0</v>
      </c>
      <c r="P68" s="229">
        <v>43511</v>
      </c>
      <c r="Q68" s="229">
        <f t="shared" si="16"/>
        <v>0</v>
      </c>
      <c r="R68" s="229">
        <v>0</v>
      </c>
      <c r="S68" s="229">
        <v>0</v>
      </c>
      <c r="T68" s="229">
        <f t="shared" si="14"/>
        <v>651</v>
      </c>
      <c r="U68" s="229">
        <v>0</v>
      </c>
      <c r="V68" s="229">
        <v>0</v>
      </c>
      <c r="W68" s="229">
        <v>651</v>
      </c>
      <c r="X68" s="229">
        <v>0</v>
      </c>
      <c r="Y68" s="229">
        <v>0</v>
      </c>
      <c r="Z68" s="229">
        <v>0</v>
      </c>
      <c r="AA68" s="215"/>
      <c r="AB68" s="215"/>
      <c r="AE68" s="215"/>
      <c r="AF68" s="215"/>
    </row>
    <row r="69" spans="1:32" ht="25.5" x14ac:dyDescent="0.2">
      <c r="A69" s="268">
        <v>59</v>
      </c>
      <c r="B69" s="271" t="s">
        <v>101</v>
      </c>
      <c r="C69" s="273" t="s">
        <v>468</v>
      </c>
      <c r="D69" s="229">
        <f t="shared" si="15"/>
        <v>37376</v>
      </c>
      <c r="E69" s="229">
        <f t="shared" si="12"/>
        <v>0</v>
      </c>
      <c r="F69" s="229">
        <v>0</v>
      </c>
      <c r="G69" s="229">
        <v>0</v>
      </c>
      <c r="H69" s="229">
        <v>0</v>
      </c>
      <c r="I69" s="229">
        <v>0</v>
      </c>
      <c r="J69" s="229">
        <f t="shared" si="13"/>
        <v>37376</v>
      </c>
      <c r="K69" s="229">
        <v>0</v>
      </c>
      <c r="L69" s="229">
        <v>1980</v>
      </c>
      <c r="M69" s="229">
        <v>0</v>
      </c>
      <c r="N69" s="229">
        <v>0</v>
      </c>
      <c r="O69" s="229">
        <v>0</v>
      </c>
      <c r="P69" s="229">
        <v>35396</v>
      </c>
      <c r="Q69" s="229">
        <f t="shared" si="16"/>
        <v>0</v>
      </c>
      <c r="R69" s="229">
        <v>0</v>
      </c>
      <c r="S69" s="229">
        <v>0</v>
      </c>
      <c r="T69" s="229">
        <f t="shared" si="14"/>
        <v>0</v>
      </c>
      <c r="U69" s="229">
        <v>0</v>
      </c>
      <c r="V69" s="229">
        <v>0</v>
      </c>
      <c r="W69" s="229">
        <v>0</v>
      </c>
      <c r="X69" s="229">
        <v>0</v>
      </c>
      <c r="Y69" s="229">
        <v>0</v>
      </c>
      <c r="Z69" s="229">
        <v>0</v>
      </c>
      <c r="AA69" s="215"/>
      <c r="AB69" s="215"/>
      <c r="AE69" s="215"/>
      <c r="AF69" s="215"/>
    </row>
    <row r="70" spans="1:32" ht="25.5" x14ac:dyDescent="0.2">
      <c r="A70" s="268">
        <v>60</v>
      </c>
      <c r="B70" s="274" t="s">
        <v>102</v>
      </c>
      <c r="C70" s="275" t="s">
        <v>103</v>
      </c>
      <c r="D70" s="229">
        <f t="shared" si="15"/>
        <v>57190</v>
      </c>
      <c r="E70" s="229">
        <f t="shared" si="12"/>
        <v>0</v>
      </c>
      <c r="F70" s="229">
        <v>0</v>
      </c>
      <c r="G70" s="229">
        <v>0</v>
      </c>
      <c r="H70" s="229">
        <v>0</v>
      </c>
      <c r="I70" s="229">
        <v>0</v>
      </c>
      <c r="J70" s="229">
        <f t="shared" si="13"/>
        <v>57190</v>
      </c>
      <c r="K70" s="229">
        <v>0</v>
      </c>
      <c r="L70" s="229">
        <v>1400</v>
      </c>
      <c r="M70" s="229">
        <v>0</v>
      </c>
      <c r="N70" s="229">
        <v>2308</v>
      </c>
      <c r="O70" s="229">
        <v>0</v>
      </c>
      <c r="P70" s="229">
        <v>53482</v>
      </c>
      <c r="Q70" s="229">
        <f t="shared" si="16"/>
        <v>0</v>
      </c>
      <c r="R70" s="229">
        <v>0</v>
      </c>
      <c r="S70" s="229">
        <v>0</v>
      </c>
      <c r="T70" s="229">
        <f t="shared" si="14"/>
        <v>0</v>
      </c>
      <c r="U70" s="229">
        <v>0</v>
      </c>
      <c r="V70" s="229">
        <v>0</v>
      </c>
      <c r="W70" s="229">
        <v>0</v>
      </c>
      <c r="X70" s="229">
        <v>0</v>
      </c>
      <c r="Y70" s="229">
        <v>0</v>
      </c>
      <c r="Z70" s="229">
        <v>0</v>
      </c>
      <c r="AA70" s="215"/>
      <c r="AB70" s="215"/>
      <c r="AE70" s="215"/>
      <c r="AF70" s="215"/>
    </row>
    <row r="71" spans="1:32" ht="25.5" x14ac:dyDescent="0.2">
      <c r="A71" s="268">
        <v>61</v>
      </c>
      <c r="B71" s="271" t="s">
        <v>104</v>
      </c>
      <c r="C71" s="273" t="s">
        <v>469</v>
      </c>
      <c r="D71" s="229">
        <f t="shared" si="15"/>
        <v>46249</v>
      </c>
      <c r="E71" s="229">
        <f t="shared" si="12"/>
        <v>0</v>
      </c>
      <c r="F71" s="229">
        <v>0</v>
      </c>
      <c r="G71" s="229">
        <v>0</v>
      </c>
      <c r="H71" s="229">
        <v>0</v>
      </c>
      <c r="I71" s="229">
        <v>0</v>
      </c>
      <c r="J71" s="229">
        <f t="shared" si="13"/>
        <v>46249</v>
      </c>
      <c r="K71" s="229">
        <v>0</v>
      </c>
      <c r="L71" s="229">
        <v>4500</v>
      </c>
      <c r="M71" s="229">
        <v>0</v>
      </c>
      <c r="N71" s="229">
        <v>0</v>
      </c>
      <c r="O71" s="229">
        <v>0</v>
      </c>
      <c r="P71" s="229">
        <v>41749</v>
      </c>
      <c r="Q71" s="229">
        <f t="shared" si="16"/>
        <v>0</v>
      </c>
      <c r="R71" s="229">
        <v>0</v>
      </c>
      <c r="S71" s="229">
        <v>0</v>
      </c>
      <c r="T71" s="229">
        <f t="shared" si="14"/>
        <v>0</v>
      </c>
      <c r="U71" s="229">
        <v>0</v>
      </c>
      <c r="V71" s="229">
        <v>0</v>
      </c>
      <c r="W71" s="229">
        <v>0</v>
      </c>
      <c r="X71" s="229">
        <v>0</v>
      </c>
      <c r="Y71" s="229">
        <v>0</v>
      </c>
      <c r="Z71" s="229">
        <v>0</v>
      </c>
      <c r="AA71" s="215"/>
      <c r="AB71" s="215"/>
      <c r="AE71" s="215"/>
      <c r="AF71" s="215"/>
    </row>
    <row r="72" spans="1:32" ht="25.5" x14ac:dyDescent="0.2">
      <c r="A72" s="268">
        <v>62</v>
      </c>
      <c r="B72" s="272" t="s">
        <v>105</v>
      </c>
      <c r="C72" s="273" t="s">
        <v>106</v>
      </c>
      <c r="D72" s="229">
        <f t="shared" si="15"/>
        <v>20353</v>
      </c>
      <c r="E72" s="229">
        <f t="shared" si="12"/>
        <v>0</v>
      </c>
      <c r="F72" s="229">
        <v>0</v>
      </c>
      <c r="G72" s="229">
        <v>0</v>
      </c>
      <c r="H72" s="229">
        <v>0</v>
      </c>
      <c r="I72" s="229">
        <v>0</v>
      </c>
      <c r="J72" s="229">
        <f t="shared" si="13"/>
        <v>20353</v>
      </c>
      <c r="K72" s="229">
        <v>0</v>
      </c>
      <c r="L72" s="229">
        <v>875</v>
      </c>
      <c r="M72" s="229">
        <v>0</v>
      </c>
      <c r="N72" s="229">
        <v>1800</v>
      </c>
      <c r="O72" s="229">
        <v>0</v>
      </c>
      <c r="P72" s="229">
        <v>17678</v>
      </c>
      <c r="Q72" s="229">
        <f t="shared" si="16"/>
        <v>0</v>
      </c>
      <c r="R72" s="229">
        <v>0</v>
      </c>
      <c r="S72" s="229">
        <v>0</v>
      </c>
      <c r="T72" s="229">
        <f t="shared" si="14"/>
        <v>0</v>
      </c>
      <c r="U72" s="229">
        <v>0</v>
      </c>
      <c r="V72" s="229">
        <v>0</v>
      </c>
      <c r="W72" s="229">
        <v>0</v>
      </c>
      <c r="X72" s="229">
        <v>0</v>
      </c>
      <c r="Y72" s="229">
        <v>0</v>
      </c>
      <c r="Z72" s="229">
        <v>0</v>
      </c>
      <c r="AA72" s="215"/>
      <c r="AB72" s="215"/>
      <c r="AE72" s="215"/>
      <c r="AF72" s="215"/>
    </row>
    <row r="73" spans="1:32" ht="29.25" customHeight="1" x14ac:dyDescent="0.2">
      <c r="A73" s="268">
        <v>63</v>
      </c>
      <c r="B73" s="269" t="s">
        <v>332</v>
      </c>
      <c r="C73" s="273" t="s">
        <v>470</v>
      </c>
      <c r="D73" s="229">
        <f t="shared" si="15"/>
        <v>24364</v>
      </c>
      <c r="E73" s="229">
        <f t="shared" si="12"/>
        <v>24364</v>
      </c>
      <c r="F73" s="229">
        <v>0</v>
      </c>
      <c r="G73" s="229">
        <v>0</v>
      </c>
      <c r="H73" s="229">
        <v>0</v>
      </c>
      <c r="I73" s="229">
        <v>24364</v>
      </c>
      <c r="J73" s="229">
        <f t="shared" si="13"/>
        <v>0</v>
      </c>
      <c r="K73" s="229">
        <v>0</v>
      </c>
      <c r="L73" s="229">
        <v>0</v>
      </c>
      <c r="M73" s="229">
        <v>0</v>
      </c>
      <c r="N73" s="229">
        <v>0</v>
      </c>
      <c r="O73" s="229">
        <v>0</v>
      </c>
      <c r="P73" s="229">
        <v>0</v>
      </c>
      <c r="Q73" s="229">
        <f t="shared" si="16"/>
        <v>0</v>
      </c>
      <c r="R73" s="229">
        <v>0</v>
      </c>
      <c r="S73" s="229">
        <v>0</v>
      </c>
      <c r="T73" s="229">
        <f t="shared" si="14"/>
        <v>0</v>
      </c>
      <c r="U73" s="229">
        <v>0</v>
      </c>
      <c r="V73" s="229">
        <v>0</v>
      </c>
      <c r="W73" s="229">
        <v>0</v>
      </c>
      <c r="X73" s="229">
        <v>0</v>
      </c>
      <c r="Y73" s="229">
        <v>0</v>
      </c>
      <c r="Z73" s="229">
        <v>0</v>
      </c>
      <c r="AA73" s="215"/>
      <c r="AB73" s="215"/>
      <c r="AE73" s="215"/>
      <c r="AF73" s="215"/>
    </row>
    <row r="74" spans="1:32" ht="30" customHeight="1" x14ac:dyDescent="0.2">
      <c r="A74" s="268">
        <v>64</v>
      </c>
      <c r="B74" s="269" t="s">
        <v>334</v>
      </c>
      <c r="C74" s="273" t="s">
        <v>471</v>
      </c>
      <c r="D74" s="229">
        <f t="shared" si="15"/>
        <v>15121</v>
      </c>
      <c r="E74" s="229">
        <f t="shared" si="12"/>
        <v>15121</v>
      </c>
      <c r="F74" s="229">
        <v>0</v>
      </c>
      <c r="G74" s="229">
        <v>0</v>
      </c>
      <c r="H74" s="229">
        <v>0</v>
      </c>
      <c r="I74" s="229">
        <v>15121</v>
      </c>
      <c r="J74" s="229">
        <f t="shared" si="13"/>
        <v>0</v>
      </c>
      <c r="K74" s="229">
        <v>0</v>
      </c>
      <c r="L74" s="229">
        <v>0</v>
      </c>
      <c r="M74" s="229">
        <v>0</v>
      </c>
      <c r="N74" s="229">
        <v>0</v>
      </c>
      <c r="O74" s="229">
        <v>0</v>
      </c>
      <c r="P74" s="229">
        <v>0</v>
      </c>
      <c r="Q74" s="229">
        <f t="shared" si="16"/>
        <v>0</v>
      </c>
      <c r="R74" s="229">
        <v>0</v>
      </c>
      <c r="S74" s="229">
        <v>0</v>
      </c>
      <c r="T74" s="229">
        <f t="shared" si="14"/>
        <v>0</v>
      </c>
      <c r="U74" s="229">
        <v>0</v>
      </c>
      <c r="V74" s="229">
        <v>0</v>
      </c>
      <c r="W74" s="229">
        <v>0</v>
      </c>
      <c r="X74" s="229">
        <v>0</v>
      </c>
      <c r="Y74" s="229">
        <v>0</v>
      </c>
      <c r="Z74" s="229">
        <v>0</v>
      </c>
      <c r="AA74" s="215"/>
      <c r="AB74" s="215"/>
      <c r="AE74" s="215"/>
      <c r="AF74" s="215"/>
    </row>
    <row r="75" spans="1:32" ht="12.75" x14ac:dyDescent="0.2">
      <c r="A75" s="268">
        <v>65</v>
      </c>
      <c r="B75" s="271" t="s">
        <v>107</v>
      </c>
      <c r="C75" s="273" t="s">
        <v>472</v>
      </c>
      <c r="D75" s="229">
        <f t="shared" si="15"/>
        <v>51478</v>
      </c>
      <c r="E75" s="229">
        <f t="shared" si="12"/>
        <v>0</v>
      </c>
      <c r="F75" s="229">
        <v>0</v>
      </c>
      <c r="G75" s="229">
        <v>0</v>
      </c>
      <c r="H75" s="229">
        <v>0</v>
      </c>
      <c r="I75" s="229">
        <v>0</v>
      </c>
      <c r="J75" s="229">
        <f t="shared" si="13"/>
        <v>50014</v>
      </c>
      <c r="K75" s="229">
        <v>1670</v>
      </c>
      <c r="L75" s="229">
        <v>38</v>
      </c>
      <c r="M75" s="229">
        <v>0</v>
      </c>
      <c r="N75" s="229">
        <v>0</v>
      </c>
      <c r="O75" s="229">
        <v>47282</v>
      </c>
      <c r="P75" s="229">
        <v>1024</v>
      </c>
      <c r="Q75" s="229">
        <f t="shared" si="16"/>
        <v>1464</v>
      </c>
      <c r="R75" s="229">
        <v>1025</v>
      </c>
      <c r="S75" s="229">
        <v>439</v>
      </c>
      <c r="T75" s="229">
        <f t="shared" si="14"/>
        <v>0</v>
      </c>
      <c r="U75" s="229">
        <v>0</v>
      </c>
      <c r="V75" s="229">
        <v>0</v>
      </c>
      <c r="W75" s="229">
        <v>0</v>
      </c>
      <c r="X75" s="229">
        <v>0</v>
      </c>
      <c r="Y75" s="229">
        <v>0</v>
      </c>
      <c r="Z75" s="229">
        <v>0</v>
      </c>
      <c r="AA75" s="215"/>
      <c r="AB75" s="215"/>
      <c r="AE75" s="215"/>
      <c r="AF75" s="215"/>
    </row>
    <row r="76" spans="1:32" ht="12.75" x14ac:dyDescent="0.2">
      <c r="A76" s="268">
        <v>66</v>
      </c>
      <c r="B76" s="269" t="s">
        <v>108</v>
      </c>
      <c r="C76" s="273" t="s">
        <v>473</v>
      </c>
      <c r="D76" s="229">
        <f t="shared" si="15"/>
        <v>3625</v>
      </c>
      <c r="E76" s="229">
        <f t="shared" si="12"/>
        <v>0</v>
      </c>
      <c r="F76" s="229">
        <v>0</v>
      </c>
      <c r="G76" s="229">
        <v>0</v>
      </c>
      <c r="H76" s="229">
        <v>0</v>
      </c>
      <c r="I76" s="229">
        <v>0</v>
      </c>
      <c r="J76" s="229">
        <f t="shared" si="13"/>
        <v>3625</v>
      </c>
      <c r="K76" s="229">
        <v>2075</v>
      </c>
      <c r="L76" s="229">
        <v>0</v>
      </c>
      <c r="M76" s="229">
        <v>600</v>
      </c>
      <c r="N76" s="229">
        <v>0</v>
      </c>
      <c r="O76" s="229">
        <v>950</v>
      </c>
      <c r="P76" s="229">
        <v>0</v>
      </c>
      <c r="Q76" s="229">
        <f t="shared" si="16"/>
        <v>0</v>
      </c>
      <c r="R76" s="229">
        <v>0</v>
      </c>
      <c r="S76" s="229">
        <v>0</v>
      </c>
      <c r="T76" s="229">
        <f t="shared" si="14"/>
        <v>0</v>
      </c>
      <c r="U76" s="229">
        <v>0</v>
      </c>
      <c r="V76" s="229">
        <v>0</v>
      </c>
      <c r="W76" s="229">
        <v>0</v>
      </c>
      <c r="X76" s="229">
        <v>0</v>
      </c>
      <c r="Y76" s="229">
        <v>0</v>
      </c>
      <c r="Z76" s="229">
        <v>0</v>
      </c>
      <c r="AA76" s="215"/>
      <c r="AB76" s="215"/>
      <c r="AE76" s="215"/>
      <c r="AF76" s="215"/>
    </row>
    <row r="77" spans="1:32" ht="12.75" x14ac:dyDescent="0.2">
      <c r="A77" s="268">
        <v>67</v>
      </c>
      <c r="B77" s="271" t="s">
        <v>109</v>
      </c>
      <c r="C77" s="273" t="s">
        <v>474</v>
      </c>
      <c r="D77" s="229">
        <f t="shared" si="15"/>
        <v>20738</v>
      </c>
      <c r="E77" s="229">
        <f t="shared" si="12"/>
        <v>0</v>
      </c>
      <c r="F77" s="229">
        <v>0</v>
      </c>
      <c r="G77" s="229">
        <v>0</v>
      </c>
      <c r="H77" s="229">
        <v>0</v>
      </c>
      <c r="I77" s="229">
        <v>0</v>
      </c>
      <c r="J77" s="229">
        <f t="shared" si="13"/>
        <v>20440</v>
      </c>
      <c r="K77" s="229">
        <v>7377</v>
      </c>
      <c r="L77" s="229">
        <v>0</v>
      </c>
      <c r="M77" s="229">
        <v>2156</v>
      </c>
      <c r="N77" s="229">
        <v>0</v>
      </c>
      <c r="O77" s="229">
        <v>10907</v>
      </c>
      <c r="P77" s="229">
        <v>0</v>
      </c>
      <c r="Q77" s="229">
        <f t="shared" si="16"/>
        <v>0</v>
      </c>
      <c r="R77" s="229">
        <v>0</v>
      </c>
      <c r="S77" s="229">
        <v>0</v>
      </c>
      <c r="T77" s="229">
        <f t="shared" si="14"/>
        <v>298</v>
      </c>
      <c r="U77" s="229">
        <v>298</v>
      </c>
      <c r="V77" s="229">
        <v>298</v>
      </c>
      <c r="W77" s="229">
        <v>0</v>
      </c>
      <c r="X77" s="229">
        <v>0</v>
      </c>
      <c r="Y77" s="229">
        <v>0</v>
      </c>
      <c r="Z77" s="229">
        <v>0</v>
      </c>
      <c r="AA77" s="215"/>
      <c r="AB77" s="215"/>
      <c r="AE77" s="215"/>
      <c r="AF77" s="215"/>
    </row>
    <row r="78" spans="1:32" ht="12.75" x14ac:dyDescent="0.2">
      <c r="A78" s="268">
        <v>68</v>
      </c>
      <c r="B78" s="271" t="s">
        <v>110</v>
      </c>
      <c r="C78" s="273" t="s">
        <v>475</v>
      </c>
      <c r="D78" s="229">
        <f t="shared" si="15"/>
        <v>10103</v>
      </c>
      <c r="E78" s="229">
        <f t="shared" si="12"/>
        <v>0</v>
      </c>
      <c r="F78" s="229">
        <v>0</v>
      </c>
      <c r="G78" s="229">
        <v>0</v>
      </c>
      <c r="H78" s="229">
        <v>0</v>
      </c>
      <c r="I78" s="229">
        <v>0</v>
      </c>
      <c r="J78" s="229">
        <f t="shared" si="13"/>
        <v>10103</v>
      </c>
      <c r="K78" s="229">
        <v>93</v>
      </c>
      <c r="L78" s="229">
        <v>0</v>
      </c>
      <c r="M78" s="229">
        <v>0</v>
      </c>
      <c r="N78" s="229">
        <v>0</v>
      </c>
      <c r="O78" s="229">
        <v>10010</v>
      </c>
      <c r="P78" s="229">
        <v>0</v>
      </c>
      <c r="Q78" s="229">
        <f t="shared" si="16"/>
        <v>0</v>
      </c>
      <c r="R78" s="229">
        <v>0</v>
      </c>
      <c r="S78" s="229">
        <v>0</v>
      </c>
      <c r="T78" s="229">
        <f t="shared" si="14"/>
        <v>0</v>
      </c>
      <c r="U78" s="229">
        <v>0</v>
      </c>
      <c r="V78" s="229">
        <v>0</v>
      </c>
      <c r="W78" s="229">
        <v>0</v>
      </c>
      <c r="X78" s="229">
        <v>0</v>
      </c>
      <c r="Y78" s="229">
        <v>0</v>
      </c>
      <c r="Z78" s="229">
        <v>0</v>
      </c>
      <c r="AA78" s="215"/>
      <c r="AB78" s="215"/>
      <c r="AE78" s="215"/>
      <c r="AF78" s="215"/>
    </row>
    <row r="79" spans="1:32" ht="12.75" x14ac:dyDescent="0.2">
      <c r="A79" s="268">
        <v>69</v>
      </c>
      <c r="B79" s="271" t="s">
        <v>111</v>
      </c>
      <c r="C79" s="273" t="s">
        <v>476</v>
      </c>
      <c r="D79" s="229">
        <f t="shared" si="15"/>
        <v>64880</v>
      </c>
      <c r="E79" s="229">
        <f t="shared" si="12"/>
        <v>0</v>
      </c>
      <c r="F79" s="229">
        <v>0</v>
      </c>
      <c r="G79" s="229">
        <v>0</v>
      </c>
      <c r="H79" s="229">
        <v>0</v>
      </c>
      <c r="I79" s="229">
        <v>0</v>
      </c>
      <c r="J79" s="229">
        <f t="shared" si="13"/>
        <v>63416</v>
      </c>
      <c r="K79" s="229">
        <v>19156</v>
      </c>
      <c r="L79" s="229">
        <v>0</v>
      </c>
      <c r="M79" s="229">
        <v>0</v>
      </c>
      <c r="N79" s="229">
        <v>0</v>
      </c>
      <c r="O79" s="229">
        <v>44260</v>
      </c>
      <c r="P79" s="229">
        <v>0</v>
      </c>
      <c r="Q79" s="229">
        <f t="shared" si="16"/>
        <v>1464</v>
      </c>
      <c r="R79" s="229">
        <v>1025</v>
      </c>
      <c r="S79" s="229">
        <v>439</v>
      </c>
      <c r="T79" s="229">
        <f t="shared" si="14"/>
        <v>0</v>
      </c>
      <c r="U79" s="229">
        <v>0</v>
      </c>
      <c r="V79" s="229">
        <v>0</v>
      </c>
      <c r="W79" s="229">
        <v>0</v>
      </c>
      <c r="X79" s="229">
        <v>0</v>
      </c>
      <c r="Y79" s="229">
        <v>0</v>
      </c>
      <c r="Z79" s="229">
        <v>0</v>
      </c>
      <c r="AA79" s="215"/>
      <c r="AB79" s="215"/>
      <c r="AE79" s="215"/>
      <c r="AF79" s="215"/>
    </row>
    <row r="80" spans="1:32" ht="12.75" x14ac:dyDescent="0.2">
      <c r="A80" s="268">
        <v>70</v>
      </c>
      <c r="B80" s="272" t="s">
        <v>112</v>
      </c>
      <c r="C80" s="273" t="s">
        <v>113</v>
      </c>
      <c r="D80" s="229">
        <f t="shared" si="15"/>
        <v>17841</v>
      </c>
      <c r="E80" s="229">
        <f t="shared" si="12"/>
        <v>0</v>
      </c>
      <c r="F80" s="229">
        <v>0</v>
      </c>
      <c r="G80" s="229">
        <v>0</v>
      </c>
      <c r="H80" s="229">
        <v>0</v>
      </c>
      <c r="I80" s="229">
        <v>0</v>
      </c>
      <c r="J80" s="229">
        <f t="shared" si="13"/>
        <v>16377</v>
      </c>
      <c r="K80" s="229">
        <v>3377</v>
      </c>
      <c r="L80" s="229">
        <v>0</v>
      </c>
      <c r="M80" s="229">
        <v>0</v>
      </c>
      <c r="N80" s="229">
        <v>0</v>
      </c>
      <c r="O80" s="229">
        <v>13000</v>
      </c>
      <c r="P80" s="229">
        <v>0</v>
      </c>
      <c r="Q80" s="229">
        <f t="shared" si="16"/>
        <v>1464</v>
      </c>
      <c r="R80" s="229">
        <v>1025</v>
      </c>
      <c r="S80" s="229">
        <v>439</v>
      </c>
      <c r="T80" s="229">
        <f t="shared" si="14"/>
        <v>0</v>
      </c>
      <c r="U80" s="229">
        <v>0</v>
      </c>
      <c r="V80" s="229">
        <v>0</v>
      </c>
      <c r="W80" s="229">
        <v>0</v>
      </c>
      <c r="X80" s="229">
        <v>0</v>
      </c>
      <c r="Y80" s="229">
        <v>0</v>
      </c>
      <c r="Z80" s="229">
        <v>0</v>
      </c>
      <c r="AA80" s="215"/>
      <c r="AB80" s="215"/>
      <c r="AE80" s="215"/>
      <c r="AF80" s="215"/>
    </row>
    <row r="81" spans="1:32" ht="12.75" x14ac:dyDescent="0.2">
      <c r="A81" s="268">
        <v>71</v>
      </c>
      <c r="B81" s="271" t="s">
        <v>114</v>
      </c>
      <c r="C81" s="270" t="s">
        <v>115</v>
      </c>
      <c r="D81" s="229">
        <f t="shared" si="15"/>
        <v>20972</v>
      </c>
      <c r="E81" s="229">
        <f t="shared" si="12"/>
        <v>0</v>
      </c>
      <c r="F81" s="229">
        <v>0</v>
      </c>
      <c r="G81" s="229">
        <v>0</v>
      </c>
      <c r="H81" s="229">
        <v>0</v>
      </c>
      <c r="I81" s="229">
        <v>0</v>
      </c>
      <c r="J81" s="229">
        <f t="shared" si="13"/>
        <v>15254</v>
      </c>
      <c r="K81" s="229">
        <v>4966</v>
      </c>
      <c r="L81" s="229">
        <v>0</v>
      </c>
      <c r="M81" s="229">
        <v>0</v>
      </c>
      <c r="N81" s="229">
        <v>0</v>
      </c>
      <c r="O81" s="229">
        <v>10288</v>
      </c>
      <c r="P81" s="229">
        <v>0</v>
      </c>
      <c r="Q81" s="229">
        <f t="shared" si="16"/>
        <v>1464</v>
      </c>
      <c r="R81" s="229">
        <v>1025</v>
      </c>
      <c r="S81" s="229">
        <v>439</v>
      </c>
      <c r="T81" s="229">
        <f t="shared" si="14"/>
        <v>4254</v>
      </c>
      <c r="U81" s="229">
        <v>4254</v>
      </c>
      <c r="V81" s="229">
        <v>3848</v>
      </c>
      <c r="W81" s="229">
        <v>0</v>
      </c>
      <c r="X81" s="229">
        <v>0</v>
      </c>
      <c r="Y81" s="229">
        <v>0</v>
      </c>
      <c r="Z81" s="229">
        <v>0</v>
      </c>
      <c r="AA81" s="215"/>
      <c r="AB81" s="215"/>
      <c r="AE81" s="215"/>
      <c r="AF81" s="215"/>
    </row>
    <row r="82" spans="1:32" ht="12.75" x14ac:dyDescent="0.2">
      <c r="A82" s="268">
        <v>72</v>
      </c>
      <c r="B82" s="272" t="s">
        <v>116</v>
      </c>
      <c r="C82" s="273" t="s">
        <v>117</v>
      </c>
      <c r="D82" s="229">
        <f t="shared" si="15"/>
        <v>7459</v>
      </c>
      <c r="E82" s="229">
        <f t="shared" ref="E82:E158" si="17">F82+G82+H82+I82</f>
        <v>0</v>
      </c>
      <c r="F82" s="229">
        <v>0</v>
      </c>
      <c r="G82" s="229">
        <v>0</v>
      </c>
      <c r="H82" s="229">
        <v>0</v>
      </c>
      <c r="I82" s="229">
        <v>0</v>
      </c>
      <c r="J82" s="229">
        <f t="shared" ref="J82:J156" si="18">O82+P82+N82+M82+L82+K82</f>
        <v>7459</v>
      </c>
      <c r="K82" s="229">
        <v>1667</v>
      </c>
      <c r="L82" s="229">
        <v>0</v>
      </c>
      <c r="M82" s="229">
        <v>0</v>
      </c>
      <c r="N82" s="229">
        <v>0</v>
      </c>
      <c r="O82" s="229">
        <v>5792</v>
      </c>
      <c r="P82" s="229">
        <v>0</v>
      </c>
      <c r="Q82" s="229">
        <f t="shared" si="16"/>
        <v>0</v>
      </c>
      <c r="R82" s="229">
        <v>0</v>
      </c>
      <c r="S82" s="229">
        <v>0</v>
      </c>
      <c r="T82" s="229">
        <f t="shared" ref="T82:T158" si="19">U82+W82+X82+Y82</f>
        <v>0</v>
      </c>
      <c r="U82" s="229">
        <v>0</v>
      </c>
      <c r="V82" s="229">
        <v>0</v>
      </c>
      <c r="W82" s="229">
        <v>0</v>
      </c>
      <c r="X82" s="229">
        <v>0</v>
      </c>
      <c r="Y82" s="229">
        <v>0</v>
      </c>
      <c r="Z82" s="229">
        <v>0</v>
      </c>
      <c r="AA82" s="215"/>
      <c r="AB82" s="215"/>
      <c r="AE82" s="215"/>
      <c r="AF82" s="215"/>
    </row>
    <row r="83" spans="1:32" ht="12.75" x14ac:dyDescent="0.2">
      <c r="A83" s="268">
        <v>73</v>
      </c>
      <c r="B83" s="271" t="s">
        <v>118</v>
      </c>
      <c r="C83" s="273" t="s">
        <v>477</v>
      </c>
      <c r="D83" s="229">
        <f t="shared" ref="D83:D158" si="20">E83+J83+Q83+T83+Z83</f>
        <v>60023</v>
      </c>
      <c r="E83" s="229">
        <f t="shared" si="17"/>
        <v>0</v>
      </c>
      <c r="F83" s="229">
        <v>0</v>
      </c>
      <c r="G83" s="229">
        <v>0</v>
      </c>
      <c r="H83" s="229">
        <v>0</v>
      </c>
      <c r="I83" s="229">
        <v>0</v>
      </c>
      <c r="J83" s="229">
        <f t="shared" si="18"/>
        <v>58559</v>
      </c>
      <c r="K83" s="229">
        <v>11750</v>
      </c>
      <c r="L83" s="229">
        <v>0</v>
      </c>
      <c r="M83" s="229">
        <v>1500</v>
      </c>
      <c r="N83" s="229">
        <v>0</v>
      </c>
      <c r="O83" s="229">
        <v>45309</v>
      </c>
      <c r="P83" s="229">
        <v>0</v>
      </c>
      <c r="Q83" s="229">
        <f t="shared" si="16"/>
        <v>1464</v>
      </c>
      <c r="R83" s="229">
        <v>1025</v>
      </c>
      <c r="S83" s="229">
        <v>439</v>
      </c>
      <c r="T83" s="229">
        <f t="shared" si="19"/>
        <v>0</v>
      </c>
      <c r="U83" s="229">
        <v>0</v>
      </c>
      <c r="V83" s="229">
        <v>0</v>
      </c>
      <c r="W83" s="229">
        <v>0</v>
      </c>
      <c r="X83" s="229">
        <v>0</v>
      </c>
      <c r="Y83" s="229">
        <v>0</v>
      </c>
      <c r="Z83" s="229">
        <v>0</v>
      </c>
      <c r="AA83" s="215"/>
      <c r="AB83" s="215"/>
      <c r="AE83" s="215"/>
      <c r="AF83" s="215"/>
    </row>
    <row r="84" spans="1:32" ht="12.75" x14ac:dyDescent="0.2">
      <c r="A84" s="268">
        <v>74</v>
      </c>
      <c r="B84" s="272" t="s">
        <v>119</v>
      </c>
      <c r="C84" s="273" t="s">
        <v>120</v>
      </c>
      <c r="D84" s="229">
        <f t="shared" si="20"/>
        <v>11083</v>
      </c>
      <c r="E84" s="229">
        <f t="shared" si="17"/>
        <v>0</v>
      </c>
      <c r="F84" s="229">
        <v>0</v>
      </c>
      <c r="G84" s="229">
        <v>0</v>
      </c>
      <c r="H84" s="229">
        <v>0</v>
      </c>
      <c r="I84" s="229">
        <v>0</v>
      </c>
      <c r="J84" s="229">
        <f t="shared" si="18"/>
        <v>11083</v>
      </c>
      <c r="K84" s="229">
        <v>2083</v>
      </c>
      <c r="L84" s="229">
        <v>0</v>
      </c>
      <c r="M84" s="229">
        <v>0</v>
      </c>
      <c r="N84" s="229">
        <v>0</v>
      </c>
      <c r="O84" s="229">
        <v>9000</v>
      </c>
      <c r="P84" s="229">
        <v>0</v>
      </c>
      <c r="Q84" s="229">
        <f t="shared" ref="Q84:Q158" si="21">R84+S84</f>
        <v>0</v>
      </c>
      <c r="R84" s="229">
        <v>0</v>
      </c>
      <c r="S84" s="229">
        <v>0</v>
      </c>
      <c r="T84" s="229">
        <f t="shared" si="19"/>
        <v>0</v>
      </c>
      <c r="U84" s="229">
        <v>0</v>
      </c>
      <c r="V84" s="229">
        <v>0</v>
      </c>
      <c r="W84" s="229">
        <v>0</v>
      </c>
      <c r="X84" s="229">
        <v>0</v>
      </c>
      <c r="Y84" s="229">
        <v>0</v>
      </c>
      <c r="Z84" s="229">
        <v>0</v>
      </c>
      <c r="AA84" s="215"/>
      <c r="AB84" s="215"/>
      <c r="AE84" s="215"/>
      <c r="AF84" s="215"/>
    </row>
    <row r="85" spans="1:32" ht="12.75" x14ac:dyDescent="0.2">
      <c r="A85" s="268">
        <v>75</v>
      </c>
      <c r="B85" s="272" t="s">
        <v>121</v>
      </c>
      <c r="C85" s="273" t="s">
        <v>122</v>
      </c>
      <c r="D85" s="229">
        <f t="shared" si="20"/>
        <v>15248</v>
      </c>
      <c r="E85" s="229">
        <f t="shared" si="17"/>
        <v>0</v>
      </c>
      <c r="F85" s="229">
        <v>0</v>
      </c>
      <c r="G85" s="229">
        <v>0</v>
      </c>
      <c r="H85" s="229">
        <v>0</v>
      </c>
      <c r="I85" s="229">
        <v>0</v>
      </c>
      <c r="J85" s="229">
        <f t="shared" si="18"/>
        <v>15248</v>
      </c>
      <c r="K85" s="229">
        <v>7900</v>
      </c>
      <c r="L85" s="229">
        <v>0</v>
      </c>
      <c r="M85" s="229">
        <v>0</v>
      </c>
      <c r="N85" s="229">
        <v>0</v>
      </c>
      <c r="O85" s="229">
        <v>7348</v>
      </c>
      <c r="P85" s="229">
        <v>0</v>
      </c>
      <c r="Q85" s="229">
        <f t="shared" si="21"/>
        <v>0</v>
      </c>
      <c r="R85" s="229">
        <v>0</v>
      </c>
      <c r="S85" s="229">
        <v>0</v>
      </c>
      <c r="T85" s="229">
        <f t="shared" si="19"/>
        <v>0</v>
      </c>
      <c r="U85" s="229">
        <v>0</v>
      </c>
      <c r="V85" s="229">
        <v>0</v>
      </c>
      <c r="W85" s="229">
        <v>0</v>
      </c>
      <c r="X85" s="229">
        <v>0</v>
      </c>
      <c r="Y85" s="229">
        <v>0</v>
      </c>
      <c r="Z85" s="229">
        <v>0</v>
      </c>
      <c r="AA85" s="215"/>
      <c r="AB85" s="215"/>
      <c r="AE85" s="215"/>
      <c r="AF85" s="215"/>
    </row>
    <row r="86" spans="1:32" ht="25.5" x14ac:dyDescent="0.2">
      <c r="A86" s="268">
        <v>76</v>
      </c>
      <c r="B86" s="280" t="s">
        <v>347</v>
      </c>
      <c r="C86" s="279" t="s">
        <v>478</v>
      </c>
      <c r="D86" s="229">
        <f t="shared" si="20"/>
        <v>2456</v>
      </c>
      <c r="E86" s="229">
        <f t="shared" si="17"/>
        <v>2456</v>
      </c>
      <c r="F86" s="229">
        <v>0</v>
      </c>
      <c r="G86" s="229">
        <v>0</v>
      </c>
      <c r="H86" s="229">
        <v>2456</v>
      </c>
      <c r="I86" s="229">
        <v>0</v>
      </c>
      <c r="J86" s="229">
        <f t="shared" si="18"/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f t="shared" si="21"/>
        <v>0</v>
      </c>
      <c r="R86" s="229">
        <v>0</v>
      </c>
      <c r="S86" s="229">
        <v>0</v>
      </c>
      <c r="T86" s="229">
        <f t="shared" si="19"/>
        <v>0</v>
      </c>
      <c r="U86" s="229">
        <v>0</v>
      </c>
      <c r="V86" s="229">
        <v>0</v>
      </c>
      <c r="W86" s="229">
        <v>0</v>
      </c>
      <c r="X86" s="229">
        <v>0</v>
      </c>
      <c r="Y86" s="229">
        <v>0</v>
      </c>
      <c r="Z86" s="229">
        <v>0</v>
      </c>
      <c r="AA86" s="215"/>
      <c r="AB86" s="215"/>
      <c r="AE86" s="215"/>
      <c r="AF86" s="215"/>
    </row>
    <row r="87" spans="1:32" ht="25.5" x14ac:dyDescent="0.2">
      <c r="A87" s="268">
        <v>77</v>
      </c>
      <c r="B87" s="269" t="s">
        <v>349</v>
      </c>
      <c r="C87" s="273" t="s">
        <v>479</v>
      </c>
      <c r="D87" s="229">
        <f t="shared" si="20"/>
        <v>3636</v>
      </c>
      <c r="E87" s="229">
        <f t="shared" si="17"/>
        <v>3636</v>
      </c>
      <c r="F87" s="229">
        <v>0</v>
      </c>
      <c r="G87" s="229">
        <v>0</v>
      </c>
      <c r="H87" s="229">
        <v>3636</v>
      </c>
      <c r="I87" s="229">
        <v>0</v>
      </c>
      <c r="J87" s="229">
        <f t="shared" si="18"/>
        <v>0</v>
      </c>
      <c r="K87" s="229">
        <v>0</v>
      </c>
      <c r="L87" s="229">
        <v>0</v>
      </c>
      <c r="M87" s="229">
        <v>0</v>
      </c>
      <c r="N87" s="229">
        <v>0</v>
      </c>
      <c r="O87" s="229">
        <v>0</v>
      </c>
      <c r="P87" s="229">
        <v>0</v>
      </c>
      <c r="Q87" s="229">
        <f t="shared" si="21"/>
        <v>0</v>
      </c>
      <c r="R87" s="229">
        <v>0</v>
      </c>
      <c r="S87" s="229">
        <v>0</v>
      </c>
      <c r="T87" s="229">
        <f t="shared" si="19"/>
        <v>0</v>
      </c>
      <c r="U87" s="229">
        <v>0</v>
      </c>
      <c r="V87" s="229">
        <v>0</v>
      </c>
      <c r="W87" s="229">
        <v>0</v>
      </c>
      <c r="X87" s="229">
        <v>0</v>
      </c>
      <c r="Y87" s="229">
        <v>0</v>
      </c>
      <c r="Z87" s="229">
        <v>0</v>
      </c>
      <c r="AA87" s="215"/>
      <c r="AB87" s="215"/>
      <c r="AE87" s="215"/>
      <c r="AF87" s="215"/>
    </row>
    <row r="88" spans="1:32" ht="25.5" x14ac:dyDescent="0.2">
      <c r="A88" s="268">
        <v>78</v>
      </c>
      <c r="B88" s="271" t="s">
        <v>351</v>
      </c>
      <c r="C88" s="273" t="s">
        <v>480</v>
      </c>
      <c r="D88" s="229">
        <f t="shared" si="20"/>
        <v>3977</v>
      </c>
      <c r="E88" s="229">
        <f t="shared" si="17"/>
        <v>3977</v>
      </c>
      <c r="F88" s="229">
        <v>0</v>
      </c>
      <c r="G88" s="229">
        <v>0</v>
      </c>
      <c r="H88" s="229">
        <v>3977</v>
      </c>
      <c r="I88" s="229">
        <v>0</v>
      </c>
      <c r="J88" s="229">
        <f t="shared" si="18"/>
        <v>0</v>
      </c>
      <c r="K88" s="229">
        <v>0</v>
      </c>
      <c r="L88" s="229">
        <v>0</v>
      </c>
      <c r="M88" s="229">
        <v>0</v>
      </c>
      <c r="N88" s="229">
        <v>0</v>
      </c>
      <c r="O88" s="229">
        <v>0</v>
      </c>
      <c r="P88" s="229">
        <v>0</v>
      </c>
      <c r="Q88" s="229">
        <f t="shared" si="21"/>
        <v>0</v>
      </c>
      <c r="R88" s="229">
        <v>0</v>
      </c>
      <c r="S88" s="229">
        <v>0</v>
      </c>
      <c r="T88" s="229">
        <f t="shared" si="19"/>
        <v>0</v>
      </c>
      <c r="U88" s="229">
        <v>0</v>
      </c>
      <c r="V88" s="229">
        <v>0</v>
      </c>
      <c r="W88" s="229">
        <v>0</v>
      </c>
      <c r="X88" s="229">
        <v>0</v>
      </c>
      <c r="Y88" s="229">
        <v>0</v>
      </c>
      <c r="Z88" s="229">
        <v>0</v>
      </c>
      <c r="AA88" s="215"/>
      <c r="AB88" s="215"/>
      <c r="AE88" s="215"/>
      <c r="AF88" s="215"/>
    </row>
    <row r="89" spans="1:32" ht="25.5" x14ac:dyDescent="0.2">
      <c r="A89" s="268">
        <v>79</v>
      </c>
      <c r="B89" s="271" t="s">
        <v>353</v>
      </c>
      <c r="C89" s="273" t="s">
        <v>481</v>
      </c>
      <c r="D89" s="229">
        <f t="shared" si="20"/>
        <v>3322</v>
      </c>
      <c r="E89" s="229">
        <f t="shared" si="17"/>
        <v>3322</v>
      </c>
      <c r="F89" s="229">
        <v>0</v>
      </c>
      <c r="G89" s="229">
        <v>0</v>
      </c>
      <c r="H89" s="229">
        <v>3322</v>
      </c>
      <c r="I89" s="229">
        <v>0</v>
      </c>
      <c r="J89" s="229">
        <f t="shared" si="18"/>
        <v>0</v>
      </c>
      <c r="K89" s="229">
        <v>0</v>
      </c>
      <c r="L89" s="229">
        <v>0</v>
      </c>
      <c r="M89" s="229">
        <v>0</v>
      </c>
      <c r="N89" s="229">
        <v>0</v>
      </c>
      <c r="O89" s="229">
        <v>0</v>
      </c>
      <c r="P89" s="229">
        <v>0</v>
      </c>
      <c r="Q89" s="229">
        <f t="shared" si="21"/>
        <v>0</v>
      </c>
      <c r="R89" s="229">
        <v>0</v>
      </c>
      <c r="S89" s="229">
        <v>0</v>
      </c>
      <c r="T89" s="229">
        <f t="shared" si="19"/>
        <v>0</v>
      </c>
      <c r="U89" s="229">
        <v>0</v>
      </c>
      <c r="V89" s="229">
        <v>0</v>
      </c>
      <c r="W89" s="229">
        <v>0</v>
      </c>
      <c r="X89" s="229">
        <v>0</v>
      </c>
      <c r="Y89" s="229">
        <v>0</v>
      </c>
      <c r="Z89" s="229">
        <v>0</v>
      </c>
      <c r="AA89" s="215"/>
      <c r="AB89" s="215"/>
      <c r="AE89" s="215"/>
      <c r="AF89" s="215"/>
    </row>
    <row r="90" spans="1:32" ht="25.5" x14ac:dyDescent="0.2">
      <c r="A90" s="268">
        <v>80</v>
      </c>
      <c r="B90" s="269" t="s">
        <v>355</v>
      </c>
      <c r="C90" s="273" t="s">
        <v>482</v>
      </c>
      <c r="D90" s="229">
        <f t="shared" si="20"/>
        <v>10950</v>
      </c>
      <c r="E90" s="229">
        <f t="shared" si="17"/>
        <v>10950</v>
      </c>
      <c r="F90" s="229">
        <v>0</v>
      </c>
      <c r="G90" s="229">
        <v>0</v>
      </c>
      <c r="H90" s="229">
        <v>3963</v>
      </c>
      <c r="I90" s="229">
        <v>6987</v>
      </c>
      <c r="J90" s="229">
        <f t="shared" si="18"/>
        <v>0</v>
      </c>
      <c r="K90" s="229">
        <v>0</v>
      </c>
      <c r="L90" s="229">
        <v>0</v>
      </c>
      <c r="M90" s="229">
        <v>0</v>
      </c>
      <c r="N90" s="229">
        <v>0</v>
      </c>
      <c r="O90" s="229">
        <v>0</v>
      </c>
      <c r="P90" s="229">
        <v>0</v>
      </c>
      <c r="Q90" s="229">
        <f t="shared" si="21"/>
        <v>0</v>
      </c>
      <c r="R90" s="229">
        <v>0</v>
      </c>
      <c r="S90" s="229">
        <v>0</v>
      </c>
      <c r="T90" s="229">
        <f t="shared" si="19"/>
        <v>0</v>
      </c>
      <c r="U90" s="229">
        <v>0</v>
      </c>
      <c r="V90" s="229">
        <v>0</v>
      </c>
      <c r="W90" s="229">
        <v>0</v>
      </c>
      <c r="X90" s="229">
        <v>0</v>
      </c>
      <c r="Y90" s="229">
        <v>0</v>
      </c>
      <c r="Z90" s="229">
        <v>0</v>
      </c>
      <c r="AA90" s="215"/>
      <c r="AB90" s="215"/>
      <c r="AE90" s="215"/>
      <c r="AF90" s="215"/>
    </row>
    <row r="91" spans="1:32" ht="25.5" x14ac:dyDescent="0.2">
      <c r="A91" s="268">
        <v>81</v>
      </c>
      <c r="B91" s="269" t="s">
        <v>357</v>
      </c>
      <c r="C91" s="273" t="s">
        <v>483</v>
      </c>
      <c r="D91" s="229">
        <f t="shared" si="20"/>
        <v>2748</v>
      </c>
      <c r="E91" s="229">
        <f t="shared" si="17"/>
        <v>2748</v>
      </c>
      <c r="F91" s="229">
        <v>0</v>
      </c>
      <c r="G91" s="229">
        <v>0</v>
      </c>
      <c r="H91" s="229">
        <v>2748</v>
      </c>
      <c r="I91" s="229">
        <v>0</v>
      </c>
      <c r="J91" s="229">
        <f t="shared" si="18"/>
        <v>0</v>
      </c>
      <c r="K91" s="229">
        <v>0</v>
      </c>
      <c r="L91" s="229">
        <v>0</v>
      </c>
      <c r="M91" s="229">
        <v>0</v>
      </c>
      <c r="N91" s="229">
        <v>0</v>
      </c>
      <c r="O91" s="229">
        <v>0</v>
      </c>
      <c r="P91" s="229">
        <v>0</v>
      </c>
      <c r="Q91" s="229">
        <f t="shared" si="21"/>
        <v>0</v>
      </c>
      <c r="R91" s="229">
        <v>0</v>
      </c>
      <c r="S91" s="229">
        <v>0</v>
      </c>
      <c r="T91" s="229">
        <f t="shared" si="19"/>
        <v>0</v>
      </c>
      <c r="U91" s="229">
        <v>0</v>
      </c>
      <c r="V91" s="229">
        <v>0</v>
      </c>
      <c r="W91" s="229">
        <v>0</v>
      </c>
      <c r="X91" s="229">
        <v>0</v>
      </c>
      <c r="Y91" s="229">
        <v>0</v>
      </c>
      <c r="Z91" s="229">
        <v>0</v>
      </c>
      <c r="AA91" s="215"/>
      <c r="AB91" s="215"/>
      <c r="AE91" s="215"/>
      <c r="AF91" s="215"/>
    </row>
    <row r="92" spans="1:32" ht="25.5" x14ac:dyDescent="0.2">
      <c r="A92" s="268">
        <v>82</v>
      </c>
      <c r="B92" s="269" t="s">
        <v>359</v>
      </c>
      <c r="C92" s="273" t="s">
        <v>484</v>
      </c>
      <c r="D92" s="229">
        <f t="shared" si="20"/>
        <v>2774</v>
      </c>
      <c r="E92" s="229">
        <f t="shared" si="17"/>
        <v>2774</v>
      </c>
      <c r="F92" s="229">
        <v>0</v>
      </c>
      <c r="G92" s="229">
        <v>0</v>
      </c>
      <c r="H92" s="229">
        <v>2774</v>
      </c>
      <c r="I92" s="229">
        <v>0</v>
      </c>
      <c r="J92" s="229">
        <f t="shared" si="18"/>
        <v>0</v>
      </c>
      <c r="K92" s="229">
        <v>0</v>
      </c>
      <c r="L92" s="229">
        <v>0</v>
      </c>
      <c r="M92" s="229">
        <v>0</v>
      </c>
      <c r="N92" s="229">
        <v>0</v>
      </c>
      <c r="O92" s="229">
        <v>0</v>
      </c>
      <c r="P92" s="229">
        <v>0</v>
      </c>
      <c r="Q92" s="229">
        <f t="shared" si="21"/>
        <v>0</v>
      </c>
      <c r="R92" s="229">
        <v>0</v>
      </c>
      <c r="S92" s="229">
        <v>0</v>
      </c>
      <c r="T92" s="229">
        <f t="shared" si="19"/>
        <v>0</v>
      </c>
      <c r="U92" s="229">
        <v>0</v>
      </c>
      <c r="V92" s="229">
        <v>0</v>
      </c>
      <c r="W92" s="229">
        <v>0</v>
      </c>
      <c r="X92" s="229">
        <v>0</v>
      </c>
      <c r="Y92" s="229">
        <v>0</v>
      </c>
      <c r="Z92" s="229">
        <v>0</v>
      </c>
      <c r="AA92" s="215"/>
      <c r="AB92" s="215"/>
      <c r="AE92" s="215"/>
      <c r="AF92" s="215"/>
    </row>
    <row r="93" spans="1:32" ht="25.5" x14ac:dyDescent="0.2">
      <c r="A93" s="268">
        <v>83</v>
      </c>
      <c r="B93" s="272" t="s">
        <v>123</v>
      </c>
      <c r="C93" s="273" t="s">
        <v>124</v>
      </c>
      <c r="D93" s="229">
        <f t="shared" si="20"/>
        <v>58681</v>
      </c>
      <c r="E93" s="229">
        <f t="shared" si="17"/>
        <v>0</v>
      </c>
      <c r="F93" s="229">
        <v>0</v>
      </c>
      <c r="G93" s="229">
        <v>0</v>
      </c>
      <c r="H93" s="229">
        <v>0</v>
      </c>
      <c r="I93" s="229">
        <v>0</v>
      </c>
      <c r="J93" s="229">
        <f t="shared" si="18"/>
        <v>58681</v>
      </c>
      <c r="K93" s="229">
        <v>9096</v>
      </c>
      <c r="L93" s="229">
        <v>702</v>
      </c>
      <c r="M93" s="229">
        <v>0</v>
      </c>
      <c r="N93" s="229">
        <v>0</v>
      </c>
      <c r="O93" s="229">
        <v>28411</v>
      </c>
      <c r="P93" s="229">
        <v>20472</v>
      </c>
      <c r="Q93" s="229">
        <f t="shared" si="21"/>
        <v>0</v>
      </c>
      <c r="R93" s="229">
        <v>0</v>
      </c>
      <c r="S93" s="229">
        <v>0</v>
      </c>
      <c r="T93" s="229">
        <f t="shared" si="19"/>
        <v>0</v>
      </c>
      <c r="U93" s="229">
        <v>0</v>
      </c>
      <c r="V93" s="229">
        <v>0</v>
      </c>
      <c r="W93" s="229">
        <v>0</v>
      </c>
      <c r="X93" s="229">
        <v>0</v>
      </c>
      <c r="Y93" s="229">
        <v>0</v>
      </c>
      <c r="Z93" s="229">
        <v>0</v>
      </c>
      <c r="AA93" s="215"/>
      <c r="AB93" s="215"/>
      <c r="AE93" s="215"/>
      <c r="AF93" s="215"/>
    </row>
    <row r="94" spans="1:32" ht="12.75" x14ac:dyDescent="0.2">
      <c r="A94" s="268">
        <v>84</v>
      </c>
      <c r="B94" s="269" t="s">
        <v>125</v>
      </c>
      <c r="C94" s="273" t="s">
        <v>485</v>
      </c>
      <c r="D94" s="229">
        <f t="shared" si="20"/>
        <v>43587</v>
      </c>
      <c r="E94" s="229">
        <f t="shared" si="17"/>
        <v>0</v>
      </c>
      <c r="F94" s="229">
        <v>0</v>
      </c>
      <c r="G94" s="229">
        <v>0</v>
      </c>
      <c r="H94" s="229">
        <v>0</v>
      </c>
      <c r="I94" s="229">
        <v>0</v>
      </c>
      <c r="J94" s="229">
        <f t="shared" si="18"/>
        <v>39385</v>
      </c>
      <c r="K94" s="229">
        <v>11361</v>
      </c>
      <c r="L94" s="229">
        <v>0</v>
      </c>
      <c r="M94" s="229">
        <v>0</v>
      </c>
      <c r="N94" s="229">
        <v>0</v>
      </c>
      <c r="O94" s="229">
        <v>28024</v>
      </c>
      <c r="P94" s="229">
        <v>0</v>
      </c>
      <c r="Q94" s="229">
        <f t="shared" si="21"/>
        <v>1464</v>
      </c>
      <c r="R94" s="229">
        <v>1025</v>
      </c>
      <c r="S94" s="229">
        <v>439</v>
      </c>
      <c r="T94" s="229">
        <f t="shared" si="19"/>
        <v>2738</v>
      </c>
      <c r="U94" s="229">
        <v>2738</v>
      </c>
      <c r="V94" s="229">
        <v>0</v>
      </c>
      <c r="W94" s="229">
        <v>0</v>
      </c>
      <c r="X94" s="229">
        <v>0</v>
      </c>
      <c r="Y94" s="229">
        <v>0</v>
      </c>
      <c r="Z94" s="229">
        <v>0</v>
      </c>
      <c r="AA94" s="215"/>
      <c r="AB94" s="215"/>
      <c r="AE94" s="215"/>
      <c r="AF94" s="215"/>
    </row>
    <row r="95" spans="1:32" ht="12.75" x14ac:dyDescent="0.2">
      <c r="A95" s="268">
        <v>85</v>
      </c>
      <c r="B95" s="272" t="s">
        <v>126</v>
      </c>
      <c r="C95" s="273" t="s">
        <v>127</v>
      </c>
      <c r="D95" s="229">
        <f t="shared" si="20"/>
        <v>21926</v>
      </c>
      <c r="E95" s="229">
        <f t="shared" si="17"/>
        <v>0</v>
      </c>
      <c r="F95" s="229">
        <v>0</v>
      </c>
      <c r="G95" s="229">
        <v>0</v>
      </c>
      <c r="H95" s="229">
        <v>0</v>
      </c>
      <c r="I95" s="229">
        <v>0</v>
      </c>
      <c r="J95" s="229">
        <f t="shared" si="18"/>
        <v>21858</v>
      </c>
      <c r="K95" s="229">
        <v>2970</v>
      </c>
      <c r="L95" s="229">
        <v>0</v>
      </c>
      <c r="M95" s="229">
        <v>2450</v>
      </c>
      <c r="N95" s="229">
        <v>0</v>
      </c>
      <c r="O95" s="229">
        <v>16438</v>
      </c>
      <c r="P95" s="229">
        <v>0</v>
      </c>
      <c r="Q95" s="229">
        <f t="shared" si="21"/>
        <v>0</v>
      </c>
      <c r="R95" s="229">
        <v>0</v>
      </c>
      <c r="S95" s="229">
        <v>0</v>
      </c>
      <c r="T95" s="229">
        <f t="shared" si="19"/>
        <v>68</v>
      </c>
      <c r="U95" s="229">
        <v>68</v>
      </c>
      <c r="V95" s="229">
        <v>0</v>
      </c>
      <c r="W95" s="229">
        <v>0</v>
      </c>
      <c r="X95" s="229">
        <v>0</v>
      </c>
      <c r="Y95" s="229">
        <v>0</v>
      </c>
      <c r="Z95" s="229">
        <v>0</v>
      </c>
      <c r="AA95" s="215"/>
      <c r="AB95" s="215"/>
      <c r="AE95" s="215"/>
      <c r="AF95" s="215"/>
    </row>
    <row r="96" spans="1:32" ht="12.75" x14ac:dyDescent="0.2">
      <c r="A96" s="268">
        <v>86</v>
      </c>
      <c r="B96" s="274" t="s">
        <v>128</v>
      </c>
      <c r="C96" s="275" t="s">
        <v>129</v>
      </c>
      <c r="D96" s="229">
        <f t="shared" si="20"/>
        <v>11141</v>
      </c>
      <c r="E96" s="229">
        <f t="shared" si="17"/>
        <v>0</v>
      </c>
      <c r="F96" s="229">
        <v>0</v>
      </c>
      <c r="G96" s="229">
        <v>0</v>
      </c>
      <c r="H96" s="229">
        <v>0</v>
      </c>
      <c r="I96" s="229">
        <v>0</v>
      </c>
      <c r="J96" s="229">
        <f t="shared" si="18"/>
        <v>11141</v>
      </c>
      <c r="K96" s="229">
        <v>1500</v>
      </c>
      <c r="L96" s="229">
        <v>0</v>
      </c>
      <c r="M96" s="229">
        <v>2167</v>
      </c>
      <c r="N96" s="229">
        <v>0</v>
      </c>
      <c r="O96" s="229">
        <v>7474</v>
      </c>
      <c r="P96" s="229">
        <v>0</v>
      </c>
      <c r="Q96" s="229">
        <f t="shared" si="21"/>
        <v>0</v>
      </c>
      <c r="R96" s="229">
        <v>0</v>
      </c>
      <c r="S96" s="229">
        <v>0</v>
      </c>
      <c r="T96" s="229">
        <f t="shared" si="19"/>
        <v>0</v>
      </c>
      <c r="U96" s="229">
        <v>0</v>
      </c>
      <c r="V96" s="229">
        <v>0</v>
      </c>
      <c r="W96" s="229">
        <v>0</v>
      </c>
      <c r="X96" s="229">
        <v>0</v>
      </c>
      <c r="Y96" s="229">
        <v>0</v>
      </c>
      <c r="Z96" s="229">
        <v>0</v>
      </c>
      <c r="AA96" s="215"/>
      <c r="AB96" s="215"/>
      <c r="AE96" s="215"/>
      <c r="AF96" s="215"/>
    </row>
    <row r="97" spans="1:32" ht="12.75" x14ac:dyDescent="0.2">
      <c r="A97" s="268">
        <v>87</v>
      </c>
      <c r="B97" s="269" t="s">
        <v>130</v>
      </c>
      <c r="C97" s="273" t="s">
        <v>486</v>
      </c>
      <c r="D97" s="229">
        <f t="shared" si="20"/>
        <v>3169</v>
      </c>
      <c r="E97" s="229">
        <f t="shared" si="17"/>
        <v>0</v>
      </c>
      <c r="F97" s="229">
        <v>0</v>
      </c>
      <c r="G97" s="229">
        <v>0</v>
      </c>
      <c r="H97" s="229">
        <v>0</v>
      </c>
      <c r="I97" s="229">
        <v>0</v>
      </c>
      <c r="J97" s="229">
        <f t="shared" si="18"/>
        <v>1705</v>
      </c>
      <c r="K97" s="229">
        <v>106</v>
      </c>
      <c r="L97" s="229">
        <v>0</v>
      </c>
      <c r="M97" s="229">
        <v>0</v>
      </c>
      <c r="N97" s="229">
        <v>0</v>
      </c>
      <c r="O97" s="229">
        <v>1599</v>
      </c>
      <c r="P97" s="229">
        <v>0</v>
      </c>
      <c r="Q97" s="229">
        <f t="shared" si="21"/>
        <v>1464</v>
      </c>
      <c r="R97" s="229">
        <v>1025</v>
      </c>
      <c r="S97" s="229">
        <v>439</v>
      </c>
      <c r="T97" s="229">
        <f t="shared" si="19"/>
        <v>0</v>
      </c>
      <c r="U97" s="229">
        <v>0</v>
      </c>
      <c r="V97" s="229">
        <v>0</v>
      </c>
      <c r="W97" s="229">
        <v>0</v>
      </c>
      <c r="X97" s="229">
        <v>0</v>
      </c>
      <c r="Y97" s="229">
        <v>0</v>
      </c>
      <c r="Z97" s="229">
        <v>0</v>
      </c>
      <c r="AA97" s="215"/>
      <c r="AB97" s="215"/>
      <c r="AE97" s="215"/>
      <c r="AF97" s="215"/>
    </row>
    <row r="98" spans="1:32" ht="12.75" x14ac:dyDescent="0.2">
      <c r="A98" s="268">
        <v>88</v>
      </c>
      <c r="B98" s="269" t="s">
        <v>131</v>
      </c>
      <c r="C98" s="273" t="s">
        <v>132</v>
      </c>
      <c r="D98" s="229">
        <f t="shared" si="20"/>
        <v>110067</v>
      </c>
      <c r="E98" s="229">
        <f t="shared" si="17"/>
        <v>0</v>
      </c>
      <c r="F98" s="229">
        <v>0</v>
      </c>
      <c r="G98" s="229">
        <v>0</v>
      </c>
      <c r="H98" s="229">
        <v>0</v>
      </c>
      <c r="I98" s="229">
        <v>0</v>
      </c>
      <c r="J98" s="229">
        <f t="shared" si="18"/>
        <v>85836</v>
      </c>
      <c r="K98" s="229">
        <v>28167</v>
      </c>
      <c r="L98" s="229">
        <v>0</v>
      </c>
      <c r="M98" s="229">
        <v>3461</v>
      </c>
      <c r="N98" s="229">
        <v>0</v>
      </c>
      <c r="O98" s="229">
        <v>54208</v>
      </c>
      <c r="P98" s="229">
        <v>0</v>
      </c>
      <c r="Q98" s="229">
        <f t="shared" si="21"/>
        <v>4392</v>
      </c>
      <c r="R98" s="229">
        <v>3075</v>
      </c>
      <c r="S98" s="229">
        <v>1317</v>
      </c>
      <c r="T98" s="229">
        <f t="shared" si="19"/>
        <v>17589</v>
      </c>
      <c r="U98" s="229">
        <v>17589</v>
      </c>
      <c r="V98" s="229">
        <v>10003</v>
      </c>
      <c r="W98" s="229">
        <v>0</v>
      </c>
      <c r="X98" s="229">
        <v>0</v>
      </c>
      <c r="Y98" s="229">
        <v>0</v>
      </c>
      <c r="Z98" s="229">
        <v>2250</v>
      </c>
      <c r="AA98" s="215"/>
      <c r="AB98" s="215"/>
      <c r="AE98" s="215"/>
      <c r="AF98" s="215"/>
    </row>
    <row r="99" spans="1:32" ht="12.75" x14ac:dyDescent="0.2">
      <c r="A99" s="268">
        <v>89</v>
      </c>
      <c r="B99" s="274" t="s">
        <v>133</v>
      </c>
      <c r="C99" s="275" t="s">
        <v>134</v>
      </c>
      <c r="D99" s="229">
        <f t="shared" si="20"/>
        <v>20244</v>
      </c>
      <c r="E99" s="229">
        <f t="shared" si="17"/>
        <v>0</v>
      </c>
      <c r="F99" s="229">
        <v>0</v>
      </c>
      <c r="G99" s="229">
        <v>0</v>
      </c>
      <c r="H99" s="229">
        <v>0</v>
      </c>
      <c r="I99" s="229">
        <v>0</v>
      </c>
      <c r="J99" s="229">
        <f t="shared" si="18"/>
        <v>20244</v>
      </c>
      <c r="K99" s="229">
        <v>0</v>
      </c>
      <c r="L99" s="229">
        <v>1620</v>
      </c>
      <c r="M99" s="229">
        <v>0</v>
      </c>
      <c r="N99" s="229">
        <v>0</v>
      </c>
      <c r="O99" s="229">
        <v>0</v>
      </c>
      <c r="P99" s="229">
        <v>18624</v>
      </c>
      <c r="Q99" s="229">
        <f t="shared" si="21"/>
        <v>0</v>
      </c>
      <c r="R99" s="229">
        <v>0</v>
      </c>
      <c r="S99" s="229">
        <v>0</v>
      </c>
      <c r="T99" s="229">
        <f t="shared" si="19"/>
        <v>0</v>
      </c>
      <c r="U99" s="229">
        <v>0</v>
      </c>
      <c r="V99" s="229">
        <v>0</v>
      </c>
      <c r="W99" s="229">
        <v>0</v>
      </c>
      <c r="X99" s="229">
        <v>0</v>
      </c>
      <c r="Y99" s="229">
        <v>0</v>
      </c>
      <c r="Z99" s="229">
        <v>0</v>
      </c>
      <c r="AA99" s="215"/>
      <c r="AB99" s="215"/>
      <c r="AE99" s="215"/>
      <c r="AF99" s="215"/>
    </row>
    <row r="100" spans="1:32" ht="12.75" x14ac:dyDescent="0.2">
      <c r="A100" s="268">
        <v>90</v>
      </c>
      <c r="B100" s="269" t="s">
        <v>9</v>
      </c>
      <c r="C100" s="273" t="s">
        <v>487</v>
      </c>
      <c r="D100" s="229">
        <f t="shared" si="20"/>
        <v>22062</v>
      </c>
      <c r="E100" s="229">
        <f t="shared" si="17"/>
        <v>0</v>
      </c>
      <c r="F100" s="229">
        <v>0</v>
      </c>
      <c r="G100" s="229">
        <v>0</v>
      </c>
      <c r="H100" s="229">
        <v>0</v>
      </c>
      <c r="I100" s="229">
        <v>0</v>
      </c>
      <c r="J100" s="229">
        <f t="shared" si="18"/>
        <v>19062</v>
      </c>
      <c r="K100" s="229">
        <v>7329</v>
      </c>
      <c r="L100" s="229">
        <v>0</v>
      </c>
      <c r="M100" s="229">
        <v>793</v>
      </c>
      <c r="N100" s="229">
        <v>0</v>
      </c>
      <c r="O100" s="229">
        <v>10940</v>
      </c>
      <c r="P100" s="229">
        <v>0</v>
      </c>
      <c r="Q100" s="229">
        <f t="shared" si="21"/>
        <v>0</v>
      </c>
      <c r="R100" s="229">
        <v>0</v>
      </c>
      <c r="S100" s="229">
        <v>0</v>
      </c>
      <c r="T100" s="229">
        <f t="shared" si="19"/>
        <v>3000</v>
      </c>
      <c r="U100" s="229">
        <v>2740</v>
      </c>
      <c r="V100" s="229">
        <v>0</v>
      </c>
      <c r="W100" s="229">
        <v>260</v>
      </c>
      <c r="X100" s="229">
        <v>0</v>
      </c>
      <c r="Y100" s="229">
        <v>0</v>
      </c>
      <c r="Z100" s="229">
        <v>0</v>
      </c>
      <c r="AA100" s="215"/>
      <c r="AB100" s="215"/>
      <c r="AE100" s="215"/>
      <c r="AF100" s="215"/>
    </row>
    <row r="101" spans="1:32" ht="12.75" x14ac:dyDescent="0.2">
      <c r="A101" s="268">
        <v>91</v>
      </c>
      <c r="B101" s="274" t="s">
        <v>135</v>
      </c>
      <c r="C101" s="275" t="s">
        <v>136</v>
      </c>
      <c r="D101" s="229">
        <f t="shared" si="20"/>
        <v>10116</v>
      </c>
      <c r="E101" s="229">
        <f t="shared" si="17"/>
        <v>10116</v>
      </c>
      <c r="F101" s="229">
        <v>10116</v>
      </c>
      <c r="G101" s="229">
        <v>0</v>
      </c>
      <c r="H101" s="229">
        <v>0</v>
      </c>
      <c r="I101" s="229">
        <v>0</v>
      </c>
      <c r="J101" s="229">
        <f t="shared" si="18"/>
        <v>0</v>
      </c>
      <c r="K101" s="229">
        <v>0</v>
      </c>
      <c r="L101" s="229">
        <v>0</v>
      </c>
      <c r="M101" s="229">
        <v>0</v>
      </c>
      <c r="N101" s="229">
        <v>0</v>
      </c>
      <c r="O101" s="229">
        <v>0</v>
      </c>
      <c r="P101" s="229">
        <v>0</v>
      </c>
      <c r="Q101" s="229">
        <f t="shared" si="21"/>
        <v>0</v>
      </c>
      <c r="R101" s="229">
        <v>0</v>
      </c>
      <c r="S101" s="229">
        <v>0</v>
      </c>
      <c r="T101" s="229">
        <f t="shared" si="19"/>
        <v>0</v>
      </c>
      <c r="U101" s="229">
        <v>0</v>
      </c>
      <c r="V101" s="229">
        <v>0</v>
      </c>
      <c r="W101" s="229">
        <v>0</v>
      </c>
      <c r="X101" s="229">
        <v>0</v>
      </c>
      <c r="Y101" s="229">
        <v>0</v>
      </c>
      <c r="Z101" s="229">
        <v>0</v>
      </c>
      <c r="AA101" s="215"/>
      <c r="AB101" s="215"/>
      <c r="AE101" s="215"/>
      <c r="AF101" s="215"/>
    </row>
    <row r="102" spans="1:32" x14ac:dyDescent="0.2">
      <c r="A102" s="268">
        <v>92</v>
      </c>
      <c r="B102" s="299" t="s">
        <v>488</v>
      </c>
      <c r="C102" s="238" t="s">
        <v>489</v>
      </c>
      <c r="D102" s="229">
        <f t="shared" si="20"/>
        <v>0</v>
      </c>
      <c r="E102" s="229">
        <f t="shared" si="17"/>
        <v>0</v>
      </c>
      <c r="F102" s="229">
        <v>0</v>
      </c>
      <c r="G102" s="229">
        <v>0</v>
      </c>
      <c r="H102" s="229">
        <v>0</v>
      </c>
      <c r="I102" s="229">
        <v>0</v>
      </c>
      <c r="J102" s="229">
        <f t="shared" si="18"/>
        <v>0</v>
      </c>
      <c r="K102" s="229">
        <v>0</v>
      </c>
      <c r="L102" s="229">
        <v>0</v>
      </c>
      <c r="M102" s="229">
        <v>0</v>
      </c>
      <c r="N102" s="229">
        <v>0</v>
      </c>
      <c r="O102" s="229">
        <v>0</v>
      </c>
      <c r="P102" s="229">
        <v>0</v>
      </c>
      <c r="Q102" s="229">
        <f t="shared" si="21"/>
        <v>0</v>
      </c>
      <c r="R102" s="229">
        <v>0</v>
      </c>
      <c r="S102" s="229">
        <v>0</v>
      </c>
      <c r="T102" s="229">
        <f t="shared" si="19"/>
        <v>0</v>
      </c>
      <c r="U102" s="229">
        <v>0</v>
      </c>
      <c r="V102" s="229">
        <v>0</v>
      </c>
      <c r="W102" s="229">
        <v>0</v>
      </c>
      <c r="X102" s="229">
        <v>0</v>
      </c>
      <c r="Y102" s="229">
        <v>0</v>
      </c>
      <c r="Z102" s="229">
        <v>0</v>
      </c>
      <c r="AA102" s="215"/>
      <c r="AB102" s="215"/>
      <c r="AE102" s="215"/>
      <c r="AF102" s="215"/>
    </row>
    <row r="103" spans="1:32" ht="25.5" x14ac:dyDescent="0.2">
      <c r="A103" s="268">
        <v>93</v>
      </c>
      <c r="B103" s="272" t="s">
        <v>137</v>
      </c>
      <c r="C103" s="273" t="s">
        <v>138</v>
      </c>
      <c r="D103" s="229">
        <f t="shared" si="20"/>
        <v>30747</v>
      </c>
      <c r="E103" s="229">
        <f t="shared" si="17"/>
        <v>0</v>
      </c>
      <c r="F103" s="229">
        <v>0</v>
      </c>
      <c r="G103" s="229">
        <v>0</v>
      </c>
      <c r="H103" s="229">
        <v>0</v>
      </c>
      <c r="I103" s="229">
        <v>0</v>
      </c>
      <c r="J103" s="229">
        <f t="shared" si="18"/>
        <v>14518</v>
      </c>
      <c r="K103" s="229">
        <v>800</v>
      </c>
      <c r="L103" s="229">
        <v>0</v>
      </c>
      <c r="M103" s="229">
        <v>3600</v>
      </c>
      <c r="N103" s="229">
        <v>0</v>
      </c>
      <c r="O103" s="229">
        <v>10118</v>
      </c>
      <c r="P103" s="229">
        <v>0</v>
      </c>
      <c r="Q103" s="229">
        <f t="shared" si="21"/>
        <v>0</v>
      </c>
      <c r="R103" s="229">
        <v>0</v>
      </c>
      <c r="S103" s="229">
        <v>0</v>
      </c>
      <c r="T103" s="229">
        <f t="shared" si="19"/>
        <v>16229</v>
      </c>
      <c r="U103" s="229">
        <v>16229</v>
      </c>
      <c r="V103" s="229">
        <v>9196</v>
      </c>
      <c r="W103" s="229">
        <v>0</v>
      </c>
      <c r="X103" s="229">
        <v>0</v>
      </c>
      <c r="Y103" s="229">
        <v>0</v>
      </c>
      <c r="Z103" s="229">
        <v>0</v>
      </c>
      <c r="AA103" s="215"/>
      <c r="AB103" s="215"/>
      <c r="AE103" s="215"/>
      <c r="AF103" s="215"/>
    </row>
    <row r="104" spans="1:32" ht="25.5" x14ac:dyDescent="0.2">
      <c r="A104" s="268">
        <v>94</v>
      </c>
      <c r="B104" s="271" t="s">
        <v>369</v>
      </c>
      <c r="C104" s="270" t="s">
        <v>490</v>
      </c>
      <c r="D104" s="229">
        <f t="shared" si="20"/>
        <v>8400</v>
      </c>
      <c r="E104" s="229">
        <f t="shared" si="17"/>
        <v>8400</v>
      </c>
      <c r="F104" s="229">
        <v>8100</v>
      </c>
      <c r="G104" s="229">
        <v>0</v>
      </c>
      <c r="H104" s="229">
        <v>300</v>
      </c>
      <c r="I104" s="229">
        <v>0</v>
      </c>
      <c r="J104" s="229">
        <f t="shared" si="18"/>
        <v>0</v>
      </c>
      <c r="K104" s="229">
        <v>0</v>
      </c>
      <c r="L104" s="229">
        <v>0</v>
      </c>
      <c r="M104" s="229">
        <v>0</v>
      </c>
      <c r="N104" s="229">
        <v>0</v>
      </c>
      <c r="O104" s="229">
        <v>0</v>
      </c>
      <c r="P104" s="229">
        <v>0</v>
      </c>
      <c r="Q104" s="229">
        <f t="shared" si="21"/>
        <v>0</v>
      </c>
      <c r="R104" s="229">
        <v>0</v>
      </c>
      <c r="S104" s="229">
        <v>0</v>
      </c>
      <c r="T104" s="229">
        <f t="shared" si="19"/>
        <v>0</v>
      </c>
      <c r="U104" s="229">
        <v>0</v>
      </c>
      <c r="V104" s="229">
        <v>0</v>
      </c>
      <c r="W104" s="229">
        <v>0</v>
      </c>
      <c r="X104" s="229">
        <v>0</v>
      </c>
      <c r="Y104" s="229">
        <v>0</v>
      </c>
      <c r="Z104" s="229">
        <v>0</v>
      </c>
      <c r="AA104" s="215"/>
      <c r="AB104" s="215"/>
      <c r="AE104" s="215"/>
      <c r="AF104" s="215"/>
    </row>
    <row r="105" spans="1:32" ht="12.75" x14ac:dyDescent="0.2">
      <c r="A105" s="268">
        <v>95</v>
      </c>
      <c r="B105" s="271" t="s">
        <v>139</v>
      </c>
      <c r="C105" s="275" t="s">
        <v>140</v>
      </c>
      <c r="D105" s="229">
        <f t="shared" si="20"/>
        <v>8786</v>
      </c>
      <c r="E105" s="229">
        <f t="shared" si="17"/>
        <v>0</v>
      </c>
      <c r="F105" s="229">
        <v>0</v>
      </c>
      <c r="G105" s="229">
        <v>0</v>
      </c>
      <c r="H105" s="229">
        <v>0</v>
      </c>
      <c r="I105" s="229">
        <v>0</v>
      </c>
      <c r="J105" s="229">
        <f t="shared" si="18"/>
        <v>8786</v>
      </c>
      <c r="K105" s="229">
        <v>422</v>
      </c>
      <c r="L105" s="229">
        <v>0</v>
      </c>
      <c r="M105" s="229">
        <v>670</v>
      </c>
      <c r="N105" s="229">
        <v>0</v>
      </c>
      <c r="O105" s="229">
        <v>7694</v>
      </c>
      <c r="P105" s="229">
        <v>0</v>
      </c>
      <c r="Q105" s="229">
        <f t="shared" si="21"/>
        <v>0</v>
      </c>
      <c r="R105" s="229">
        <v>0</v>
      </c>
      <c r="S105" s="229">
        <v>0</v>
      </c>
      <c r="T105" s="229">
        <f t="shared" si="19"/>
        <v>0</v>
      </c>
      <c r="U105" s="229">
        <v>0</v>
      </c>
      <c r="V105" s="229">
        <v>0</v>
      </c>
      <c r="W105" s="229">
        <v>0</v>
      </c>
      <c r="X105" s="229">
        <v>0</v>
      </c>
      <c r="Y105" s="229">
        <v>0</v>
      </c>
      <c r="Z105" s="229">
        <v>0</v>
      </c>
      <c r="AA105" s="215"/>
      <c r="AB105" s="215"/>
      <c r="AE105" s="215"/>
      <c r="AF105" s="215"/>
    </row>
    <row r="106" spans="1:32" ht="12.75" x14ac:dyDescent="0.2">
      <c r="A106" s="268">
        <v>96</v>
      </c>
      <c r="B106" s="272" t="s">
        <v>141</v>
      </c>
      <c r="C106" s="273" t="s">
        <v>142</v>
      </c>
      <c r="D106" s="229">
        <f t="shared" si="20"/>
        <v>19635</v>
      </c>
      <c r="E106" s="229">
        <f t="shared" si="17"/>
        <v>0</v>
      </c>
      <c r="F106" s="229">
        <v>0</v>
      </c>
      <c r="G106" s="229">
        <v>0</v>
      </c>
      <c r="H106" s="229">
        <v>0</v>
      </c>
      <c r="I106" s="229">
        <v>0</v>
      </c>
      <c r="J106" s="229">
        <f t="shared" si="18"/>
        <v>16707</v>
      </c>
      <c r="K106" s="229">
        <v>1956</v>
      </c>
      <c r="L106" s="229">
        <v>0</v>
      </c>
      <c r="M106" s="229">
        <v>1600</v>
      </c>
      <c r="N106" s="229">
        <v>0</v>
      </c>
      <c r="O106" s="229">
        <v>13151</v>
      </c>
      <c r="P106" s="229">
        <v>0</v>
      </c>
      <c r="Q106" s="229">
        <f t="shared" si="21"/>
        <v>2928</v>
      </c>
      <c r="R106" s="229">
        <v>2051</v>
      </c>
      <c r="S106" s="229">
        <v>877</v>
      </c>
      <c r="T106" s="229">
        <f t="shared" si="19"/>
        <v>0</v>
      </c>
      <c r="U106" s="229">
        <v>0</v>
      </c>
      <c r="V106" s="229">
        <v>0</v>
      </c>
      <c r="W106" s="229">
        <v>0</v>
      </c>
      <c r="X106" s="229">
        <v>0</v>
      </c>
      <c r="Y106" s="229">
        <v>0</v>
      </c>
      <c r="Z106" s="229">
        <v>0</v>
      </c>
      <c r="AA106" s="215"/>
      <c r="AB106" s="215"/>
      <c r="AE106" s="215"/>
      <c r="AF106" s="215"/>
    </row>
    <row r="107" spans="1:32" ht="12.75" x14ac:dyDescent="0.2">
      <c r="A107" s="268">
        <v>97</v>
      </c>
      <c r="B107" s="271" t="s">
        <v>143</v>
      </c>
      <c r="C107" s="281" t="s">
        <v>144</v>
      </c>
      <c r="D107" s="229">
        <f t="shared" si="20"/>
        <v>9635</v>
      </c>
      <c r="E107" s="229">
        <f t="shared" si="17"/>
        <v>0</v>
      </c>
      <c r="F107" s="229">
        <v>0</v>
      </c>
      <c r="G107" s="229">
        <v>0</v>
      </c>
      <c r="H107" s="229">
        <v>0</v>
      </c>
      <c r="I107" s="229">
        <v>0</v>
      </c>
      <c r="J107" s="229">
        <f t="shared" si="18"/>
        <v>9635</v>
      </c>
      <c r="K107" s="229">
        <v>1650</v>
      </c>
      <c r="L107" s="229">
        <v>150</v>
      </c>
      <c r="M107" s="229">
        <v>458</v>
      </c>
      <c r="N107" s="229">
        <v>92</v>
      </c>
      <c r="O107" s="229">
        <v>5742</v>
      </c>
      <c r="P107" s="229">
        <v>1543</v>
      </c>
      <c r="Q107" s="229">
        <f t="shared" si="21"/>
        <v>0</v>
      </c>
      <c r="R107" s="229">
        <v>0</v>
      </c>
      <c r="S107" s="229">
        <v>0</v>
      </c>
      <c r="T107" s="229">
        <f t="shared" si="19"/>
        <v>0</v>
      </c>
      <c r="U107" s="229">
        <v>0</v>
      </c>
      <c r="V107" s="229">
        <v>0</v>
      </c>
      <c r="W107" s="229">
        <v>0</v>
      </c>
      <c r="X107" s="229">
        <v>0</v>
      </c>
      <c r="Y107" s="229">
        <v>0</v>
      </c>
      <c r="Z107" s="229">
        <v>0</v>
      </c>
      <c r="AA107" s="215"/>
      <c r="AB107" s="215"/>
      <c r="AE107" s="215"/>
      <c r="AF107" s="215"/>
    </row>
    <row r="108" spans="1:32" ht="12.75" x14ac:dyDescent="0.2">
      <c r="A108" s="268">
        <v>98</v>
      </c>
      <c r="B108" s="272" t="s">
        <v>145</v>
      </c>
      <c r="C108" s="273" t="s">
        <v>146</v>
      </c>
      <c r="D108" s="229">
        <f t="shared" si="20"/>
        <v>14522</v>
      </c>
      <c r="E108" s="229">
        <f t="shared" si="17"/>
        <v>0</v>
      </c>
      <c r="F108" s="229">
        <v>0</v>
      </c>
      <c r="G108" s="229">
        <v>0</v>
      </c>
      <c r="H108" s="229">
        <v>0</v>
      </c>
      <c r="I108" s="229">
        <v>0</v>
      </c>
      <c r="J108" s="229">
        <f t="shared" si="18"/>
        <v>14522</v>
      </c>
      <c r="K108" s="229">
        <v>946</v>
      </c>
      <c r="L108" s="229">
        <v>176</v>
      </c>
      <c r="M108" s="229">
        <v>0</v>
      </c>
      <c r="N108" s="229">
        <v>0</v>
      </c>
      <c r="O108" s="229">
        <v>9225</v>
      </c>
      <c r="P108" s="229">
        <v>4175</v>
      </c>
      <c r="Q108" s="229">
        <f t="shared" si="21"/>
        <v>0</v>
      </c>
      <c r="R108" s="229">
        <v>0</v>
      </c>
      <c r="S108" s="229">
        <v>0</v>
      </c>
      <c r="T108" s="229">
        <f t="shared" si="19"/>
        <v>0</v>
      </c>
      <c r="U108" s="229">
        <v>0</v>
      </c>
      <c r="V108" s="229">
        <v>0</v>
      </c>
      <c r="W108" s="229">
        <v>0</v>
      </c>
      <c r="X108" s="229">
        <v>0</v>
      </c>
      <c r="Y108" s="229">
        <v>0</v>
      </c>
      <c r="Z108" s="229">
        <v>0</v>
      </c>
      <c r="AA108" s="215"/>
      <c r="AB108" s="215"/>
      <c r="AE108" s="215"/>
      <c r="AF108" s="215"/>
    </row>
    <row r="109" spans="1:32" ht="12.75" x14ac:dyDescent="0.2">
      <c r="A109" s="268">
        <v>99</v>
      </c>
      <c r="B109" s="272" t="s">
        <v>147</v>
      </c>
      <c r="C109" s="273" t="s">
        <v>148</v>
      </c>
      <c r="D109" s="229">
        <f t="shared" si="20"/>
        <v>52646</v>
      </c>
      <c r="E109" s="229">
        <f t="shared" si="17"/>
        <v>0</v>
      </c>
      <c r="F109" s="229">
        <v>0</v>
      </c>
      <c r="G109" s="229">
        <v>0</v>
      </c>
      <c r="H109" s="229">
        <v>0</v>
      </c>
      <c r="I109" s="229">
        <v>0</v>
      </c>
      <c r="J109" s="229">
        <f t="shared" si="18"/>
        <v>52646</v>
      </c>
      <c r="K109" s="229">
        <v>2955</v>
      </c>
      <c r="L109" s="229">
        <v>350</v>
      </c>
      <c r="M109" s="229">
        <v>1466</v>
      </c>
      <c r="N109" s="229">
        <v>0</v>
      </c>
      <c r="O109" s="229">
        <v>38633</v>
      </c>
      <c r="P109" s="229">
        <v>9242</v>
      </c>
      <c r="Q109" s="229">
        <f t="shared" si="21"/>
        <v>0</v>
      </c>
      <c r="R109" s="229">
        <v>0</v>
      </c>
      <c r="S109" s="229">
        <v>0</v>
      </c>
      <c r="T109" s="229">
        <f t="shared" si="19"/>
        <v>0</v>
      </c>
      <c r="U109" s="229">
        <v>0</v>
      </c>
      <c r="V109" s="229">
        <v>0</v>
      </c>
      <c r="W109" s="229">
        <v>0</v>
      </c>
      <c r="X109" s="229">
        <v>0</v>
      </c>
      <c r="Y109" s="229">
        <v>0</v>
      </c>
      <c r="Z109" s="229">
        <v>0</v>
      </c>
      <c r="AA109" s="215"/>
      <c r="AB109" s="215"/>
      <c r="AE109" s="215"/>
      <c r="AF109" s="215"/>
    </row>
    <row r="110" spans="1:32" ht="12.75" x14ac:dyDescent="0.2">
      <c r="A110" s="268">
        <v>100</v>
      </c>
      <c r="B110" s="271" t="s">
        <v>149</v>
      </c>
      <c r="C110" s="275" t="s">
        <v>150</v>
      </c>
      <c r="D110" s="229">
        <f t="shared" si="20"/>
        <v>21074</v>
      </c>
      <c r="E110" s="229">
        <f t="shared" si="17"/>
        <v>0</v>
      </c>
      <c r="F110" s="229">
        <v>0</v>
      </c>
      <c r="G110" s="229">
        <v>0</v>
      </c>
      <c r="H110" s="229">
        <v>0</v>
      </c>
      <c r="I110" s="229">
        <v>0</v>
      </c>
      <c r="J110" s="229">
        <f t="shared" si="18"/>
        <v>21074</v>
      </c>
      <c r="K110" s="229">
        <v>2535</v>
      </c>
      <c r="L110" s="229">
        <v>410</v>
      </c>
      <c r="M110" s="229">
        <v>747</v>
      </c>
      <c r="N110" s="229">
        <v>467</v>
      </c>
      <c r="O110" s="229">
        <v>14285</v>
      </c>
      <c r="P110" s="229">
        <v>2630</v>
      </c>
      <c r="Q110" s="229">
        <f t="shared" si="21"/>
        <v>0</v>
      </c>
      <c r="R110" s="229">
        <v>0</v>
      </c>
      <c r="S110" s="229">
        <v>0</v>
      </c>
      <c r="T110" s="229">
        <f t="shared" si="19"/>
        <v>0</v>
      </c>
      <c r="U110" s="229">
        <v>0</v>
      </c>
      <c r="V110" s="229">
        <v>0</v>
      </c>
      <c r="W110" s="229">
        <v>0</v>
      </c>
      <c r="X110" s="229">
        <v>0</v>
      </c>
      <c r="Y110" s="229">
        <v>0</v>
      </c>
      <c r="Z110" s="229">
        <v>0</v>
      </c>
      <c r="AA110" s="215"/>
      <c r="AB110" s="215"/>
      <c r="AE110" s="215"/>
      <c r="AF110" s="215"/>
    </row>
    <row r="111" spans="1:32" ht="12.75" x14ac:dyDescent="0.2">
      <c r="A111" s="268">
        <v>101</v>
      </c>
      <c r="B111" s="271" t="s">
        <v>151</v>
      </c>
      <c r="C111" s="270" t="s">
        <v>152</v>
      </c>
      <c r="D111" s="229">
        <f t="shared" si="20"/>
        <v>21209</v>
      </c>
      <c r="E111" s="229">
        <f t="shared" si="17"/>
        <v>0</v>
      </c>
      <c r="F111" s="229">
        <v>0</v>
      </c>
      <c r="G111" s="229">
        <v>0</v>
      </c>
      <c r="H111" s="229">
        <v>0</v>
      </c>
      <c r="I111" s="229">
        <v>0</v>
      </c>
      <c r="J111" s="229">
        <f t="shared" si="18"/>
        <v>19745</v>
      </c>
      <c r="K111" s="229">
        <v>5130</v>
      </c>
      <c r="L111" s="229">
        <v>213</v>
      </c>
      <c r="M111" s="229">
        <v>277</v>
      </c>
      <c r="N111" s="229">
        <v>0</v>
      </c>
      <c r="O111" s="229">
        <v>11836</v>
      </c>
      <c r="P111" s="229">
        <v>2289</v>
      </c>
      <c r="Q111" s="229">
        <f t="shared" si="21"/>
        <v>1464</v>
      </c>
      <c r="R111" s="229">
        <v>1025</v>
      </c>
      <c r="S111" s="229">
        <v>439</v>
      </c>
      <c r="T111" s="229">
        <f t="shared" si="19"/>
        <v>0</v>
      </c>
      <c r="U111" s="229">
        <v>0</v>
      </c>
      <c r="V111" s="229">
        <v>0</v>
      </c>
      <c r="W111" s="229">
        <v>0</v>
      </c>
      <c r="X111" s="229">
        <v>0</v>
      </c>
      <c r="Y111" s="229">
        <v>0</v>
      </c>
      <c r="Z111" s="229">
        <v>0</v>
      </c>
      <c r="AA111" s="215"/>
      <c r="AB111" s="215"/>
      <c r="AE111" s="215"/>
      <c r="AF111" s="215"/>
    </row>
    <row r="112" spans="1:32" ht="12.75" x14ac:dyDescent="0.2">
      <c r="A112" s="268">
        <v>102</v>
      </c>
      <c r="B112" s="269" t="s">
        <v>153</v>
      </c>
      <c r="C112" s="270" t="s">
        <v>154</v>
      </c>
      <c r="D112" s="229">
        <f t="shared" si="20"/>
        <v>33667</v>
      </c>
      <c r="E112" s="229">
        <f t="shared" si="17"/>
        <v>0</v>
      </c>
      <c r="F112" s="229">
        <v>0</v>
      </c>
      <c r="G112" s="229">
        <v>0</v>
      </c>
      <c r="H112" s="229">
        <v>0</v>
      </c>
      <c r="I112" s="229">
        <v>0</v>
      </c>
      <c r="J112" s="229">
        <f t="shared" si="18"/>
        <v>33667</v>
      </c>
      <c r="K112" s="229">
        <v>590</v>
      </c>
      <c r="L112" s="229">
        <v>230</v>
      </c>
      <c r="M112" s="229">
        <v>176</v>
      </c>
      <c r="N112" s="229">
        <v>176</v>
      </c>
      <c r="O112" s="229">
        <v>19145</v>
      </c>
      <c r="P112" s="229">
        <v>13350</v>
      </c>
      <c r="Q112" s="229">
        <f t="shared" si="21"/>
        <v>0</v>
      </c>
      <c r="R112" s="229">
        <v>0</v>
      </c>
      <c r="S112" s="229">
        <v>0</v>
      </c>
      <c r="T112" s="229">
        <f t="shared" si="19"/>
        <v>0</v>
      </c>
      <c r="U112" s="229">
        <v>0</v>
      </c>
      <c r="V112" s="229">
        <v>0</v>
      </c>
      <c r="W112" s="229">
        <v>0</v>
      </c>
      <c r="X112" s="229">
        <v>0</v>
      </c>
      <c r="Y112" s="229">
        <v>0</v>
      </c>
      <c r="Z112" s="229">
        <v>0</v>
      </c>
      <c r="AA112" s="215"/>
      <c r="AB112" s="215"/>
      <c r="AE112" s="215"/>
      <c r="AF112" s="215"/>
    </row>
    <row r="113" spans="1:32" ht="12.75" x14ac:dyDescent="0.2">
      <c r="A113" s="268">
        <v>103</v>
      </c>
      <c r="B113" s="269" t="s">
        <v>155</v>
      </c>
      <c r="C113" s="270" t="s">
        <v>156</v>
      </c>
      <c r="D113" s="229">
        <f t="shared" si="20"/>
        <v>28154</v>
      </c>
      <c r="E113" s="229">
        <f t="shared" si="17"/>
        <v>0</v>
      </c>
      <c r="F113" s="229">
        <v>0</v>
      </c>
      <c r="G113" s="229">
        <v>0</v>
      </c>
      <c r="H113" s="229">
        <v>0</v>
      </c>
      <c r="I113" s="229">
        <v>0</v>
      </c>
      <c r="J113" s="229">
        <f t="shared" si="18"/>
        <v>28154</v>
      </c>
      <c r="K113" s="229">
        <v>10891</v>
      </c>
      <c r="L113" s="229">
        <v>1100</v>
      </c>
      <c r="M113" s="229">
        <v>1193</v>
      </c>
      <c r="N113" s="229">
        <v>145</v>
      </c>
      <c r="O113" s="229">
        <v>9404</v>
      </c>
      <c r="P113" s="229">
        <v>5421</v>
      </c>
      <c r="Q113" s="229">
        <f t="shared" si="21"/>
        <v>0</v>
      </c>
      <c r="R113" s="229">
        <v>0</v>
      </c>
      <c r="S113" s="229">
        <v>0</v>
      </c>
      <c r="T113" s="229">
        <f t="shared" si="19"/>
        <v>0</v>
      </c>
      <c r="U113" s="229">
        <v>0</v>
      </c>
      <c r="V113" s="229">
        <v>0</v>
      </c>
      <c r="W113" s="229">
        <v>0</v>
      </c>
      <c r="X113" s="229">
        <v>0</v>
      </c>
      <c r="Y113" s="229">
        <v>0</v>
      </c>
      <c r="Z113" s="229">
        <v>0</v>
      </c>
      <c r="AA113" s="215"/>
      <c r="AB113" s="215"/>
      <c r="AE113" s="215"/>
      <c r="AF113" s="215"/>
    </row>
    <row r="114" spans="1:32" ht="12.75" x14ac:dyDescent="0.2">
      <c r="A114" s="268">
        <v>104</v>
      </c>
      <c r="B114" s="272" t="s">
        <v>157</v>
      </c>
      <c r="C114" s="273" t="s">
        <v>158</v>
      </c>
      <c r="D114" s="229">
        <f t="shared" si="20"/>
        <v>13849</v>
      </c>
      <c r="E114" s="229">
        <f t="shared" si="17"/>
        <v>0</v>
      </c>
      <c r="F114" s="229">
        <v>0</v>
      </c>
      <c r="G114" s="229">
        <v>0</v>
      </c>
      <c r="H114" s="229">
        <v>0</v>
      </c>
      <c r="I114" s="229">
        <v>0</v>
      </c>
      <c r="J114" s="229">
        <f t="shared" si="18"/>
        <v>13849</v>
      </c>
      <c r="K114" s="229">
        <v>2643</v>
      </c>
      <c r="L114" s="229">
        <v>2100</v>
      </c>
      <c r="M114" s="229">
        <v>1483</v>
      </c>
      <c r="N114" s="229">
        <v>0</v>
      </c>
      <c r="O114" s="229">
        <v>4347</v>
      </c>
      <c r="P114" s="229">
        <v>3276</v>
      </c>
      <c r="Q114" s="229">
        <f t="shared" si="21"/>
        <v>0</v>
      </c>
      <c r="R114" s="229">
        <v>0</v>
      </c>
      <c r="S114" s="229">
        <v>0</v>
      </c>
      <c r="T114" s="229">
        <f t="shared" si="19"/>
        <v>0</v>
      </c>
      <c r="U114" s="229">
        <v>0</v>
      </c>
      <c r="V114" s="229">
        <v>0</v>
      </c>
      <c r="W114" s="229">
        <v>0</v>
      </c>
      <c r="X114" s="229">
        <v>0</v>
      </c>
      <c r="Y114" s="229">
        <v>0</v>
      </c>
      <c r="Z114" s="229">
        <v>0</v>
      </c>
      <c r="AA114" s="215"/>
      <c r="AB114" s="215"/>
      <c r="AE114" s="215"/>
      <c r="AF114" s="215"/>
    </row>
    <row r="115" spans="1:32" ht="12.75" x14ac:dyDescent="0.2">
      <c r="A115" s="268">
        <v>105</v>
      </c>
      <c r="B115" s="274" t="s">
        <v>159</v>
      </c>
      <c r="C115" s="275" t="s">
        <v>160</v>
      </c>
      <c r="D115" s="229">
        <f t="shared" si="20"/>
        <v>11221</v>
      </c>
      <c r="E115" s="229">
        <f t="shared" si="17"/>
        <v>0</v>
      </c>
      <c r="F115" s="229">
        <v>0</v>
      </c>
      <c r="G115" s="229">
        <v>0</v>
      </c>
      <c r="H115" s="229">
        <v>0</v>
      </c>
      <c r="I115" s="229">
        <v>0</v>
      </c>
      <c r="J115" s="229">
        <f t="shared" si="18"/>
        <v>11221</v>
      </c>
      <c r="K115" s="229">
        <v>1164</v>
      </c>
      <c r="L115" s="229">
        <v>276</v>
      </c>
      <c r="M115" s="229">
        <v>308</v>
      </c>
      <c r="N115" s="229">
        <v>131</v>
      </c>
      <c r="O115" s="229">
        <v>6229</v>
      </c>
      <c r="P115" s="229">
        <v>3113</v>
      </c>
      <c r="Q115" s="229">
        <f t="shared" si="21"/>
        <v>0</v>
      </c>
      <c r="R115" s="229">
        <v>0</v>
      </c>
      <c r="S115" s="229">
        <v>0</v>
      </c>
      <c r="T115" s="229">
        <f t="shared" si="19"/>
        <v>0</v>
      </c>
      <c r="U115" s="229">
        <v>0</v>
      </c>
      <c r="V115" s="229">
        <v>0</v>
      </c>
      <c r="W115" s="229">
        <v>0</v>
      </c>
      <c r="X115" s="229">
        <v>0</v>
      </c>
      <c r="Y115" s="229">
        <v>0</v>
      </c>
      <c r="Z115" s="229">
        <v>0</v>
      </c>
      <c r="AA115" s="215"/>
      <c r="AB115" s="215"/>
      <c r="AE115" s="215"/>
      <c r="AF115" s="215"/>
    </row>
    <row r="116" spans="1:32" ht="12.75" x14ac:dyDescent="0.2">
      <c r="A116" s="268">
        <v>106</v>
      </c>
      <c r="B116" s="269" t="s">
        <v>161</v>
      </c>
      <c r="C116" s="270" t="s">
        <v>162</v>
      </c>
      <c r="D116" s="229">
        <f t="shared" si="20"/>
        <v>17982</v>
      </c>
      <c r="E116" s="229">
        <f t="shared" si="17"/>
        <v>0</v>
      </c>
      <c r="F116" s="229">
        <v>0</v>
      </c>
      <c r="G116" s="229">
        <v>0</v>
      </c>
      <c r="H116" s="229">
        <v>0</v>
      </c>
      <c r="I116" s="229">
        <v>0</v>
      </c>
      <c r="J116" s="229">
        <f t="shared" si="18"/>
        <v>17596</v>
      </c>
      <c r="K116" s="229">
        <v>4102</v>
      </c>
      <c r="L116" s="229">
        <v>1110</v>
      </c>
      <c r="M116" s="229">
        <v>2083</v>
      </c>
      <c r="N116" s="229">
        <v>708</v>
      </c>
      <c r="O116" s="229">
        <v>6168</v>
      </c>
      <c r="P116" s="229">
        <v>3425</v>
      </c>
      <c r="Q116" s="229">
        <f t="shared" si="21"/>
        <v>0</v>
      </c>
      <c r="R116" s="229">
        <v>0</v>
      </c>
      <c r="S116" s="229">
        <v>0</v>
      </c>
      <c r="T116" s="229">
        <f t="shared" si="19"/>
        <v>386</v>
      </c>
      <c r="U116" s="229">
        <v>386</v>
      </c>
      <c r="V116" s="229">
        <v>0</v>
      </c>
      <c r="W116" s="229">
        <v>0</v>
      </c>
      <c r="X116" s="229">
        <v>0</v>
      </c>
      <c r="Y116" s="229">
        <v>0</v>
      </c>
      <c r="Z116" s="229">
        <v>0</v>
      </c>
      <c r="AA116" s="215"/>
      <c r="AB116" s="215"/>
      <c r="AE116" s="215"/>
      <c r="AF116" s="215"/>
    </row>
    <row r="117" spans="1:32" ht="12.75" x14ac:dyDescent="0.2">
      <c r="A117" s="268">
        <v>107</v>
      </c>
      <c r="B117" s="271" t="s">
        <v>163</v>
      </c>
      <c r="C117" s="270" t="s">
        <v>164</v>
      </c>
      <c r="D117" s="229">
        <f t="shared" si="20"/>
        <v>19592</v>
      </c>
      <c r="E117" s="229">
        <f t="shared" si="17"/>
        <v>0</v>
      </c>
      <c r="F117" s="229">
        <v>0</v>
      </c>
      <c r="G117" s="229">
        <v>0</v>
      </c>
      <c r="H117" s="229">
        <v>0</v>
      </c>
      <c r="I117" s="229">
        <v>0</v>
      </c>
      <c r="J117" s="229">
        <f t="shared" si="18"/>
        <v>18193</v>
      </c>
      <c r="K117" s="229">
        <v>3800</v>
      </c>
      <c r="L117" s="229">
        <v>450</v>
      </c>
      <c r="M117" s="229">
        <v>1643</v>
      </c>
      <c r="N117" s="229">
        <v>0</v>
      </c>
      <c r="O117" s="229">
        <v>8800</v>
      </c>
      <c r="P117" s="229">
        <v>3500</v>
      </c>
      <c r="Q117" s="229">
        <f t="shared" si="21"/>
        <v>1399</v>
      </c>
      <c r="R117" s="229">
        <v>1025</v>
      </c>
      <c r="S117" s="229">
        <v>374</v>
      </c>
      <c r="T117" s="229">
        <f t="shared" si="19"/>
        <v>0</v>
      </c>
      <c r="U117" s="229">
        <v>0</v>
      </c>
      <c r="V117" s="229">
        <v>0</v>
      </c>
      <c r="W117" s="229">
        <v>0</v>
      </c>
      <c r="X117" s="229">
        <v>0</v>
      </c>
      <c r="Y117" s="229">
        <v>0</v>
      </c>
      <c r="Z117" s="229">
        <v>0</v>
      </c>
      <c r="AA117" s="215"/>
      <c r="AB117" s="215"/>
      <c r="AE117" s="215"/>
      <c r="AF117" s="215"/>
    </row>
    <row r="118" spans="1:32" ht="12.75" x14ac:dyDescent="0.2">
      <c r="A118" s="268">
        <v>108</v>
      </c>
      <c r="B118" s="272" t="s">
        <v>165</v>
      </c>
      <c r="C118" s="273" t="s">
        <v>166</v>
      </c>
      <c r="D118" s="229">
        <f t="shared" si="20"/>
        <v>13503</v>
      </c>
      <c r="E118" s="229">
        <f t="shared" si="17"/>
        <v>0</v>
      </c>
      <c r="F118" s="229">
        <v>0</v>
      </c>
      <c r="G118" s="229">
        <v>0</v>
      </c>
      <c r="H118" s="229">
        <v>0</v>
      </c>
      <c r="I118" s="229">
        <v>0</v>
      </c>
      <c r="J118" s="229">
        <f t="shared" si="18"/>
        <v>13503</v>
      </c>
      <c r="K118" s="229">
        <v>1656</v>
      </c>
      <c r="L118" s="229">
        <v>398</v>
      </c>
      <c r="M118" s="229">
        <v>3500</v>
      </c>
      <c r="N118" s="229">
        <v>875</v>
      </c>
      <c r="O118" s="229">
        <v>4811</v>
      </c>
      <c r="P118" s="229">
        <v>2263</v>
      </c>
      <c r="Q118" s="229">
        <f t="shared" si="21"/>
        <v>0</v>
      </c>
      <c r="R118" s="229">
        <v>0</v>
      </c>
      <c r="S118" s="229">
        <v>0</v>
      </c>
      <c r="T118" s="229">
        <f t="shared" si="19"/>
        <v>0</v>
      </c>
      <c r="U118" s="229">
        <v>0</v>
      </c>
      <c r="V118" s="229">
        <v>0</v>
      </c>
      <c r="W118" s="229">
        <v>0</v>
      </c>
      <c r="X118" s="229">
        <v>0</v>
      </c>
      <c r="Y118" s="229">
        <v>0</v>
      </c>
      <c r="Z118" s="229">
        <v>0</v>
      </c>
      <c r="AA118" s="215"/>
      <c r="AB118" s="215"/>
      <c r="AE118" s="215"/>
      <c r="AF118" s="215"/>
    </row>
    <row r="119" spans="1:32" ht="12.75" x14ac:dyDescent="0.2">
      <c r="A119" s="268">
        <v>109</v>
      </c>
      <c r="B119" s="272" t="s">
        <v>167</v>
      </c>
      <c r="C119" s="273" t="s">
        <v>168</v>
      </c>
      <c r="D119" s="229">
        <f t="shared" si="20"/>
        <v>14765</v>
      </c>
      <c r="E119" s="229">
        <f t="shared" si="17"/>
        <v>0</v>
      </c>
      <c r="F119" s="229">
        <v>0</v>
      </c>
      <c r="G119" s="229">
        <v>0</v>
      </c>
      <c r="H119" s="229">
        <v>0</v>
      </c>
      <c r="I119" s="229">
        <v>0</v>
      </c>
      <c r="J119" s="229">
        <f t="shared" si="18"/>
        <v>14765</v>
      </c>
      <c r="K119" s="229">
        <v>2620</v>
      </c>
      <c r="L119" s="229">
        <v>0</v>
      </c>
      <c r="M119" s="229">
        <v>1392</v>
      </c>
      <c r="N119" s="229">
        <v>208</v>
      </c>
      <c r="O119" s="229">
        <v>5600</v>
      </c>
      <c r="P119" s="229">
        <v>4945</v>
      </c>
      <c r="Q119" s="229">
        <f t="shared" si="21"/>
        <v>0</v>
      </c>
      <c r="R119" s="229">
        <v>0</v>
      </c>
      <c r="S119" s="229">
        <v>0</v>
      </c>
      <c r="T119" s="229">
        <f t="shared" si="19"/>
        <v>0</v>
      </c>
      <c r="U119" s="229">
        <v>0</v>
      </c>
      <c r="V119" s="229">
        <v>0</v>
      </c>
      <c r="W119" s="229">
        <v>0</v>
      </c>
      <c r="X119" s="229">
        <v>0</v>
      </c>
      <c r="Y119" s="229">
        <v>0</v>
      </c>
      <c r="Z119" s="229">
        <v>0</v>
      </c>
      <c r="AA119" s="215"/>
      <c r="AB119" s="215"/>
      <c r="AE119" s="215"/>
      <c r="AF119" s="215"/>
    </row>
    <row r="120" spans="1:32" ht="12.75" x14ac:dyDescent="0.2">
      <c r="A120" s="268">
        <v>110</v>
      </c>
      <c r="B120" s="269" t="s">
        <v>169</v>
      </c>
      <c r="C120" s="270" t="s">
        <v>170</v>
      </c>
      <c r="D120" s="229">
        <f t="shared" si="20"/>
        <v>13869</v>
      </c>
      <c r="E120" s="229">
        <f t="shared" si="17"/>
        <v>0</v>
      </c>
      <c r="F120" s="229">
        <v>0</v>
      </c>
      <c r="G120" s="229">
        <v>0</v>
      </c>
      <c r="H120" s="229">
        <v>0</v>
      </c>
      <c r="I120" s="229">
        <v>0</v>
      </c>
      <c r="J120" s="229">
        <f t="shared" si="18"/>
        <v>13869</v>
      </c>
      <c r="K120" s="229">
        <v>5200</v>
      </c>
      <c r="L120" s="229">
        <v>0</v>
      </c>
      <c r="M120" s="229">
        <v>993</v>
      </c>
      <c r="N120" s="229">
        <v>0</v>
      </c>
      <c r="O120" s="229">
        <v>5435</v>
      </c>
      <c r="P120" s="229">
        <v>2241</v>
      </c>
      <c r="Q120" s="229">
        <f t="shared" si="21"/>
        <v>0</v>
      </c>
      <c r="R120" s="229">
        <v>0</v>
      </c>
      <c r="S120" s="229">
        <v>0</v>
      </c>
      <c r="T120" s="229">
        <f t="shared" si="19"/>
        <v>0</v>
      </c>
      <c r="U120" s="229">
        <v>0</v>
      </c>
      <c r="V120" s="229">
        <v>0</v>
      </c>
      <c r="W120" s="229">
        <v>0</v>
      </c>
      <c r="X120" s="229">
        <v>0</v>
      </c>
      <c r="Y120" s="229">
        <v>0</v>
      </c>
      <c r="Z120" s="229">
        <v>0</v>
      </c>
      <c r="AA120" s="215"/>
      <c r="AB120" s="215"/>
      <c r="AE120" s="215"/>
      <c r="AF120" s="215"/>
    </row>
    <row r="121" spans="1:32" ht="12.75" x14ac:dyDescent="0.2">
      <c r="A121" s="268">
        <v>111</v>
      </c>
      <c r="B121" s="271" t="s">
        <v>171</v>
      </c>
      <c r="C121" s="270" t="s">
        <v>491</v>
      </c>
      <c r="D121" s="229">
        <f t="shared" si="20"/>
        <v>14846</v>
      </c>
      <c r="E121" s="229">
        <f t="shared" si="17"/>
        <v>0</v>
      </c>
      <c r="F121" s="229">
        <v>0</v>
      </c>
      <c r="G121" s="229">
        <v>0</v>
      </c>
      <c r="H121" s="229">
        <v>0</v>
      </c>
      <c r="I121" s="229">
        <v>0</v>
      </c>
      <c r="J121" s="229">
        <f t="shared" si="18"/>
        <v>14846</v>
      </c>
      <c r="K121" s="229">
        <v>732</v>
      </c>
      <c r="L121" s="229">
        <v>90</v>
      </c>
      <c r="M121" s="229">
        <v>785</v>
      </c>
      <c r="N121" s="229">
        <v>245</v>
      </c>
      <c r="O121" s="229">
        <v>8120</v>
      </c>
      <c r="P121" s="229">
        <v>4874</v>
      </c>
      <c r="Q121" s="229">
        <f t="shared" si="21"/>
        <v>0</v>
      </c>
      <c r="R121" s="229">
        <v>0</v>
      </c>
      <c r="S121" s="229">
        <v>0</v>
      </c>
      <c r="T121" s="229">
        <f t="shared" si="19"/>
        <v>0</v>
      </c>
      <c r="U121" s="229">
        <v>0</v>
      </c>
      <c r="V121" s="229">
        <v>0</v>
      </c>
      <c r="W121" s="229">
        <v>0</v>
      </c>
      <c r="X121" s="229">
        <v>0</v>
      </c>
      <c r="Y121" s="229">
        <v>0</v>
      </c>
      <c r="Z121" s="229">
        <v>0</v>
      </c>
      <c r="AA121" s="215"/>
      <c r="AB121" s="215"/>
      <c r="AE121" s="215"/>
      <c r="AF121" s="215"/>
    </row>
    <row r="122" spans="1:32" ht="12.75" x14ac:dyDescent="0.2">
      <c r="A122" s="268">
        <v>112</v>
      </c>
      <c r="B122" s="269" t="s">
        <v>373</v>
      </c>
      <c r="C122" s="273" t="s">
        <v>492</v>
      </c>
      <c r="D122" s="229">
        <f t="shared" si="20"/>
        <v>5184</v>
      </c>
      <c r="E122" s="229">
        <f t="shared" si="17"/>
        <v>5184</v>
      </c>
      <c r="F122" s="229">
        <v>5184</v>
      </c>
      <c r="G122" s="229">
        <v>0</v>
      </c>
      <c r="H122" s="229">
        <v>0</v>
      </c>
      <c r="I122" s="229">
        <v>0</v>
      </c>
      <c r="J122" s="229">
        <f t="shared" si="18"/>
        <v>0</v>
      </c>
      <c r="K122" s="229">
        <v>0</v>
      </c>
      <c r="L122" s="229">
        <v>0</v>
      </c>
      <c r="M122" s="229">
        <v>0</v>
      </c>
      <c r="N122" s="229">
        <v>0</v>
      </c>
      <c r="O122" s="229">
        <v>0</v>
      </c>
      <c r="P122" s="229">
        <v>0</v>
      </c>
      <c r="Q122" s="229">
        <f t="shared" si="21"/>
        <v>0</v>
      </c>
      <c r="R122" s="229">
        <v>0</v>
      </c>
      <c r="S122" s="229">
        <v>0</v>
      </c>
      <c r="T122" s="229">
        <f t="shared" si="19"/>
        <v>0</v>
      </c>
      <c r="U122" s="229">
        <v>0</v>
      </c>
      <c r="V122" s="229">
        <v>0</v>
      </c>
      <c r="W122" s="229">
        <v>0</v>
      </c>
      <c r="X122" s="229">
        <v>0</v>
      </c>
      <c r="Y122" s="229">
        <v>0</v>
      </c>
      <c r="Z122" s="229">
        <v>0</v>
      </c>
      <c r="AA122" s="215"/>
      <c r="AB122" s="215"/>
      <c r="AE122" s="215"/>
      <c r="AF122" s="215"/>
    </row>
    <row r="123" spans="1:32" x14ac:dyDescent="0.2">
      <c r="A123" s="268">
        <v>113</v>
      </c>
      <c r="B123" s="293" t="s">
        <v>493</v>
      </c>
      <c r="C123" s="234" t="s">
        <v>494</v>
      </c>
      <c r="D123" s="229">
        <f t="shared" si="20"/>
        <v>0</v>
      </c>
      <c r="E123" s="229">
        <f t="shared" si="17"/>
        <v>0</v>
      </c>
      <c r="F123" s="229">
        <v>0</v>
      </c>
      <c r="G123" s="229">
        <v>0</v>
      </c>
      <c r="H123" s="229">
        <v>0</v>
      </c>
      <c r="I123" s="229">
        <v>0</v>
      </c>
      <c r="J123" s="229">
        <f t="shared" si="18"/>
        <v>0</v>
      </c>
      <c r="K123" s="229">
        <v>0</v>
      </c>
      <c r="L123" s="229">
        <v>0</v>
      </c>
      <c r="M123" s="229">
        <v>0</v>
      </c>
      <c r="N123" s="229">
        <v>0</v>
      </c>
      <c r="O123" s="229">
        <v>0</v>
      </c>
      <c r="P123" s="229">
        <v>0</v>
      </c>
      <c r="Q123" s="229">
        <f t="shared" si="21"/>
        <v>0</v>
      </c>
      <c r="R123" s="229">
        <v>0</v>
      </c>
      <c r="S123" s="229">
        <v>0</v>
      </c>
      <c r="T123" s="229">
        <f t="shared" si="19"/>
        <v>0</v>
      </c>
      <c r="U123" s="229">
        <v>0</v>
      </c>
      <c r="V123" s="229">
        <v>0</v>
      </c>
      <c r="W123" s="229">
        <v>0</v>
      </c>
      <c r="X123" s="229">
        <v>0</v>
      </c>
      <c r="Y123" s="229">
        <v>0</v>
      </c>
      <c r="Z123" s="229">
        <v>0</v>
      </c>
      <c r="AA123" s="215"/>
      <c r="AB123" s="215"/>
      <c r="AE123" s="215"/>
      <c r="AF123" s="215"/>
    </row>
    <row r="124" spans="1:32" ht="12.75" x14ac:dyDescent="0.2">
      <c r="A124" s="268">
        <v>114</v>
      </c>
      <c r="B124" s="272" t="s">
        <v>375</v>
      </c>
      <c r="C124" s="273" t="s">
        <v>495</v>
      </c>
      <c r="D124" s="229">
        <f t="shared" si="20"/>
        <v>1260</v>
      </c>
      <c r="E124" s="229">
        <f t="shared" si="17"/>
        <v>1260</v>
      </c>
      <c r="F124" s="229">
        <v>1260</v>
      </c>
      <c r="G124" s="229">
        <v>0</v>
      </c>
      <c r="H124" s="229">
        <v>0</v>
      </c>
      <c r="I124" s="229">
        <v>0</v>
      </c>
      <c r="J124" s="229">
        <f t="shared" si="18"/>
        <v>0</v>
      </c>
      <c r="K124" s="229">
        <v>0</v>
      </c>
      <c r="L124" s="229">
        <v>0</v>
      </c>
      <c r="M124" s="229">
        <v>0</v>
      </c>
      <c r="N124" s="229">
        <v>0</v>
      </c>
      <c r="O124" s="229">
        <v>0</v>
      </c>
      <c r="P124" s="229">
        <v>0</v>
      </c>
      <c r="Q124" s="229">
        <f t="shared" si="21"/>
        <v>0</v>
      </c>
      <c r="R124" s="229">
        <v>0</v>
      </c>
      <c r="S124" s="229">
        <v>0</v>
      </c>
      <c r="T124" s="229">
        <f t="shared" si="19"/>
        <v>0</v>
      </c>
      <c r="U124" s="229">
        <v>0</v>
      </c>
      <c r="V124" s="229">
        <v>0</v>
      </c>
      <c r="W124" s="229">
        <v>0</v>
      </c>
      <c r="X124" s="229">
        <v>0</v>
      </c>
      <c r="Y124" s="229">
        <v>0</v>
      </c>
      <c r="Z124" s="229">
        <v>0</v>
      </c>
      <c r="AA124" s="215"/>
      <c r="AB124" s="215"/>
      <c r="AE124" s="215"/>
      <c r="AF124" s="215"/>
    </row>
    <row r="125" spans="1:32" ht="12.75" x14ac:dyDescent="0.2">
      <c r="A125" s="268">
        <v>115</v>
      </c>
      <c r="B125" s="272" t="s">
        <v>377</v>
      </c>
      <c r="C125" s="273" t="s">
        <v>496</v>
      </c>
      <c r="D125" s="229">
        <f t="shared" si="20"/>
        <v>19</v>
      </c>
      <c r="E125" s="229">
        <f t="shared" si="17"/>
        <v>19</v>
      </c>
      <c r="F125" s="229">
        <v>19</v>
      </c>
      <c r="G125" s="229">
        <v>0</v>
      </c>
      <c r="H125" s="229">
        <v>0</v>
      </c>
      <c r="I125" s="229">
        <v>0</v>
      </c>
      <c r="J125" s="229">
        <f t="shared" si="18"/>
        <v>0</v>
      </c>
      <c r="K125" s="229">
        <v>0</v>
      </c>
      <c r="L125" s="229">
        <v>0</v>
      </c>
      <c r="M125" s="229">
        <v>0</v>
      </c>
      <c r="N125" s="229">
        <v>0</v>
      </c>
      <c r="O125" s="229">
        <v>0</v>
      </c>
      <c r="P125" s="229">
        <v>0</v>
      </c>
      <c r="Q125" s="229">
        <f t="shared" si="21"/>
        <v>0</v>
      </c>
      <c r="R125" s="229">
        <v>0</v>
      </c>
      <c r="S125" s="229">
        <v>0</v>
      </c>
      <c r="T125" s="229">
        <f t="shared" si="19"/>
        <v>0</v>
      </c>
      <c r="U125" s="229">
        <v>0</v>
      </c>
      <c r="V125" s="229">
        <v>0</v>
      </c>
      <c r="W125" s="229">
        <v>0</v>
      </c>
      <c r="X125" s="229">
        <v>0</v>
      </c>
      <c r="Y125" s="229">
        <v>0</v>
      </c>
      <c r="Z125" s="229">
        <v>0</v>
      </c>
      <c r="AA125" s="215"/>
      <c r="AB125" s="215"/>
      <c r="AE125" s="215"/>
      <c r="AF125" s="215"/>
    </row>
    <row r="126" spans="1:32" x14ac:dyDescent="0.2">
      <c r="A126" s="268">
        <v>116</v>
      </c>
      <c r="B126" s="248" t="s">
        <v>497</v>
      </c>
      <c r="C126" s="238" t="s">
        <v>498</v>
      </c>
      <c r="D126" s="229">
        <f t="shared" si="20"/>
        <v>0</v>
      </c>
      <c r="E126" s="229">
        <f t="shared" si="17"/>
        <v>0</v>
      </c>
      <c r="F126" s="229">
        <v>0</v>
      </c>
      <c r="G126" s="229">
        <v>0</v>
      </c>
      <c r="H126" s="229">
        <v>0</v>
      </c>
      <c r="I126" s="229">
        <v>0</v>
      </c>
      <c r="J126" s="229">
        <f t="shared" si="18"/>
        <v>0</v>
      </c>
      <c r="K126" s="229">
        <v>0</v>
      </c>
      <c r="L126" s="229">
        <v>0</v>
      </c>
      <c r="M126" s="229">
        <v>0</v>
      </c>
      <c r="N126" s="229">
        <v>0</v>
      </c>
      <c r="O126" s="229">
        <v>0</v>
      </c>
      <c r="P126" s="229">
        <v>0</v>
      </c>
      <c r="Q126" s="229">
        <f t="shared" si="21"/>
        <v>0</v>
      </c>
      <c r="R126" s="229">
        <v>0</v>
      </c>
      <c r="S126" s="229">
        <v>0</v>
      </c>
      <c r="T126" s="229">
        <f t="shared" si="19"/>
        <v>0</v>
      </c>
      <c r="U126" s="229">
        <v>0</v>
      </c>
      <c r="V126" s="229">
        <v>0</v>
      </c>
      <c r="W126" s="229">
        <v>0</v>
      </c>
      <c r="X126" s="229">
        <v>0</v>
      </c>
      <c r="Y126" s="229">
        <v>0</v>
      </c>
      <c r="Z126" s="229">
        <v>0</v>
      </c>
      <c r="AA126" s="215"/>
      <c r="AB126" s="215"/>
      <c r="AE126" s="215"/>
      <c r="AF126" s="215"/>
    </row>
    <row r="127" spans="1:32" ht="24" x14ac:dyDescent="0.2">
      <c r="A127" s="268">
        <v>117</v>
      </c>
      <c r="B127" s="248" t="s">
        <v>379</v>
      </c>
      <c r="C127" s="238" t="s">
        <v>499</v>
      </c>
      <c r="D127" s="229">
        <f t="shared" si="20"/>
        <v>0</v>
      </c>
      <c r="E127" s="229">
        <f t="shared" si="17"/>
        <v>0</v>
      </c>
      <c r="F127" s="229">
        <v>0</v>
      </c>
      <c r="G127" s="229">
        <v>0</v>
      </c>
      <c r="H127" s="229">
        <v>0</v>
      </c>
      <c r="I127" s="229">
        <v>0</v>
      </c>
      <c r="J127" s="229">
        <f t="shared" si="18"/>
        <v>0</v>
      </c>
      <c r="K127" s="229">
        <v>0</v>
      </c>
      <c r="L127" s="229">
        <v>0</v>
      </c>
      <c r="M127" s="229">
        <v>0</v>
      </c>
      <c r="N127" s="229">
        <v>0</v>
      </c>
      <c r="O127" s="229">
        <v>0</v>
      </c>
      <c r="P127" s="229">
        <v>0</v>
      </c>
      <c r="Q127" s="229">
        <f t="shared" si="21"/>
        <v>0</v>
      </c>
      <c r="R127" s="229">
        <v>0</v>
      </c>
      <c r="S127" s="229">
        <v>0</v>
      </c>
      <c r="T127" s="229">
        <f t="shared" si="19"/>
        <v>0</v>
      </c>
      <c r="U127" s="229">
        <v>0</v>
      </c>
      <c r="V127" s="229">
        <v>0</v>
      </c>
      <c r="W127" s="229">
        <v>0</v>
      </c>
      <c r="X127" s="229">
        <v>0</v>
      </c>
      <c r="Y127" s="229">
        <v>0</v>
      </c>
      <c r="Z127" s="229">
        <v>0</v>
      </c>
      <c r="AA127" s="215"/>
      <c r="AB127" s="215"/>
      <c r="AE127" s="215"/>
      <c r="AF127" s="215"/>
    </row>
    <row r="128" spans="1:32" x14ac:dyDescent="0.2">
      <c r="A128" s="268">
        <v>118</v>
      </c>
      <c r="B128" s="248" t="s">
        <v>172</v>
      </c>
      <c r="C128" s="238" t="s">
        <v>173</v>
      </c>
      <c r="D128" s="229">
        <f t="shared" si="20"/>
        <v>0</v>
      </c>
      <c r="E128" s="229">
        <f t="shared" si="17"/>
        <v>0</v>
      </c>
      <c r="F128" s="229">
        <v>0</v>
      </c>
      <c r="G128" s="229">
        <v>0</v>
      </c>
      <c r="H128" s="229">
        <v>0</v>
      </c>
      <c r="I128" s="229">
        <v>0</v>
      </c>
      <c r="J128" s="229">
        <f t="shared" si="18"/>
        <v>0</v>
      </c>
      <c r="K128" s="229">
        <v>0</v>
      </c>
      <c r="L128" s="229">
        <v>0</v>
      </c>
      <c r="M128" s="229">
        <v>0</v>
      </c>
      <c r="N128" s="229">
        <v>0</v>
      </c>
      <c r="O128" s="229">
        <v>0</v>
      </c>
      <c r="P128" s="229">
        <v>0</v>
      </c>
      <c r="Q128" s="229">
        <f t="shared" si="21"/>
        <v>0</v>
      </c>
      <c r="R128" s="229">
        <v>0</v>
      </c>
      <c r="S128" s="229">
        <v>0</v>
      </c>
      <c r="T128" s="229">
        <f t="shared" si="19"/>
        <v>0</v>
      </c>
      <c r="U128" s="229">
        <v>0</v>
      </c>
      <c r="V128" s="229">
        <v>0</v>
      </c>
      <c r="W128" s="229">
        <v>0</v>
      </c>
      <c r="X128" s="229">
        <v>0</v>
      </c>
      <c r="Y128" s="229">
        <v>0</v>
      </c>
      <c r="Z128" s="229">
        <v>0</v>
      </c>
      <c r="AA128" s="215"/>
      <c r="AB128" s="215"/>
      <c r="AE128" s="215"/>
      <c r="AF128" s="215"/>
    </row>
    <row r="129" spans="1:32" ht="12.75" x14ac:dyDescent="0.2">
      <c r="A129" s="268">
        <v>119</v>
      </c>
      <c r="B129" s="272" t="s">
        <v>381</v>
      </c>
      <c r="C129" s="273" t="s">
        <v>500</v>
      </c>
      <c r="D129" s="229">
        <f t="shared" si="20"/>
        <v>24948</v>
      </c>
      <c r="E129" s="229">
        <f t="shared" si="17"/>
        <v>24948</v>
      </c>
      <c r="F129" s="229">
        <v>24948</v>
      </c>
      <c r="G129" s="229">
        <v>0</v>
      </c>
      <c r="H129" s="229">
        <v>0</v>
      </c>
      <c r="I129" s="229">
        <v>0</v>
      </c>
      <c r="J129" s="229">
        <f t="shared" si="18"/>
        <v>0</v>
      </c>
      <c r="K129" s="229">
        <v>0</v>
      </c>
      <c r="L129" s="229">
        <v>0</v>
      </c>
      <c r="M129" s="229">
        <v>0</v>
      </c>
      <c r="N129" s="229">
        <v>0</v>
      </c>
      <c r="O129" s="226">
        <v>0</v>
      </c>
      <c r="P129" s="226">
        <v>0</v>
      </c>
      <c r="Q129" s="229">
        <f t="shared" si="21"/>
        <v>0</v>
      </c>
      <c r="R129" s="226">
        <v>0</v>
      </c>
      <c r="S129" s="226">
        <v>0</v>
      </c>
      <c r="T129" s="229">
        <f t="shared" si="19"/>
        <v>0</v>
      </c>
      <c r="U129" s="229">
        <v>0</v>
      </c>
      <c r="V129" s="226">
        <v>0</v>
      </c>
      <c r="W129" s="229">
        <v>0</v>
      </c>
      <c r="X129" s="229">
        <v>0</v>
      </c>
      <c r="Y129" s="229">
        <v>0</v>
      </c>
      <c r="Z129" s="229">
        <v>0</v>
      </c>
      <c r="AA129" s="215"/>
      <c r="AB129" s="215"/>
      <c r="AE129" s="215"/>
      <c r="AF129" s="215"/>
    </row>
    <row r="130" spans="1:32" x14ac:dyDescent="0.2">
      <c r="A130" s="268">
        <v>120</v>
      </c>
      <c r="B130" s="250" t="s">
        <v>174</v>
      </c>
      <c r="C130" s="251" t="s">
        <v>175</v>
      </c>
      <c r="D130" s="229"/>
      <c r="E130" s="229"/>
      <c r="F130" s="229">
        <v>0</v>
      </c>
      <c r="G130" s="229">
        <v>0</v>
      </c>
      <c r="H130" s="229">
        <v>0</v>
      </c>
      <c r="I130" s="229">
        <v>0</v>
      </c>
      <c r="J130" s="229"/>
      <c r="K130" s="229">
        <v>0</v>
      </c>
      <c r="L130" s="229">
        <v>0</v>
      </c>
      <c r="M130" s="229">
        <v>0</v>
      </c>
      <c r="N130" s="229">
        <v>0</v>
      </c>
      <c r="O130" s="226">
        <v>0</v>
      </c>
      <c r="P130" s="226">
        <v>0</v>
      </c>
      <c r="Q130" s="229"/>
      <c r="R130" s="226">
        <v>0</v>
      </c>
      <c r="S130" s="226">
        <v>0</v>
      </c>
      <c r="T130" s="229"/>
      <c r="U130" s="229">
        <v>0</v>
      </c>
      <c r="V130" s="226">
        <v>0</v>
      </c>
      <c r="W130" s="229">
        <v>0</v>
      </c>
      <c r="X130" s="229">
        <v>0</v>
      </c>
      <c r="Y130" s="229">
        <v>0</v>
      </c>
      <c r="Z130" s="229">
        <v>0</v>
      </c>
      <c r="AA130" s="215"/>
      <c r="AB130" s="215"/>
      <c r="AE130" s="215"/>
      <c r="AF130" s="215"/>
    </row>
    <row r="131" spans="1:32" ht="12.75" x14ac:dyDescent="0.2">
      <c r="A131" s="268">
        <v>121</v>
      </c>
      <c r="B131" s="282" t="s">
        <v>176</v>
      </c>
      <c r="C131" s="283" t="s">
        <v>526</v>
      </c>
      <c r="D131" s="229">
        <f t="shared" si="20"/>
        <v>0</v>
      </c>
      <c r="E131" s="229">
        <f t="shared" si="17"/>
        <v>0</v>
      </c>
      <c r="F131" s="229">
        <v>0</v>
      </c>
      <c r="G131" s="229">
        <v>0</v>
      </c>
      <c r="H131" s="229">
        <v>0</v>
      </c>
      <c r="I131" s="229">
        <v>0</v>
      </c>
      <c r="J131" s="229">
        <f t="shared" si="18"/>
        <v>0</v>
      </c>
      <c r="K131" s="229">
        <v>0</v>
      </c>
      <c r="L131" s="229">
        <v>0</v>
      </c>
      <c r="M131" s="229">
        <v>0</v>
      </c>
      <c r="N131" s="229">
        <v>0</v>
      </c>
      <c r="O131" s="226">
        <v>0</v>
      </c>
      <c r="P131" s="226">
        <v>0</v>
      </c>
      <c r="Q131" s="229">
        <f t="shared" si="21"/>
        <v>0</v>
      </c>
      <c r="R131" s="226">
        <v>0</v>
      </c>
      <c r="S131" s="226">
        <v>0</v>
      </c>
      <c r="T131" s="229">
        <f t="shared" si="19"/>
        <v>0</v>
      </c>
      <c r="U131" s="229">
        <v>0</v>
      </c>
      <c r="V131" s="226">
        <v>0</v>
      </c>
      <c r="W131" s="229">
        <v>0</v>
      </c>
      <c r="X131" s="229">
        <v>0</v>
      </c>
      <c r="Y131" s="229">
        <v>0</v>
      </c>
      <c r="Z131" s="229">
        <v>0</v>
      </c>
      <c r="AA131" s="215"/>
      <c r="AB131" s="215"/>
      <c r="AE131" s="215"/>
      <c r="AF131" s="215"/>
    </row>
    <row r="132" spans="1:32" x14ac:dyDescent="0.2">
      <c r="A132" s="268">
        <v>122</v>
      </c>
      <c r="B132" s="248" t="s">
        <v>383</v>
      </c>
      <c r="C132" s="238" t="s">
        <v>501</v>
      </c>
      <c r="D132" s="229">
        <f t="shared" si="20"/>
        <v>0</v>
      </c>
      <c r="E132" s="229">
        <f t="shared" si="17"/>
        <v>0</v>
      </c>
      <c r="F132" s="229">
        <v>0</v>
      </c>
      <c r="G132" s="229">
        <v>0</v>
      </c>
      <c r="H132" s="229">
        <v>0</v>
      </c>
      <c r="I132" s="229">
        <v>0</v>
      </c>
      <c r="J132" s="229">
        <f t="shared" si="18"/>
        <v>0</v>
      </c>
      <c r="K132" s="229">
        <v>0</v>
      </c>
      <c r="L132" s="229">
        <v>0</v>
      </c>
      <c r="M132" s="229">
        <v>0</v>
      </c>
      <c r="N132" s="229">
        <v>0</v>
      </c>
      <c r="O132" s="226">
        <v>0</v>
      </c>
      <c r="P132" s="226">
        <v>0</v>
      </c>
      <c r="Q132" s="229">
        <f t="shared" si="21"/>
        <v>0</v>
      </c>
      <c r="R132" s="226">
        <v>0</v>
      </c>
      <c r="S132" s="226">
        <v>0</v>
      </c>
      <c r="T132" s="229">
        <f t="shared" si="19"/>
        <v>0</v>
      </c>
      <c r="U132" s="229">
        <v>0</v>
      </c>
      <c r="V132" s="226">
        <v>0</v>
      </c>
      <c r="W132" s="229">
        <v>0</v>
      </c>
      <c r="X132" s="229">
        <v>0</v>
      </c>
      <c r="Y132" s="229">
        <v>0</v>
      </c>
      <c r="Z132" s="229">
        <v>0</v>
      </c>
      <c r="AA132" s="215"/>
      <c r="AB132" s="215"/>
      <c r="AE132" s="215"/>
      <c r="AF132" s="215"/>
    </row>
    <row r="133" spans="1:32" x14ac:dyDescent="0.2">
      <c r="A133" s="268">
        <v>123</v>
      </c>
      <c r="B133" s="237" t="s">
        <v>502</v>
      </c>
      <c r="C133" s="253" t="s">
        <v>503</v>
      </c>
      <c r="D133" s="229">
        <f t="shared" si="20"/>
        <v>0</v>
      </c>
      <c r="E133" s="229">
        <f t="shared" si="17"/>
        <v>0</v>
      </c>
      <c r="F133" s="229">
        <v>0</v>
      </c>
      <c r="G133" s="229">
        <v>0</v>
      </c>
      <c r="H133" s="229">
        <v>0</v>
      </c>
      <c r="I133" s="229">
        <v>0</v>
      </c>
      <c r="J133" s="229">
        <f t="shared" si="18"/>
        <v>0</v>
      </c>
      <c r="K133" s="229">
        <v>0</v>
      </c>
      <c r="L133" s="229">
        <v>0</v>
      </c>
      <c r="M133" s="229">
        <v>0</v>
      </c>
      <c r="N133" s="229">
        <v>0</v>
      </c>
      <c r="O133" s="226">
        <v>0</v>
      </c>
      <c r="P133" s="226">
        <v>0</v>
      </c>
      <c r="Q133" s="229">
        <f t="shared" si="21"/>
        <v>0</v>
      </c>
      <c r="R133" s="226">
        <v>0</v>
      </c>
      <c r="S133" s="226">
        <v>0</v>
      </c>
      <c r="T133" s="229">
        <f t="shared" si="19"/>
        <v>0</v>
      </c>
      <c r="U133" s="229">
        <v>0</v>
      </c>
      <c r="V133" s="226">
        <v>0</v>
      </c>
      <c r="W133" s="229">
        <v>0</v>
      </c>
      <c r="X133" s="229">
        <v>0</v>
      </c>
      <c r="Y133" s="229">
        <v>0</v>
      </c>
      <c r="Z133" s="229">
        <v>0</v>
      </c>
      <c r="AA133" s="215"/>
      <c r="AB133" s="215"/>
      <c r="AE133" s="215"/>
      <c r="AF133" s="215"/>
    </row>
    <row r="134" spans="1:32" ht="24" x14ac:dyDescent="0.2">
      <c r="A134" s="268">
        <v>124</v>
      </c>
      <c r="B134" s="248" t="s">
        <v>504</v>
      </c>
      <c r="C134" s="238" t="s">
        <v>505</v>
      </c>
      <c r="D134" s="229">
        <f t="shared" si="20"/>
        <v>0</v>
      </c>
      <c r="E134" s="229">
        <f t="shared" si="17"/>
        <v>0</v>
      </c>
      <c r="F134" s="229">
        <v>0</v>
      </c>
      <c r="G134" s="229">
        <v>0</v>
      </c>
      <c r="H134" s="229">
        <v>0</v>
      </c>
      <c r="I134" s="229">
        <v>0</v>
      </c>
      <c r="J134" s="229">
        <f t="shared" si="18"/>
        <v>0</v>
      </c>
      <c r="K134" s="229">
        <v>0</v>
      </c>
      <c r="L134" s="229">
        <v>0</v>
      </c>
      <c r="M134" s="229">
        <v>0</v>
      </c>
      <c r="N134" s="229">
        <v>0</v>
      </c>
      <c r="O134" s="226">
        <v>0</v>
      </c>
      <c r="P134" s="226">
        <v>0</v>
      </c>
      <c r="Q134" s="229">
        <f t="shared" si="21"/>
        <v>0</v>
      </c>
      <c r="R134" s="226">
        <v>0</v>
      </c>
      <c r="S134" s="226">
        <v>0</v>
      </c>
      <c r="T134" s="229">
        <f t="shared" si="19"/>
        <v>0</v>
      </c>
      <c r="U134" s="229">
        <v>0</v>
      </c>
      <c r="V134" s="226">
        <v>0</v>
      </c>
      <c r="W134" s="229">
        <v>0</v>
      </c>
      <c r="X134" s="229">
        <v>0</v>
      </c>
      <c r="Y134" s="229">
        <v>0</v>
      </c>
      <c r="Z134" s="229">
        <v>0</v>
      </c>
      <c r="AA134" s="215"/>
      <c r="AB134" s="215"/>
      <c r="AE134" s="215"/>
      <c r="AF134" s="215"/>
    </row>
    <row r="135" spans="1:32" ht="24" x14ac:dyDescent="0.2">
      <c r="A135" s="268">
        <v>125</v>
      </c>
      <c r="B135" s="248" t="s">
        <v>177</v>
      </c>
      <c r="C135" s="238" t="s">
        <v>178</v>
      </c>
      <c r="D135" s="229">
        <f t="shared" si="20"/>
        <v>0</v>
      </c>
      <c r="E135" s="229">
        <f t="shared" si="17"/>
        <v>0</v>
      </c>
      <c r="F135" s="229">
        <v>0</v>
      </c>
      <c r="G135" s="229">
        <v>0</v>
      </c>
      <c r="H135" s="229">
        <v>0</v>
      </c>
      <c r="I135" s="229">
        <v>0</v>
      </c>
      <c r="J135" s="229">
        <f t="shared" si="18"/>
        <v>0</v>
      </c>
      <c r="K135" s="229">
        <v>0</v>
      </c>
      <c r="L135" s="229">
        <v>0</v>
      </c>
      <c r="M135" s="229">
        <v>0</v>
      </c>
      <c r="N135" s="229">
        <v>0</v>
      </c>
      <c r="O135" s="226">
        <v>0</v>
      </c>
      <c r="P135" s="226">
        <v>0</v>
      </c>
      <c r="Q135" s="229">
        <f t="shared" si="21"/>
        <v>0</v>
      </c>
      <c r="R135" s="226">
        <v>0</v>
      </c>
      <c r="S135" s="226">
        <v>0</v>
      </c>
      <c r="T135" s="229">
        <f t="shared" si="19"/>
        <v>0</v>
      </c>
      <c r="U135" s="229">
        <v>0</v>
      </c>
      <c r="V135" s="226">
        <v>0</v>
      </c>
      <c r="W135" s="229">
        <v>0</v>
      </c>
      <c r="X135" s="229">
        <v>0</v>
      </c>
      <c r="Y135" s="229">
        <v>0</v>
      </c>
      <c r="Z135" s="229">
        <v>0</v>
      </c>
      <c r="AA135" s="215"/>
      <c r="AB135" s="215"/>
      <c r="AE135" s="215"/>
      <c r="AF135" s="215"/>
    </row>
    <row r="136" spans="1:32" ht="12.75" x14ac:dyDescent="0.2">
      <c r="A136" s="268">
        <v>126</v>
      </c>
      <c r="B136" s="271" t="s">
        <v>179</v>
      </c>
      <c r="C136" s="273" t="s">
        <v>506</v>
      </c>
      <c r="D136" s="229">
        <f t="shared" si="20"/>
        <v>86</v>
      </c>
      <c r="E136" s="229">
        <f t="shared" si="17"/>
        <v>86</v>
      </c>
      <c r="F136" s="229">
        <v>74</v>
      </c>
      <c r="G136" s="229">
        <v>0</v>
      </c>
      <c r="H136" s="229">
        <v>12</v>
      </c>
      <c r="I136" s="229">
        <v>0</v>
      </c>
      <c r="J136" s="229">
        <f t="shared" si="18"/>
        <v>0</v>
      </c>
      <c r="K136" s="229">
        <v>0</v>
      </c>
      <c r="L136" s="229">
        <v>0</v>
      </c>
      <c r="M136" s="229">
        <v>0</v>
      </c>
      <c r="N136" s="229">
        <v>0</v>
      </c>
      <c r="O136" s="226">
        <v>0</v>
      </c>
      <c r="P136" s="226">
        <v>0</v>
      </c>
      <c r="Q136" s="229">
        <f t="shared" si="21"/>
        <v>0</v>
      </c>
      <c r="R136" s="226">
        <v>0</v>
      </c>
      <c r="S136" s="226">
        <v>0</v>
      </c>
      <c r="T136" s="229">
        <f t="shared" si="19"/>
        <v>0</v>
      </c>
      <c r="U136" s="229">
        <v>0</v>
      </c>
      <c r="V136" s="226">
        <v>0</v>
      </c>
      <c r="W136" s="229">
        <v>0</v>
      </c>
      <c r="X136" s="229">
        <v>0</v>
      </c>
      <c r="Y136" s="229">
        <v>0</v>
      </c>
      <c r="Z136" s="229">
        <v>0</v>
      </c>
      <c r="AA136" s="215"/>
      <c r="AB136" s="215"/>
      <c r="AE136" s="215"/>
      <c r="AF136" s="215"/>
    </row>
    <row r="137" spans="1:32" x14ac:dyDescent="0.2">
      <c r="A137" s="268">
        <v>127</v>
      </c>
      <c r="B137" s="254" t="s">
        <v>507</v>
      </c>
      <c r="C137" s="255" t="s">
        <v>508</v>
      </c>
      <c r="D137" s="229">
        <f t="shared" si="20"/>
        <v>0</v>
      </c>
      <c r="E137" s="229">
        <f t="shared" si="17"/>
        <v>0</v>
      </c>
      <c r="F137" s="229">
        <v>0</v>
      </c>
      <c r="G137" s="229">
        <v>0</v>
      </c>
      <c r="H137" s="229">
        <v>0</v>
      </c>
      <c r="I137" s="229">
        <v>0</v>
      </c>
      <c r="J137" s="229">
        <f t="shared" si="18"/>
        <v>0</v>
      </c>
      <c r="K137" s="229">
        <v>0</v>
      </c>
      <c r="L137" s="229">
        <v>0</v>
      </c>
      <c r="M137" s="229">
        <v>0</v>
      </c>
      <c r="N137" s="229">
        <v>0</v>
      </c>
      <c r="O137" s="226">
        <v>0</v>
      </c>
      <c r="P137" s="226">
        <v>0</v>
      </c>
      <c r="Q137" s="229">
        <f t="shared" si="21"/>
        <v>0</v>
      </c>
      <c r="R137" s="226">
        <v>0</v>
      </c>
      <c r="S137" s="226">
        <v>0</v>
      </c>
      <c r="T137" s="229">
        <f t="shared" si="19"/>
        <v>0</v>
      </c>
      <c r="U137" s="229">
        <v>0</v>
      </c>
      <c r="V137" s="226">
        <v>0</v>
      </c>
      <c r="W137" s="229">
        <v>0</v>
      </c>
      <c r="X137" s="229">
        <v>0</v>
      </c>
      <c r="Y137" s="229">
        <v>0</v>
      </c>
      <c r="Z137" s="229">
        <v>0</v>
      </c>
      <c r="AA137" s="215"/>
      <c r="AB137" s="215"/>
      <c r="AE137" s="215"/>
      <c r="AF137" s="215"/>
    </row>
    <row r="138" spans="1:32" x14ac:dyDescent="0.2">
      <c r="A138" s="268">
        <v>128</v>
      </c>
      <c r="B138" s="248" t="s">
        <v>509</v>
      </c>
      <c r="C138" s="238" t="s">
        <v>510</v>
      </c>
      <c r="D138" s="229">
        <f t="shared" si="20"/>
        <v>0</v>
      </c>
      <c r="E138" s="229">
        <f t="shared" si="17"/>
        <v>0</v>
      </c>
      <c r="F138" s="229">
        <v>0</v>
      </c>
      <c r="G138" s="229">
        <v>0</v>
      </c>
      <c r="H138" s="229">
        <v>0</v>
      </c>
      <c r="I138" s="229">
        <v>0</v>
      </c>
      <c r="J138" s="229">
        <f t="shared" si="18"/>
        <v>0</v>
      </c>
      <c r="K138" s="229">
        <v>0</v>
      </c>
      <c r="L138" s="229">
        <v>0</v>
      </c>
      <c r="M138" s="229">
        <v>0</v>
      </c>
      <c r="N138" s="229">
        <v>0</v>
      </c>
      <c r="O138" s="226">
        <v>0</v>
      </c>
      <c r="P138" s="226">
        <v>0</v>
      </c>
      <c r="Q138" s="229">
        <f t="shared" si="21"/>
        <v>0</v>
      </c>
      <c r="R138" s="226">
        <v>0</v>
      </c>
      <c r="S138" s="226">
        <v>0</v>
      </c>
      <c r="T138" s="229">
        <f t="shared" si="19"/>
        <v>0</v>
      </c>
      <c r="U138" s="229">
        <v>0</v>
      </c>
      <c r="V138" s="226">
        <v>0</v>
      </c>
      <c r="W138" s="229">
        <v>0</v>
      </c>
      <c r="X138" s="229">
        <v>0</v>
      </c>
      <c r="Y138" s="229">
        <v>0</v>
      </c>
      <c r="Z138" s="229">
        <v>0</v>
      </c>
      <c r="AA138" s="215"/>
      <c r="AB138" s="215"/>
      <c r="AE138" s="215"/>
      <c r="AF138" s="215"/>
    </row>
    <row r="139" spans="1:32" ht="12.75" x14ac:dyDescent="0.2">
      <c r="A139" s="268">
        <v>129</v>
      </c>
      <c r="B139" s="269" t="s">
        <v>386</v>
      </c>
      <c r="C139" s="270" t="s">
        <v>511</v>
      </c>
      <c r="D139" s="229">
        <f t="shared" si="20"/>
        <v>2304</v>
      </c>
      <c r="E139" s="229">
        <f t="shared" si="17"/>
        <v>2304</v>
      </c>
      <c r="F139" s="229">
        <v>2304</v>
      </c>
      <c r="G139" s="229">
        <v>0</v>
      </c>
      <c r="H139" s="229">
        <v>0</v>
      </c>
      <c r="I139" s="229">
        <v>0</v>
      </c>
      <c r="J139" s="229">
        <f t="shared" si="18"/>
        <v>0</v>
      </c>
      <c r="K139" s="229">
        <v>0</v>
      </c>
      <c r="L139" s="229">
        <v>0</v>
      </c>
      <c r="M139" s="229">
        <v>0</v>
      </c>
      <c r="N139" s="229">
        <v>0</v>
      </c>
      <c r="O139" s="226">
        <v>0</v>
      </c>
      <c r="P139" s="226">
        <v>0</v>
      </c>
      <c r="Q139" s="229">
        <f t="shared" si="21"/>
        <v>0</v>
      </c>
      <c r="R139" s="226">
        <v>0</v>
      </c>
      <c r="S139" s="226">
        <v>0</v>
      </c>
      <c r="T139" s="229">
        <f t="shared" si="19"/>
        <v>0</v>
      </c>
      <c r="U139" s="229">
        <v>0</v>
      </c>
      <c r="V139" s="226">
        <v>0</v>
      </c>
      <c r="W139" s="229">
        <v>0</v>
      </c>
      <c r="X139" s="229">
        <v>0</v>
      </c>
      <c r="Y139" s="229">
        <v>0</v>
      </c>
      <c r="Z139" s="229">
        <v>0</v>
      </c>
      <c r="AA139" s="215"/>
      <c r="AB139" s="215"/>
      <c r="AE139" s="215"/>
      <c r="AF139" s="215"/>
    </row>
    <row r="140" spans="1:32" x14ac:dyDescent="0.2">
      <c r="A140" s="268">
        <v>130</v>
      </c>
      <c r="B140" s="246" t="s">
        <v>388</v>
      </c>
      <c r="C140" s="234" t="s">
        <v>512</v>
      </c>
      <c r="D140" s="229">
        <f t="shared" si="20"/>
        <v>0</v>
      </c>
      <c r="E140" s="229">
        <f t="shared" si="17"/>
        <v>0</v>
      </c>
      <c r="F140" s="229">
        <v>0</v>
      </c>
      <c r="G140" s="229">
        <v>0</v>
      </c>
      <c r="H140" s="229">
        <v>0</v>
      </c>
      <c r="I140" s="229">
        <v>0</v>
      </c>
      <c r="J140" s="229">
        <f t="shared" si="18"/>
        <v>0</v>
      </c>
      <c r="K140" s="229">
        <v>0</v>
      </c>
      <c r="L140" s="229">
        <v>0</v>
      </c>
      <c r="M140" s="229">
        <v>0</v>
      </c>
      <c r="N140" s="229">
        <v>0</v>
      </c>
      <c r="O140" s="226">
        <v>0</v>
      </c>
      <c r="P140" s="226">
        <v>0</v>
      </c>
      <c r="Q140" s="229">
        <f t="shared" si="21"/>
        <v>0</v>
      </c>
      <c r="R140" s="226">
        <v>0</v>
      </c>
      <c r="S140" s="226">
        <v>0</v>
      </c>
      <c r="T140" s="229">
        <f t="shared" si="19"/>
        <v>0</v>
      </c>
      <c r="U140" s="229">
        <v>0</v>
      </c>
      <c r="V140" s="226">
        <v>0</v>
      </c>
      <c r="W140" s="229">
        <v>0</v>
      </c>
      <c r="X140" s="229">
        <v>0</v>
      </c>
      <c r="Y140" s="229">
        <v>0</v>
      </c>
      <c r="Z140" s="229">
        <v>0</v>
      </c>
      <c r="AA140" s="215"/>
      <c r="AB140" s="215"/>
      <c r="AE140" s="215"/>
      <c r="AF140" s="215"/>
    </row>
    <row r="141" spans="1:32" ht="12.75" x14ac:dyDescent="0.2">
      <c r="A141" s="268">
        <v>131</v>
      </c>
      <c r="B141" s="272" t="s">
        <v>390</v>
      </c>
      <c r="C141" s="273" t="s">
        <v>513</v>
      </c>
      <c r="D141" s="229">
        <f t="shared" si="20"/>
        <v>8928</v>
      </c>
      <c r="E141" s="229">
        <f t="shared" si="17"/>
        <v>8928</v>
      </c>
      <c r="F141" s="229">
        <v>8928</v>
      </c>
      <c r="G141" s="229">
        <v>0</v>
      </c>
      <c r="H141" s="229">
        <v>0</v>
      </c>
      <c r="I141" s="229">
        <v>0</v>
      </c>
      <c r="J141" s="229">
        <f t="shared" si="18"/>
        <v>0</v>
      </c>
      <c r="K141" s="229">
        <v>0</v>
      </c>
      <c r="L141" s="229">
        <v>0</v>
      </c>
      <c r="M141" s="229">
        <v>0</v>
      </c>
      <c r="N141" s="229">
        <v>0</v>
      </c>
      <c r="O141" s="226">
        <v>0</v>
      </c>
      <c r="P141" s="226">
        <v>0</v>
      </c>
      <c r="Q141" s="229">
        <f t="shared" si="21"/>
        <v>0</v>
      </c>
      <c r="R141" s="226">
        <v>0</v>
      </c>
      <c r="S141" s="226">
        <v>0</v>
      </c>
      <c r="T141" s="229">
        <f t="shared" si="19"/>
        <v>0</v>
      </c>
      <c r="U141" s="229">
        <v>0</v>
      </c>
      <c r="V141" s="226">
        <v>0</v>
      </c>
      <c r="W141" s="229">
        <v>0</v>
      </c>
      <c r="X141" s="229">
        <v>0</v>
      </c>
      <c r="Y141" s="229">
        <v>0</v>
      </c>
      <c r="Z141" s="229">
        <v>0</v>
      </c>
      <c r="AA141" s="215"/>
      <c r="AB141" s="215"/>
      <c r="AE141" s="215"/>
      <c r="AF141" s="215"/>
    </row>
    <row r="142" spans="1:32" x14ac:dyDescent="0.2">
      <c r="A142" s="268">
        <v>132</v>
      </c>
      <c r="B142" s="248" t="s">
        <v>514</v>
      </c>
      <c r="C142" s="238" t="s">
        <v>515</v>
      </c>
      <c r="D142" s="229">
        <f t="shared" si="20"/>
        <v>0</v>
      </c>
      <c r="E142" s="229">
        <f t="shared" si="17"/>
        <v>0</v>
      </c>
      <c r="F142" s="229">
        <v>0</v>
      </c>
      <c r="G142" s="229">
        <v>0</v>
      </c>
      <c r="H142" s="229">
        <v>0</v>
      </c>
      <c r="I142" s="229">
        <v>0</v>
      </c>
      <c r="J142" s="229">
        <f t="shared" si="18"/>
        <v>0</v>
      </c>
      <c r="K142" s="229">
        <v>0</v>
      </c>
      <c r="L142" s="229">
        <v>0</v>
      </c>
      <c r="M142" s="229">
        <v>0</v>
      </c>
      <c r="N142" s="229">
        <v>0</v>
      </c>
      <c r="O142" s="226">
        <v>0</v>
      </c>
      <c r="P142" s="226">
        <v>0</v>
      </c>
      <c r="Q142" s="229">
        <f t="shared" si="21"/>
        <v>0</v>
      </c>
      <c r="R142" s="226">
        <v>0</v>
      </c>
      <c r="S142" s="226">
        <v>0</v>
      </c>
      <c r="T142" s="229">
        <f t="shared" si="19"/>
        <v>0</v>
      </c>
      <c r="U142" s="229">
        <v>0</v>
      </c>
      <c r="V142" s="226">
        <v>0</v>
      </c>
      <c r="W142" s="229">
        <v>0</v>
      </c>
      <c r="X142" s="229">
        <v>0</v>
      </c>
      <c r="Y142" s="229">
        <v>0</v>
      </c>
      <c r="Z142" s="229">
        <v>0</v>
      </c>
      <c r="AA142" s="215"/>
      <c r="AB142" s="215"/>
      <c r="AE142" s="215"/>
      <c r="AF142" s="215"/>
    </row>
    <row r="143" spans="1:32" ht="12.75" x14ac:dyDescent="0.2">
      <c r="A143" s="268">
        <v>133</v>
      </c>
      <c r="B143" s="272" t="s">
        <v>15</v>
      </c>
      <c r="C143" s="273" t="s">
        <v>180</v>
      </c>
      <c r="D143" s="229">
        <f t="shared" si="20"/>
        <v>211242</v>
      </c>
      <c r="E143" s="229">
        <f t="shared" si="17"/>
        <v>0</v>
      </c>
      <c r="F143" s="229">
        <v>0</v>
      </c>
      <c r="G143" s="229">
        <v>0</v>
      </c>
      <c r="H143" s="229">
        <v>0</v>
      </c>
      <c r="I143" s="229">
        <v>0</v>
      </c>
      <c r="J143" s="229">
        <f t="shared" si="18"/>
        <v>0</v>
      </c>
      <c r="K143" s="229">
        <v>0</v>
      </c>
      <c r="L143" s="229">
        <v>0</v>
      </c>
      <c r="M143" s="229">
        <v>0</v>
      </c>
      <c r="N143" s="229">
        <v>0</v>
      </c>
      <c r="O143" s="226">
        <v>0</v>
      </c>
      <c r="P143" s="226">
        <v>0</v>
      </c>
      <c r="Q143" s="229">
        <f t="shared" si="21"/>
        <v>0</v>
      </c>
      <c r="R143" s="226">
        <v>0</v>
      </c>
      <c r="S143" s="226">
        <v>0</v>
      </c>
      <c r="T143" s="229">
        <f t="shared" si="19"/>
        <v>211242</v>
      </c>
      <c r="U143" s="229">
        <v>211242</v>
      </c>
      <c r="V143" s="226">
        <v>1047</v>
      </c>
      <c r="W143" s="229">
        <v>0</v>
      </c>
      <c r="X143" s="229">
        <v>0</v>
      </c>
      <c r="Y143" s="229">
        <v>0</v>
      </c>
      <c r="Z143" s="229">
        <v>0</v>
      </c>
      <c r="AA143" s="215"/>
      <c r="AB143" s="215"/>
      <c r="AE143" s="215"/>
      <c r="AF143" s="215"/>
    </row>
    <row r="144" spans="1:32" ht="12.75" x14ac:dyDescent="0.2">
      <c r="A144" s="268">
        <v>134</v>
      </c>
      <c r="B144" s="272" t="s">
        <v>181</v>
      </c>
      <c r="C144" s="273" t="s">
        <v>182</v>
      </c>
      <c r="D144" s="229">
        <f t="shared" si="20"/>
        <v>130760</v>
      </c>
      <c r="E144" s="229">
        <f t="shared" si="17"/>
        <v>0</v>
      </c>
      <c r="F144" s="229">
        <v>0</v>
      </c>
      <c r="G144" s="229">
        <v>0</v>
      </c>
      <c r="H144" s="229">
        <v>0</v>
      </c>
      <c r="I144" s="229">
        <v>0</v>
      </c>
      <c r="J144" s="229">
        <f t="shared" si="18"/>
        <v>0</v>
      </c>
      <c r="K144" s="229">
        <v>0</v>
      </c>
      <c r="L144" s="229">
        <v>0</v>
      </c>
      <c r="M144" s="229">
        <v>0</v>
      </c>
      <c r="N144" s="229">
        <v>0</v>
      </c>
      <c r="O144" s="226">
        <v>0</v>
      </c>
      <c r="P144" s="226">
        <v>0</v>
      </c>
      <c r="Q144" s="229">
        <f t="shared" si="21"/>
        <v>0</v>
      </c>
      <c r="R144" s="226">
        <v>0</v>
      </c>
      <c r="S144" s="226">
        <v>0</v>
      </c>
      <c r="T144" s="229">
        <f t="shared" si="19"/>
        <v>130760</v>
      </c>
      <c r="U144" s="229">
        <v>130760</v>
      </c>
      <c r="V144" s="226">
        <v>0</v>
      </c>
      <c r="W144" s="229">
        <v>0</v>
      </c>
      <c r="X144" s="229">
        <v>0</v>
      </c>
      <c r="Y144" s="229">
        <v>0</v>
      </c>
      <c r="Z144" s="229">
        <v>0</v>
      </c>
      <c r="AA144" s="215"/>
      <c r="AB144" s="215"/>
      <c r="AE144" s="215"/>
      <c r="AF144" s="215"/>
    </row>
    <row r="145" spans="1:32" ht="12.75" x14ac:dyDescent="0.2">
      <c r="A145" s="268">
        <v>135</v>
      </c>
      <c r="B145" s="272" t="s">
        <v>14</v>
      </c>
      <c r="C145" s="273" t="s">
        <v>13</v>
      </c>
      <c r="D145" s="229">
        <f t="shared" si="20"/>
        <v>95000</v>
      </c>
      <c r="E145" s="229">
        <f t="shared" si="17"/>
        <v>0</v>
      </c>
      <c r="F145" s="229">
        <v>0</v>
      </c>
      <c r="G145" s="229">
        <v>0</v>
      </c>
      <c r="H145" s="229">
        <v>0</v>
      </c>
      <c r="I145" s="229">
        <v>0</v>
      </c>
      <c r="J145" s="229">
        <f t="shared" si="18"/>
        <v>0</v>
      </c>
      <c r="K145" s="229">
        <v>0</v>
      </c>
      <c r="L145" s="229">
        <v>0</v>
      </c>
      <c r="M145" s="229">
        <v>0</v>
      </c>
      <c r="N145" s="229">
        <v>0</v>
      </c>
      <c r="O145" s="226">
        <v>0</v>
      </c>
      <c r="P145" s="226">
        <v>0</v>
      </c>
      <c r="Q145" s="229">
        <f t="shared" si="21"/>
        <v>0</v>
      </c>
      <c r="R145" s="226">
        <v>0</v>
      </c>
      <c r="S145" s="226">
        <v>0</v>
      </c>
      <c r="T145" s="229">
        <f t="shared" si="19"/>
        <v>95000</v>
      </c>
      <c r="U145" s="229">
        <v>76160</v>
      </c>
      <c r="V145" s="226">
        <v>0</v>
      </c>
      <c r="W145" s="229">
        <v>18840</v>
      </c>
      <c r="X145" s="229">
        <v>0</v>
      </c>
      <c r="Y145" s="229">
        <v>0</v>
      </c>
      <c r="Z145" s="229">
        <v>0</v>
      </c>
      <c r="AA145" s="215"/>
      <c r="AB145" s="215"/>
      <c r="AE145" s="215"/>
      <c r="AF145" s="215"/>
    </row>
    <row r="146" spans="1:32" ht="12.75" x14ac:dyDescent="0.2">
      <c r="A146" s="268">
        <v>136</v>
      </c>
      <c r="B146" s="269" t="s">
        <v>10</v>
      </c>
      <c r="C146" s="270" t="s">
        <v>7</v>
      </c>
      <c r="D146" s="229">
        <f t="shared" si="20"/>
        <v>114000</v>
      </c>
      <c r="E146" s="229">
        <f t="shared" si="17"/>
        <v>0</v>
      </c>
      <c r="F146" s="229">
        <v>0</v>
      </c>
      <c r="G146" s="229">
        <v>0</v>
      </c>
      <c r="H146" s="229">
        <v>0</v>
      </c>
      <c r="I146" s="229">
        <v>0</v>
      </c>
      <c r="J146" s="229">
        <f t="shared" si="18"/>
        <v>0</v>
      </c>
      <c r="K146" s="229">
        <v>0</v>
      </c>
      <c r="L146" s="229">
        <v>0</v>
      </c>
      <c r="M146" s="229">
        <v>0</v>
      </c>
      <c r="N146" s="229">
        <v>0</v>
      </c>
      <c r="O146" s="226">
        <v>0</v>
      </c>
      <c r="P146" s="226">
        <v>0</v>
      </c>
      <c r="Q146" s="229">
        <f t="shared" si="21"/>
        <v>0</v>
      </c>
      <c r="R146" s="226">
        <v>0</v>
      </c>
      <c r="S146" s="226">
        <v>0</v>
      </c>
      <c r="T146" s="229">
        <f t="shared" si="19"/>
        <v>114000</v>
      </c>
      <c r="U146" s="229">
        <v>0</v>
      </c>
      <c r="V146" s="226">
        <v>0</v>
      </c>
      <c r="W146" s="229">
        <v>107573</v>
      </c>
      <c r="X146" s="229">
        <v>0</v>
      </c>
      <c r="Y146" s="229">
        <v>6427</v>
      </c>
      <c r="Z146" s="229">
        <v>0</v>
      </c>
      <c r="AA146" s="215"/>
      <c r="AB146" s="215"/>
      <c r="AE146" s="215"/>
      <c r="AF146" s="215"/>
    </row>
    <row r="147" spans="1:32" ht="12.75" x14ac:dyDescent="0.2">
      <c r="A147" s="268">
        <v>137</v>
      </c>
      <c r="B147" s="272" t="s">
        <v>393</v>
      </c>
      <c r="C147" s="273" t="s">
        <v>516</v>
      </c>
      <c r="D147" s="229">
        <f t="shared" si="20"/>
        <v>8000</v>
      </c>
      <c r="E147" s="229">
        <f t="shared" si="17"/>
        <v>0</v>
      </c>
      <c r="F147" s="229">
        <v>0</v>
      </c>
      <c r="G147" s="229">
        <v>0</v>
      </c>
      <c r="H147" s="229">
        <v>0</v>
      </c>
      <c r="I147" s="229">
        <v>0</v>
      </c>
      <c r="J147" s="229">
        <f t="shared" si="18"/>
        <v>0</v>
      </c>
      <c r="K147" s="229">
        <v>0</v>
      </c>
      <c r="L147" s="229">
        <v>0</v>
      </c>
      <c r="M147" s="229">
        <v>0</v>
      </c>
      <c r="N147" s="229">
        <v>0</v>
      </c>
      <c r="O147" s="226">
        <v>0</v>
      </c>
      <c r="P147" s="226">
        <v>0</v>
      </c>
      <c r="Q147" s="229">
        <f t="shared" si="21"/>
        <v>0</v>
      </c>
      <c r="R147" s="226">
        <v>0</v>
      </c>
      <c r="S147" s="226">
        <v>0</v>
      </c>
      <c r="T147" s="229">
        <f t="shared" si="19"/>
        <v>8000</v>
      </c>
      <c r="U147" s="229">
        <v>6980</v>
      </c>
      <c r="V147" s="226">
        <v>0</v>
      </c>
      <c r="W147" s="229">
        <v>1020</v>
      </c>
      <c r="X147" s="229">
        <v>0</v>
      </c>
      <c r="Y147" s="229">
        <v>0</v>
      </c>
      <c r="Z147" s="229">
        <v>0</v>
      </c>
      <c r="AA147" s="215"/>
      <c r="AB147" s="215"/>
      <c r="AE147" s="215"/>
      <c r="AF147" s="215"/>
    </row>
    <row r="148" spans="1:32" ht="12.75" x14ac:dyDescent="0.2">
      <c r="A148" s="268">
        <v>138</v>
      </c>
      <c r="B148" s="269" t="s">
        <v>183</v>
      </c>
      <c r="C148" s="273" t="s">
        <v>184</v>
      </c>
      <c r="D148" s="229">
        <f t="shared" si="20"/>
        <v>65356</v>
      </c>
      <c r="E148" s="229">
        <f t="shared" si="17"/>
        <v>0</v>
      </c>
      <c r="F148" s="229">
        <v>0</v>
      </c>
      <c r="G148" s="229">
        <v>0</v>
      </c>
      <c r="H148" s="229">
        <v>0</v>
      </c>
      <c r="I148" s="229">
        <v>0</v>
      </c>
      <c r="J148" s="229">
        <f t="shared" si="18"/>
        <v>0</v>
      </c>
      <c r="K148" s="229">
        <v>0</v>
      </c>
      <c r="L148" s="229">
        <v>0</v>
      </c>
      <c r="M148" s="229">
        <v>0</v>
      </c>
      <c r="N148" s="229">
        <v>0</v>
      </c>
      <c r="O148" s="226">
        <v>0</v>
      </c>
      <c r="P148" s="226">
        <v>0</v>
      </c>
      <c r="Q148" s="229">
        <f t="shared" si="21"/>
        <v>0</v>
      </c>
      <c r="R148" s="226">
        <v>0</v>
      </c>
      <c r="S148" s="226">
        <v>0</v>
      </c>
      <c r="T148" s="229">
        <f t="shared" si="19"/>
        <v>65356</v>
      </c>
      <c r="U148" s="229">
        <v>32678</v>
      </c>
      <c r="V148" s="226">
        <v>0</v>
      </c>
      <c r="W148" s="229">
        <v>32678</v>
      </c>
      <c r="X148" s="229">
        <v>0</v>
      </c>
      <c r="Y148" s="229">
        <v>0</v>
      </c>
      <c r="Z148" s="229">
        <v>0</v>
      </c>
      <c r="AA148" s="215"/>
      <c r="AB148" s="215"/>
      <c r="AE148" s="215"/>
      <c r="AF148" s="215"/>
    </row>
    <row r="149" spans="1:32" ht="12.75" x14ac:dyDescent="0.2">
      <c r="A149" s="268">
        <v>139</v>
      </c>
      <c r="B149" s="274" t="s">
        <v>185</v>
      </c>
      <c r="C149" s="275" t="s">
        <v>186</v>
      </c>
      <c r="D149" s="229">
        <f t="shared" si="20"/>
        <v>28268</v>
      </c>
      <c r="E149" s="229">
        <f t="shared" si="17"/>
        <v>24268</v>
      </c>
      <c r="F149" s="229">
        <v>24268</v>
      </c>
      <c r="G149" s="229">
        <v>0</v>
      </c>
      <c r="H149" s="229">
        <v>0</v>
      </c>
      <c r="I149" s="229">
        <v>0</v>
      </c>
      <c r="J149" s="229">
        <f t="shared" si="18"/>
        <v>0</v>
      </c>
      <c r="K149" s="229">
        <v>0</v>
      </c>
      <c r="L149" s="229">
        <v>0</v>
      </c>
      <c r="M149" s="229">
        <v>0</v>
      </c>
      <c r="N149" s="229">
        <v>0</v>
      </c>
      <c r="O149" s="226">
        <v>0</v>
      </c>
      <c r="P149" s="226">
        <v>0</v>
      </c>
      <c r="Q149" s="229">
        <f t="shared" si="21"/>
        <v>0</v>
      </c>
      <c r="R149" s="226">
        <v>0</v>
      </c>
      <c r="S149" s="226">
        <v>0</v>
      </c>
      <c r="T149" s="229">
        <f t="shared" si="19"/>
        <v>4000</v>
      </c>
      <c r="U149" s="229">
        <v>1986</v>
      </c>
      <c r="V149" s="226">
        <v>0</v>
      </c>
      <c r="W149" s="229">
        <v>2014</v>
      </c>
      <c r="X149" s="229">
        <v>0</v>
      </c>
      <c r="Y149" s="229">
        <v>0</v>
      </c>
      <c r="Z149" s="229">
        <v>0</v>
      </c>
      <c r="AA149" s="215"/>
      <c r="AB149" s="215"/>
      <c r="AE149" s="215"/>
      <c r="AF149" s="215"/>
    </row>
    <row r="150" spans="1:32" ht="12.75" x14ac:dyDescent="0.2">
      <c r="A150" s="268">
        <v>140</v>
      </c>
      <c r="B150" s="272" t="s">
        <v>187</v>
      </c>
      <c r="C150" s="273" t="s">
        <v>188</v>
      </c>
      <c r="D150" s="229">
        <f t="shared" si="20"/>
        <v>78000</v>
      </c>
      <c r="E150" s="229">
        <f t="shared" si="17"/>
        <v>0</v>
      </c>
      <c r="F150" s="229">
        <v>0</v>
      </c>
      <c r="G150" s="229">
        <v>0</v>
      </c>
      <c r="H150" s="229">
        <v>0</v>
      </c>
      <c r="I150" s="229">
        <v>0</v>
      </c>
      <c r="J150" s="229">
        <f t="shared" si="18"/>
        <v>0</v>
      </c>
      <c r="K150" s="229">
        <v>0</v>
      </c>
      <c r="L150" s="229">
        <v>0</v>
      </c>
      <c r="M150" s="229">
        <v>0</v>
      </c>
      <c r="N150" s="229">
        <v>0</v>
      </c>
      <c r="O150" s="226">
        <v>0</v>
      </c>
      <c r="P150" s="226">
        <v>0</v>
      </c>
      <c r="Q150" s="229">
        <f t="shared" si="21"/>
        <v>0</v>
      </c>
      <c r="R150" s="226">
        <v>0</v>
      </c>
      <c r="S150" s="226">
        <v>0</v>
      </c>
      <c r="T150" s="229">
        <f t="shared" si="19"/>
        <v>78000</v>
      </c>
      <c r="U150" s="229">
        <v>74119</v>
      </c>
      <c r="V150" s="226">
        <v>0</v>
      </c>
      <c r="W150" s="229">
        <v>3881</v>
      </c>
      <c r="X150" s="229">
        <v>0</v>
      </c>
      <c r="Y150" s="229">
        <v>0</v>
      </c>
      <c r="Z150" s="229">
        <v>0</v>
      </c>
      <c r="AA150" s="215"/>
      <c r="AB150" s="215"/>
      <c r="AE150" s="215"/>
      <c r="AF150" s="215"/>
    </row>
    <row r="151" spans="1:32" ht="12.75" x14ac:dyDescent="0.2">
      <c r="A151" s="268">
        <v>141</v>
      </c>
      <c r="B151" s="272" t="s">
        <v>395</v>
      </c>
      <c r="C151" s="273" t="s">
        <v>396</v>
      </c>
      <c r="D151" s="229">
        <f t="shared" si="20"/>
        <v>182</v>
      </c>
      <c r="E151" s="229">
        <f t="shared" si="17"/>
        <v>0</v>
      </c>
      <c r="F151" s="229">
        <v>0</v>
      </c>
      <c r="G151" s="229">
        <v>0</v>
      </c>
      <c r="H151" s="229">
        <v>0</v>
      </c>
      <c r="I151" s="229">
        <v>0</v>
      </c>
      <c r="J151" s="229">
        <f t="shared" si="18"/>
        <v>0</v>
      </c>
      <c r="K151" s="229">
        <v>0</v>
      </c>
      <c r="L151" s="229">
        <v>0</v>
      </c>
      <c r="M151" s="229">
        <v>0</v>
      </c>
      <c r="N151" s="229">
        <v>0</v>
      </c>
      <c r="O151" s="226">
        <v>0</v>
      </c>
      <c r="P151" s="226">
        <v>0</v>
      </c>
      <c r="Q151" s="229">
        <f t="shared" si="21"/>
        <v>0</v>
      </c>
      <c r="R151" s="226">
        <v>0</v>
      </c>
      <c r="S151" s="226">
        <v>0</v>
      </c>
      <c r="T151" s="229">
        <f t="shared" si="19"/>
        <v>182</v>
      </c>
      <c r="U151" s="229">
        <v>182</v>
      </c>
      <c r="V151" s="226">
        <v>0</v>
      </c>
      <c r="W151" s="229">
        <v>0</v>
      </c>
      <c r="X151" s="229">
        <v>0</v>
      </c>
      <c r="Y151" s="229">
        <v>0</v>
      </c>
      <c r="Z151" s="229">
        <v>0</v>
      </c>
      <c r="AA151" s="215"/>
      <c r="AB151" s="215"/>
      <c r="AE151" s="215"/>
      <c r="AF151" s="215"/>
    </row>
    <row r="152" spans="1:32" ht="12.75" x14ac:dyDescent="0.2">
      <c r="A152" s="268">
        <v>142</v>
      </c>
      <c r="B152" s="272" t="s">
        <v>189</v>
      </c>
      <c r="C152" s="273" t="s">
        <v>190</v>
      </c>
      <c r="D152" s="229">
        <f t="shared" si="20"/>
        <v>59392</v>
      </c>
      <c r="E152" s="229">
        <f t="shared" si="17"/>
        <v>0</v>
      </c>
      <c r="F152" s="229">
        <v>0</v>
      </c>
      <c r="G152" s="229">
        <v>0</v>
      </c>
      <c r="H152" s="229">
        <v>0</v>
      </c>
      <c r="I152" s="229">
        <v>0</v>
      </c>
      <c r="J152" s="229">
        <f t="shared" si="18"/>
        <v>0</v>
      </c>
      <c r="K152" s="229">
        <v>0</v>
      </c>
      <c r="L152" s="229">
        <v>0</v>
      </c>
      <c r="M152" s="229">
        <v>0</v>
      </c>
      <c r="N152" s="229">
        <v>0</v>
      </c>
      <c r="O152" s="226">
        <v>0</v>
      </c>
      <c r="P152" s="226">
        <v>0</v>
      </c>
      <c r="Q152" s="229">
        <f t="shared" si="21"/>
        <v>6392</v>
      </c>
      <c r="R152" s="226">
        <v>4575</v>
      </c>
      <c r="S152" s="226">
        <v>1817</v>
      </c>
      <c r="T152" s="229">
        <f t="shared" si="19"/>
        <v>53000</v>
      </c>
      <c r="U152" s="229">
        <v>50733</v>
      </c>
      <c r="V152" s="226">
        <v>0</v>
      </c>
      <c r="W152" s="229">
        <v>0</v>
      </c>
      <c r="X152" s="229">
        <v>2267</v>
      </c>
      <c r="Y152" s="229">
        <v>0</v>
      </c>
      <c r="Z152" s="229">
        <v>0</v>
      </c>
      <c r="AA152" s="215"/>
      <c r="AB152" s="215"/>
      <c r="AE152" s="215"/>
      <c r="AF152" s="215"/>
    </row>
    <row r="153" spans="1:32" ht="12.75" x14ac:dyDescent="0.2">
      <c r="A153" s="268">
        <v>143</v>
      </c>
      <c r="B153" s="274" t="s">
        <v>12</v>
      </c>
      <c r="C153" s="275" t="s">
        <v>2</v>
      </c>
      <c r="D153" s="229">
        <f t="shared" si="20"/>
        <v>1054</v>
      </c>
      <c r="E153" s="229">
        <f t="shared" si="17"/>
        <v>0</v>
      </c>
      <c r="F153" s="229">
        <v>0</v>
      </c>
      <c r="G153" s="229">
        <v>0</v>
      </c>
      <c r="H153" s="229">
        <v>0</v>
      </c>
      <c r="I153" s="229">
        <v>0</v>
      </c>
      <c r="J153" s="229">
        <f t="shared" si="18"/>
        <v>0</v>
      </c>
      <c r="K153" s="229">
        <v>0</v>
      </c>
      <c r="L153" s="229">
        <v>0</v>
      </c>
      <c r="M153" s="229">
        <v>0</v>
      </c>
      <c r="N153" s="229">
        <v>0</v>
      </c>
      <c r="O153" s="226">
        <v>0</v>
      </c>
      <c r="P153" s="226">
        <v>0</v>
      </c>
      <c r="Q153" s="229">
        <f t="shared" si="21"/>
        <v>0</v>
      </c>
      <c r="R153" s="226">
        <v>0</v>
      </c>
      <c r="S153" s="226">
        <v>0</v>
      </c>
      <c r="T153" s="229">
        <f t="shared" si="19"/>
        <v>1054</v>
      </c>
      <c r="U153" s="229">
        <v>354</v>
      </c>
      <c r="V153" s="226">
        <v>0</v>
      </c>
      <c r="W153" s="229">
        <v>700</v>
      </c>
      <c r="X153" s="229">
        <v>0</v>
      </c>
      <c r="Y153" s="229">
        <v>0</v>
      </c>
      <c r="Z153" s="229">
        <v>0</v>
      </c>
      <c r="AA153" s="215"/>
      <c r="AB153" s="215"/>
      <c r="AE153" s="215"/>
      <c r="AF153" s="215"/>
    </row>
    <row r="154" spans="1:32" ht="12.75" x14ac:dyDescent="0.2">
      <c r="A154" s="268">
        <v>144</v>
      </c>
      <c r="B154" s="271" t="s">
        <v>3</v>
      </c>
      <c r="C154" s="275" t="s">
        <v>191</v>
      </c>
      <c r="D154" s="229">
        <f t="shared" si="20"/>
        <v>61276</v>
      </c>
      <c r="E154" s="229">
        <f t="shared" si="17"/>
        <v>0</v>
      </c>
      <c r="F154" s="229">
        <v>0</v>
      </c>
      <c r="G154" s="229">
        <v>0</v>
      </c>
      <c r="H154" s="229">
        <v>0</v>
      </c>
      <c r="I154" s="229">
        <v>0</v>
      </c>
      <c r="J154" s="229">
        <f t="shared" si="18"/>
        <v>57583</v>
      </c>
      <c r="K154" s="229">
        <v>21457</v>
      </c>
      <c r="L154" s="229">
        <v>1450</v>
      </c>
      <c r="M154" s="229">
        <v>430</v>
      </c>
      <c r="N154" s="229">
        <v>454</v>
      </c>
      <c r="O154" s="226">
        <v>21996</v>
      </c>
      <c r="P154" s="226">
        <v>11796</v>
      </c>
      <c r="Q154" s="229">
        <f t="shared" si="21"/>
        <v>0</v>
      </c>
      <c r="R154" s="226">
        <v>0</v>
      </c>
      <c r="S154" s="226">
        <v>0</v>
      </c>
      <c r="T154" s="229">
        <f t="shared" si="19"/>
        <v>3693</v>
      </c>
      <c r="U154" s="229">
        <v>3693</v>
      </c>
      <c r="V154" s="226">
        <v>0</v>
      </c>
      <c r="W154" s="229">
        <v>0</v>
      </c>
      <c r="X154" s="229">
        <v>0</v>
      </c>
      <c r="Y154" s="229">
        <v>0</v>
      </c>
      <c r="Z154" s="229">
        <v>0</v>
      </c>
      <c r="AA154" s="215"/>
      <c r="AB154" s="215"/>
      <c r="AE154" s="215"/>
      <c r="AF154" s="215"/>
    </row>
    <row r="155" spans="1:32" ht="12.75" x14ac:dyDescent="0.2">
      <c r="A155" s="268">
        <v>145</v>
      </c>
      <c r="B155" s="272" t="s">
        <v>11</v>
      </c>
      <c r="C155" s="273" t="s">
        <v>8</v>
      </c>
      <c r="D155" s="229">
        <f t="shared" si="20"/>
        <v>5126</v>
      </c>
      <c r="E155" s="229">
        <f t="shared" si="17"/>
        <v>0</v>
      </c>
      <c r="F155" s="229">
        <v>0</v>
      </c>
      <c r="G155" s="229">
        <v>0</v>
      </c>
      <c r="H155" s="229">
        <v>0</v>
      </c>
      <c r="I155" s="229">
        <v>0</v>
      </c>
      <c r="J155" s="229">
        <f t="shared" si="18"/>
        <v>0</v>
      </c>
      <c r="K155" s="229">
        <v>0</v>
      </c>
      <c r="L155" s="229">
        <v>0</v>
      </c>
      <c r="M155" s="229">
        <v>0</v>
      </c>
      <c r="N155" s="229">
        <v>0</v>
      </c>
      <c r="O155" s="226">
        <v>0</v>
      </c>
      <c r="P155" s="226">
        <v>0</v>
      </c>
      <c r="Q155" s="229">
        <f t="shared" si="21"/>
        <v>0</v>
      </c>
      <c r="R155" s="226">
        <v>0</v>
      </c>
      <c r="S155" s="226">
        <v>0</v>
      </c>
      <c r="T155" s="229">
        <f t="shared" si="19"/>
        <v>5126</v>
      </c>
      <c r="U155" s="229">
        <v>4960</v>
      </c>
      <c r="V155" s="226">
        <v>0</v>
      </c>
      <c r="W155" s="229">
        <v>166</v>
      </c>
      <c r="X155" s="229">
        <v>0</v>
      </c>
      <c r="Y155" s="229">
        <v>0</v>
      </c>
      <c r="Z155" s="229">
        <v>0</v>
      </c>
      <c r="AA155" s="215"/>
      <c r="AB155" s="215"/>
      <c r="AE155" s="215"/>
      <c r="AF155" s="215"/>
    </row>
    <row r="156" spans="1:32" ht="12.75" x14ac:dyDescent="0.2">
      <c r="A156" s="268">
        <v>146</v>
      </c>
      <c r="B156" s="269" t="s">
        <v>398</v>
      </c>
      <c r="C156" s="270" t="s">
        <v>399</v>
      </c>
      <c r="D156" s="229">
        <f t="shared" si="20"/>
        <v>12716</v>
      </c>
      <c r="E156" s="229">
        <f t="shared" si="17"/>
        <v>0</v>
      </c>
      <c r="F156" s="229">
        <v>0</v>
      </c>
      <c r="G156" s="229">
        <v>0</v>
      </c>
      <c r="H156" s="229">
        <v>0</v>
      </c>
      <c r="I156" s="229">
        <v>0</v>
      </c>
      <c r="J156" s="229">
        <f t="shared" si="18"/>
        <v>0</v>
      </c>
      <c r="K156" s="229">
        <v>0</v>
      </c>
      <c r="L156" s="229">
        <v>0</v>
      </c>
      <c r="M156" s="229">
        <v>0</v>
      </c>
      <c r="N156" s="229">
        <v>0</v>
      </c>
      <c r="O156" s="226">
        <v>0</v>
      </c>
      <c r="P156" s="226">
        <v>0</v>
      </c>
      <c r="Q156" s="229">
        <f t="shared" si="21"/>
        <v>0</v>
      </c>
      <c r="R156" s="226">
        <v>0</v>
      </c>
      <c r="S156" s="226">
        <v>0</v>
      </c>
      <c r="T156" s="229">
        <f t="shared" si="19"/>
        <v>12716</v>
      </c>
      <c r="U156" s="229">
        <v>0</v>
      </c>
      <c r="V156" s="226">
        <v>0</v>
      </c>
      <c r="W156" s="229">
        <v>0</v>
      </c>
      <c r="X156" s="229">
        <v>8442</v>
      </c>
      <c r="Y156" s="229">
        <v>4274</v>
      </c>
      <c r="Z156" s="229">
        <v>0</v>
      </c>
      <c r="AA156" s="215"/>
      <c r="AB156" s="215"/>
      <c r="AE156" s="215"/>
      <c r="AF156" s="215"/>
    </row>
    <row r="157" spans="1:32" x14ac:dyDescent="0.2">
      <c r="A157" s="268">
        <v>147</v>
      </c>
      <c r="B157" s="237" t="s">
        <v>400</v>
      </c>
      <c r="C157" s="234" t="s">
        <v>517</v>
      </c>
      <c r="D157" s="229">
        <f t="shared" si="20"/>
        <v>0</v>
      </c>
      <c r="E157" s="229">
        <f t="shared" si="17"/>
        <v>0</v>
      </c>
      <c r="F157" s="229">
        <v>0</v>
      </c>
      <c r="G157" s="229">
        <v>0</v>
      </c>
      <c r="H157" s="229">
        <v>0</v>
      </c>
      <c r="I157" s="229">
        <v>0</v>
      </c>
      <c r="J157" s="229">
        <f t="shared" ref="J157:J158" si="22">O157+P157+N157+M157+L157+K157</f>
        <v>0</v>
      </c>
      <c r="K157" s="229">
        <v>0</v>
      </c>
      <c r="L157" s="229">
        <v>0</v>
      </c>
      <c r="M157" s="229">
        <v>0</v>
      </c>
      <c r="N157" s="229">
        <v>0</v>
      </c>
      <c r="O157" s="226">
        <v>0</v>
      </c>
      <c r="P157" s="226">
        <v>0</v>
      </c>
      <c r="Q157" s="229">
        <f t="shared" si="21"/>
        <v>0</v>
      </c>
      <c r="R157" s="226">
        <v>0</v>
      </c>
      <c r="S157" s="226">
        <v>0</v>
      </c>
      <c r="T157" s="229">
        <f t="shared" si="19"/>
        <v>0</v>
      </c>
      <c r="U157" s="229">
        <v>0</v>
      </c>
      <c r="V157" s="226">
        <v>0</v>
      </c>
      <c r="W157" s="229">
        <v>0</v>
      </c>
      <c r="X157" s="229">
        <v>0</v>
      </c>
      <c r="Y157" s="229">
        <v>0</v>
      </c>
      <c r="Z157" s="229">
        <v>0</v>
      </c>
      <c r="AA157" s="215"/>
      <c r="AB157" s="215"/>
      <c r="AE157" s="215"/>
      <c r="AF157" s="215"/>
    </row>
    <row r="158" spans="1:32" ht="12.75" x14ac:dyDescent="0.2">
      <c r="A158" s="268">
        <v>148</v>
      </c>
      <c r="B158" s="258" t="s">
        <v>192</v>
      </c>
      <c r="C158" s="259" t="s">
        <v>193</v>
      </c>
      <c r="D158" s="229">
        <f t="shared" si="20"/>
        <v>0</v>
      </c>
      <c r="E158" s="229">
        <f t="shared" si="17"/>
        <v>0</v>
      </c>
      <c r="F158" s="229">
        <v>0</v>
      </c>
      <c r="G158" s="229">
        <v>0</v>
      </c>
      <c r="H158" s="229">
        <v>0</v>
      </c>
      <c r="I158" s="229">
        <v>0</v>
      </c>
      <c r="J158" s="229">
        <f t="shared" si="22"/>
        <v>0</v>
      </c>
      <c r="K158" s="229">
        <v>0</v>
      </c>
      <c r="L158" s="229">
        <v>0</v>
      </c>
      <c r="M158" s="229">
        <v>0</v>
      </c>
      <c r="N158" s="229">
        <v>0</v>
      </c>
      <c r="O158" s="226">
        <v>0</v>
      </c>
      <c r="P158" s="226">
        <v>0</v>
      </c>
      <c r="Q158" s="229">
        <f t="shared" si="21"/>
        <v>0</v>
      </c>
      <c r="R158" s="226">
        <v>0</v>
      </c>
      <c r="S158" s="226">
        <v>0</v>
      </c>
      <c r="T158" s="229">
        <f t="shared" si="19"/>
        <v>0</v>
      </c>
      <c r="U158" s="229">
        <v>0</v>
      </c>
      <c r="V158" s="226">
        <v>0</v>
      </c>
      <c r="W158" s="229">
        <v>0</v>
      </c>
      <c r="X158" s="229">
        <v>0</v>
      </c>
      <c r="Y158" s="229">
        <v>0</v>
      </c>
      <c r="Z158" s="229">
        <v>0</v>
      </c>
      <c r="AA158" s="215"/>
      <c r="AB158" s="215"/>
      <c r="AE158" s="215"/>
      <c r="AF158" s="215"/>
    </row>
    <row r="159" spans="1:32" x14ac:dyDescent="0.2">
      <c r="E159" s="284"/>
      <c r="F159" s="284"/>
      <c r="G159" s="284"/>
      <c r="H159" s="284"/>
      <c r="I159" s="284"/>
    </row>
    <row r="164" spans="5:14" x14ac:dyDescent="0.2">
      <c r="E164" s="215"/>
      <c r="F164" s="215"/>
      <c r="G164" s="215"/>
      <c r="H164" s="215"/>
      <c r="I164" s="215"/>
      <c r="K164" s="215"/>
      <c r="L164" s="215"/>
      <c r="M164" s="215"/>
      <c r="N164" s="215"/>
    </row>
  </sheetData>
  <mergeCells count="26">
    <mergeCell ref="A10:C10"/>
    <mergeCell ref="T4:Y4"/>
    <mergeCell ref="E5:E6"/>
    <mergeCell ref="F5:G5"/>
    <mergeCell ref="H5:I5"/>
    <mergeCell ref="J5:J6"/>
    <mergeCell ref="K5:L5"/>
    <mergeCell ref="M5:N5"/>
    <mergeCell ref="O5:P5"/>
    <mergeCell ref="Q5:Q6"/>
    <mergeCell ref="R5:S5"/>
    <mergeCell ref="T5:T6"/>
    <mergeCell ref="U5:W5"/>
    <mergeCell ref="X5:Y5"/>
    <mergeCell ref="A8:C8"/>
    <mergeCell ref="A9:C9"/>
    <mergeCell ref="A1:W1"/>
    <mergeCell ref="A2:A6"/>
    <mergeCell ref="B2:B6"/>
    <mergeCell ref="C2:C6"/>
    <mergeCell ref="D2:Z2"/>
    <mergeCell ref="D3:D6"/>
    <mergeCell ref="E3:Z3"/>
    <mergeCell ref="E4:I4"/>
    <mergeCell ref="J4:P4"/>
    <mergeCell ref="Q4:S4"/>
  </mergeCells>
  <pageMargins left="0.11811023622047245" right="0.11811023622047245" top="0.15748031496062992" bottom="0.15748031496062992" header="0.31496062992125984" footer="0.31496062992125984"/>
  <pageSetup paperSize="9" scale="7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N161" sqref="N161"/>
    </sheetView>
  </sheetViews>
  <sheetFormatPr defaultRowHeight="12" x14ac:dyDescent="0.2"/>
  <cols>
    <col min="1" max="1" width="5" style="215" customWidth="1"/>
    <col min="2" max="2" width="7.7109375" style="215" customWidth="1"/>
    <col min="3" max="3" width="30.85546875" style="215" customWidth="1"/>
    <col min="4" max="14" width="10.7109375" style="215" customWidth="1"/>
    <col min="15" max="21" width="9.140625" style="215"/>
    <col min="22" max="22" width="13.42578125" style="215" customWidth="1"/>
    <col min="23" max="16384" width="9.140625" style="215"/>
  </cols>
  <sheetData>
    <row r="1" spans="1:24" ht="39.75" customHeight="1" x14ac:dyDescent="0.2">
      <c r="A1" s="748" t="s">
        <v>523</v>
      </c>
      <c r="B1" s="748"/>
      <c r="C1" s="748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</row>
    <row r="2" spans="1:24" ht="24.75" customHeight="1" x14ac:dyDescent="0.2">
      <c r="A2" s="745" t="s">
        <v>0</v>
      </c>
      <c r="B2" s="749" t="s">
        <v>431</v>
      </c>
      <c r="C2" s="745" t="s">
        <v>432</v>
      </c>
      <c r="D2" s="760" t="s">
        <v>524</v>
      </c>
      <c r="E2" s="781"/>
      <c r="F2" s="781"/>
      <c r="G2" s="781"/>
      <c r="H2" s="781"/>
      <c r="I2" s="781"/>
      <c r="J2" s="781"/>
      <c r="K2" s="781"/>
      <c r="L2" s="781"/>
      <c r="M2" s="781"/>
      <c r="N2" s="761"/>
    </row>
    <row r="3" spans="1:24" x14ac:dyDescent="0.2">
      <c r="A3" s="745"/>
      <c r="B3" s="750"/>
      <c r="C3" s="745"/>
      <c r="D3" s="782" t="s">
        <v>16</v>
      </c>
      <c r="E3" s="745" t="s">
        <v>18</v>
      </c>
      <c r="F3" s="745"/>
      <c r="G3" s="745"/>
      <c r="H3" s="745"/>
      <c r="I3" s="745"/>
      <c r="J3" s="745"/>
      <c r="K3" s="745"/>
      <c r="L3" s="745"/>
      <c r="M3" s="745"/>
      <c r="N3" s="745"/>
    </row>
    <row r="4" spans="1:24" ht="30.75" customHeight="1" x14ac:dyDescent="0.2">
      <c r="A4" s="745"/>
      <c r="B4" s="750"/>
      <c r="C4" s="745"/>
      <c r="D4" s="782"/>
      <c r="E4" s="783" t="s">
        <v>519</v>
      </c>
      <c r="F4" s="784"/>
      <c r="G4" s="785"/>
      <c r="H4" s="779" t="s">
        <v>520</v>
      </c>
      <c r="I4" s="779"/>
      <c r="J4" s="779"/>
      <c r="K4" s="779"/>
      <c r="L4" s="779"/>
      <c r="M4" s="779"/>
      <c r="N4" s="779"/>
    </row>
    <row r="5" spans="1:24" ht="23.25" customHeight="1" x14ac:dyDescent="0.2">
      <c r="A5" s="745"/>
      <c r="B5" s="750"/>
      <c r="C5" s="745"/>
      <c r="D5" s="782"/>
      <c r="E5" s="778" t="s">
        <v>285</v>
      </c>
      <c r="F5" s="779" t="s">
        <v>299</v>
      </c>
      <c r="G5" s="779"/>
      <c r="H5" s="778" t="s">
        <v>285</v>
      </c>
      <c r="I5" s="779" t="s">
        <v>300</v>
      </c>
      <c r="J5" s="779"/>
      <c r="K5" s="779" t="s">
        <v>299</v>
      </c>
      <c r="L5" s="779"/>
      <c r="M5" s="779" t="s">
        <v>302</v>
      </c>
      <c r="N5" s="779"/>
    </row>
    <row r="6" spans="1:24" ht="34.5" customHeight="1" x14ac:dyDescent="0.2">
      <c r="A6" s="745"/>
      <c r="B6" s="751"/>
      <c r="C6" s="745"/>
      <c r="D6" s="744"/>
      <c r="E6" s="744"/>
      <c r="F6" s="287" t="s">
        <v>304</v>
      </c>
      <c r="G6" s="288" t="s">
        <v>305</v>
      </c>
      <c r="H6" s="744"/>
      <c r="I6" s="285" t="s">
        <v>304</v>
      </c>
      <c r="J6" s="286" t="s">
        <v>305</v>
      </c>
      <c r="K6" s="285" t="s">
        <v>304</v>
      </c>
      <c r="L6" s="286" t="s">
        <v>305</v>
      </c>
      <c r="M6" s="285" t="s">
        <v>304</v>
      </c>
      <c r="N6" s="286" t="s">
        <v>305</v>
      </c>
    </row>
    <row r="7" spans="1:24" s="222" customFormat="1" ht="11.25" x14ac:dyDescent="0.2">
      <c r="A7" s="219">
        <v>1</v>
      </c>
      <c r="B7" s="219">
        <v>2</v>
      </c>
      <c r="C7" s="219">
        <v>3</v>
      </c>
      <c r="D7" s="220">
        <v>4</v>
      </c>
      <c r="E7" s="220">
        <v>5</v>
      </c>
      <c r="F7" s="220">
        <v>6</v>
      </c>
      <c r="G7" s="220">
        <v>7</v>
      </c>
      <c r="H7" s="220">
        <v>8</v>
      </c>
      <c r="I7" s="220">
        <v>9</v>
      </c>
      <c r="J7" s="220">
        <v>10</v>
      </c>
      <c r="K7" s="220">
        <v>11</v>
      </c>
      <c r="L7" s="220">
        <v>12</v>
      </c>
      <c r="M7" s="220">
        <v>13</v>
      </c>
      <c r="N7" s="220">
        <v>14</v>
      </c>
    </row>
    <row r="8" spans="1:24" s="222" customFormat="1" x14ac:dyDescent="0.2">
      <c r="A8" s="747" t="s">
        <v>1</v>
      </c>
      <c r="B8" s="747"/>
      <c r="C8" s="747"/>
      <c r="D8" s="223">
        <f t="shared" ref="D8:D39" si="0">E8+H8</f>
        <v>505729</v>
      </c>
      <c r="E8" s="223">
        <f>SUM(F8:G8)</f>
        <v>39694</v>
      </c>
      <c r="F8" s="223">
        <f t="shared" ref="F8:G8" si="1">F9+F10</f>
        <v>3904</v>
      </c>
      <c r="G8" s="223">
        <f t="shared" si="1"/>
        <v>35790</v>
      </c>
      <c r="H8" s="223">
        <f t="shared" ref="H8:H9" si="2">SUM(I8:N8)</f>
        <v>466035</v>
      </c>
      <c r="I8" s="223">
        <f>I9+I10</f>
        <v>16390</v>
      </c>
      <c r="J8" s="223">
        <f t="shared" ref="J8:N8" si="3">J9+J10</f>
        <v>15</v>
      </c>
      <c r="K8" s="223">
        <f t="shared" si="3"/>
        <v>64808</v>
      </c>
      <c r="L8" s="223">
        <f t="shared" si="3"/>
        <v>34050</v>
      </c>
      <c r="M8" s="223">
        <f t="shared" si="3"/>
        <v>261735</v>
      </c>
      <c r="N8" s="223">
        <f t="shared" si="3"/>
        <v>89037</v>
      </c>
    </row>
    <row r="9" spans="1:24" s="222" customFormat="1" x14ac:dyDescent="0.2">
      <c r="A9" s="757" t="s">
        <v>19</v>
      </c>
      <c r="B9" s="758"/>
      <c r="C9" s="759"/>
      <c r="D9" s="223">
        <f t="shared" si="0"/>
        <v>0</v>
      </c>
      <c r="E9" s="223">
        <f>SUM(F9:G9)</f>
        <v>0</v>
      </c>
      <c r="F9" s="223">
        <v>0</v>
      </c>
      <c r="G9" s="223">
        <v>0</v>
      </c>
      <c r="H9" s="223">
        <f t="shared" si="2"/>
        <v>0</v>
      </c>
      <c r="I9" s="223">
        <v>0</v>
      </c>
      <c r="J9" s="223">
        <v>0</v>
      </c>
      <c r="K9" s="223">
        <v>0</v>
      </c>
      <c r="L9" s="223">
        <v>0</v>
      </c>
      <c r="M9" s="223">
        <v>0</v>
      </c>
      <c r="N9" s="223">
        <v>0</v>
      </c>
    </row>
    <row r="10" spans="1:24" s="222" customFormat="1" x14ac:dyDescent="0.2">
      <c r="A10" s="757" t="s">
        <v>20</v>
      </c>
      <c r="B10" s="758"/>
      <c r="C10" s="759"/>
      <c r="D10" s="223">
        <f t="shared" si="0"/>
        <v>505729</v>
      </c>
      <c r="E10" s="223">
        <f>SUM(F10:G10)</f>
        <v>39694</v>
      </c>
      <c r="F10" s="223">
        <f t="shared" ref="F10:G10" si="4">SUM(F11:F158)</f>
        <v>3904</v>
      </c>
      <c r="G10" s="223">
        <f t="shared" si="4"/>
        <v>35790</v>
      </c>
      <c r="H10" s="223">
        <f>SUM(I10:N10)</f>
        <v>466035</v>
      </c>
      <c r="I10" s="223">
        <f t="shared" ref="I10:N10" si="5">SUM(I11:I158)</f>
        <v>16390</v>
      </c>
      <c r="J10" s="223">
        <f t="shared" si="5"/>
        <v>15</v>
      </c>
      <c r="K10" s="223">
        <f t="shared" si="5"/>
        <v>64808</v>
      </c>
      <c r="L10" s="223">
        <f t="shared" si="5"/>
        <v>34050</v>
      </c>
      <c r="M10" s="223">
        <f t="shared" si="5"/>
        <v>261735</v>
      </c>
      <c r="N10" s="223">
        <f t="shared" si="5"/>
        <v>89037</v>
      </c>
    </row>
    <row r="11" spans="1:24" ht="12.75" x14ac:dyDescent="0.2">
      <c r="A11" s="226">
        <v>1</v>
      </c>
      <c r="B11" s="227" t="s">
        <v>21</v>
      </c>
      <c r="C11" s="256" t="s">
        <v>22</v>
      </c>
      <c r="D11" s="229">
        <f t="shared" si="0"/>
        <v>963</v>
      </c>
      <c r="E11" s="229">
        <f>F11+G11</f>
        <v>0</v>
      </c>
      <c r="F11" s="229">
        <v>0</v>
      </c>
      <c r="G11" s="229">
        <v>0</v>
      </c>
      <c r="H11" s="229">
        <f t="shared" ref="H11:H81" si="6">M11+N11+L11+K11+J11+I11</f>
        <v>963</v>
      </c>
      <c r="I11" s="229">
        <v>0</v>
      </c>
      <c r="J11" s="229">
        <v>0</v>
      </c>
      <c r="K11" s="229">
        <v>0</v>
      </c>
      <c r="L11" s="229">
        <v>0</v>
      </c>
      <c r="M11" s="229">
        <v>963</v>
      </c>
      <c r="N11" s="229">
        <v>0</v>
      </c>
      <c r="P11" s="231"/>
      <c r="U11" s="231"/>
      <c r="W11" s="232"/>
      <c r="X11" s="232"/>
    </row>
    <row r="12" spans="1:24" ht="12.75" x14ac:dyDescent="0.2">
      <c r="A12" s="226">
        <v>2</v>
      </c>
      <c r="B12" s="227" t="s">
        <v>23</v>
      </c>
      <c r="C12" s="256" t="s">
        <v>521</v>
      </c>
      <c r="D12" s="229">
        <f t="shared" si="0"/>
        <v>2675</v>
      </c>
      <c r="E12" s="229">
        <f t="shared" ref="E12:E75" si="7">F12+G12</f>
        <v>0</v>
      </c>
      <c r="F12" s="229">
        <v>0</v>
      </c>
      <c r="G12" s="229">
        <v>0</v>
      </c>
      <c r="H12" s="229">
        <f t="shared" si="6"/>
        <v>2675</v>
      </c>
      <c r="I12" s="229">
        <v>0</v>
      </c>
      <c r="J12" s="229">
        <v>0</v>
      </c>
      <c r="K12" s="229">
        <v>0</v>
      </c>
      <c r="L12" s="229">
        <v>0</v>
      </c>
      <c r="M12" s="229">
        <v>2675</v>
      </c>
      <c r="N12" s="229">
        <v>0</v>
      </c>
      <c r="P12" s="231"/>
      <c r="U12" s="231"/>
    </row>
    <row r="13" spans="1:24" ht="12.75" x14ac:dyDescent="0.2">
      <c r="A13" s="226">
        <v>3</v>
      </c>
      <c r="B13" s="235" t="s">
        <v>24</v>
      </c>
      <c r="C13" s="249" t="s">
        <v>25</v>
      </c>
      <c r="D13" s="229">
        <f t="shared" si="0"/>
        <v>7632</v>
      </c>
      <c r="E13" s="229">
        <f t="shared" si="7"/>
        <v>0</v>
      </c>
      <c r="F13" s="229">
        <v>0</v>
      </c>
      <c r="G13" s="229">
        <v>0</v>
      </c>
      <c r="H13" s="229">
        <f t="shared" si="6"/>
        <v>7632</v>
      </c>
      <c r="I13" s="229">
        <v>95</v>
      </c>
      <c r="J13" s="229">
        <v>0</v>
      </c>
      <c r="K13" s="229">
        <v>0</v>
      </c>
      <c r="L13" s="229">
        <v>0</v>
      </c>
      <c r="M13" s="229">
        <v>4037</v>
      </c>
      <c r="N13" s="229">
        <v>3500</v>
      </c>
      <c r="P13" s="231"/>
      <c r="U13" s="231"/>
    </row>
    <row r="14" spans="1:24" ht="12.75" x14ac:dyDescent="0.2">
      <c r="A14" s="226">
        <v>4</v>
      </c>
      <c r="B14" s="227" t="s">
        <v>26</v>
      </c>
      <c r="C14" s="256" t="s">
        <v>448</v>
      </c>
      <c r="D14" s="229">
        <f t="shared" si="0"/>
        <v>4184</v>
      </c>
      <c r="E14" s="229">
        <f t="shared" si="7"/>
        <v>0</v>
      </c>
      <c r="F14" s="229">
        <v>0</v>
      </c>
      <c r="G14" s="229">
        <v>0</v>
      </c>
      <c r="H14" s="229">
        <f t="shared" si="6"/>
        <v>4184</v>
      </c>
      <c r="I14" s="229">
        <v>0</v>
      </c>
      <c r="J14" s="229">
        <v>0</v>
      </c>
      <c r="K14" s="229">
        <v>186</v>
      </c>
      <c r="L14" s="229">
        <v>67</v>
      </c>
      <c r="M14" s="229">
        <v>3896</v>
      </c>
      <c r="N14" s="229">
        <v>35</v>
      </c>
      <c r="P14" s="231"/>
      <c r="U14" s="231"/>
    </row>
    <row r="15" spans="1:24" ht="12.75" x14ac:dyDescent="0.2">
      <c r="A15" s="226">
        <v>5</v>
      </c>
      <c r="B15" s="227" t="s">
        <v>27</v>
      </c>
      <c r="C15" s="256" t="s">
        <v>28</v>
      </c>
      <c r="D15" s="229">
        <f t="shared" si="0"/>
        <v>6093</v>
      </c>
      <c r="E15" s="229">
        <f t="shared" si="7"/>
        <v>0</v>
      </c>
      <c r="F15" s="229">
        <v>0</v>
      </c>
      <c r="G15" s="229">
        <v>0</v>
      </c>
      <c r="H15" s="229">
        <f t="shared" si="6"/>
        <v>6093</v>
      </c>
      <c r="I15" s="229">
        <v>0</v>
      </c>
      <c r="J15" s="229">
        <v>0</v>
      </c>
      <c r="K15" s="229">
        <v>1695</v>
      </c>
      <c r="L15" s="229">
        <v>125</v>
      </c>
      <c r="M15" s="229">
        <v>4273</v>
      </c>
      <c r="N15" s="229">
        <v>0</v>
      </c>
      <c r="P15" s="231"/>
      <c r="U15" s="231"/>
    </row>
    <row r="16" spans="1:24" ht="12.75" x14ac:dyDescent="0.2">
      <c r="A16" s="226">
        <v>6</v>
      </c>
      <c r="B16" s="235" t="s">
        <v>4</v>
      </c>
      <c r="C16" s="249" t="s">
        <v>29</v>
      </c>
      <c r="D16" s="229">
        <f t="shared" si="0"/>
        <v>12008</v>
      </c>
      <c r="E16" s="229">
        <f t="shared" si="7"/>
        <v>0</v>
      </c>
      <c r="F16" s="229">
        <v>0</v>
      </c>
      <c r="G16" s="229">
        <v>0</v>
      </c>
      <c r="H16" s="229">
        <f t="shared" si="6"/>
        <v>12008</v>
      </c>
      <c r="I16" s="229">
        <v>0</v>
      </c>
      <c r="J16" s="229">
        <v>0</v>
      </c>
      <c r="K16" s="229">
        <v>7333</v>
      </c>
      <c r="L16" s="229">
        <v>3335</v>
      </c>
      <c r="M16" s="229">
        <v>1340</v>
      </c>
      <c r="N16" s="229">
        <v>0</v>
      </c>
      <c r="P16" s="231"/>
      <c r="U16" s="231"/>
    </row>
    <row r="17" spans="1:21" ht="12.75" x14ac:dyDescent="0.2">
      <c r="A17" s="226">
        <v>7</v>
      </c>
      <c r="B17" s="236" t="s">
        <v>30</v>
      </c>
      <c r="C17" s="257" t="s">
        <v>449</v>
      </c>
      <c r="D17" s="229">
        <f t="shared" si="0"/>
        <v>4900</v>
      </c>
      <c r="E17" s="229">
        <f t="shared" si="7"/>
        <v>0</v>
      </c>
      <c r="F17" s="229">
        <v>0</v>
      </c>
      <c r="G17" s="229">
        <v>0</v>
      </c>
      <c r="H17" s="229">
        <f t="shared" si="6"/>
        <v>4900</v>
      </c>
      <c r="I17" s="229">
        <v>0</v>
      </c>
      <c r="J17" s="229">
        <v>0</v>
      </c>
      <c r="K17" s="229">
        <v>561</v>
      </c>
      <c r="L17" s="229">
        <v>2245</v>
      </c>
      <c r="M17" s="229">
        <v>1832</v>
      </c>
      <c r="N17" s="229">
        <v>262</v>
      </c>
      <c r="P17" s="231"/>
      <c r="U17" s="231"/>
    </row>
    <row r="18" spans="1:21" ht="12.75" x14ac:dyDescent="0.2">
      <c r="A18" s="226">
        <v>8</v>
      </c>
      <c r="B18" s="235" t="s">
        <v>31</v>
      </c>
      <c r="C18" s="249" t="s">
        <v>32</v>
      </c>
      <c r="D18" s="229">
        <f t="shared" si="0"/>
        <v>1778</v>
      </c>
      <c r="E18" s="229">
        <f t="shared" si="7"/>
        <v>0</v>
      </c>
      <c r="F18" s="229">
        <v>0</v>
      </c>
      <c r="G18" s="229">
        <v>0</v>
      </c>
      <c r="H18" s="229">
        <f t="shared" si="6"/>
        <v>1778</v>
      </c>
      <c r="I18" s="229">
        <v>360</v>
      </c>
      <c r="J18" s="229">
        <v>0</v>
      </c>
      <c r="K18" s="229">
        <v>0</v>
      </c>
      <c r="L18" s="229">
        <v>0</v>
      </c>
      <c r="M18" s="229">
        <v>1418</v>
      </c>
      <c r="N18" s="229">
        <v>0</v>
      </c>
      <c r="P18" s="231"/>
      <c r="U18" s="231"/>
    </row>
    <row r="19" spans="1:21" ht="12.75" x14ac:dyDescent="0.2">
      <c r="A19" s="226">
        <v>9</v>
      </c>
      <c r="B19" s="235" t="s">
        <v>33</v>
      </c>
      <c r="C19" s="249" t="s">
        <v>34</v>
      </c>
      <c r="D19" s="229">
        <f t="shared" si="0"/>
        <v>215</v>
      </c>
      <c r="E19" s="229">
        <f t="shared" si="7"/>
        <v>0</v>
      </c>
      <c r="F19" s="229">
        <v>0</v>
      </c>
      <c r="G19" s="229">
        <v>0</v>
      </c>
      <c r="H19" s="229">
        <f t="shared" si="6"/>
        <v>215</v>
      </c>
      <c r="I19" s="229">
        <v>0</v>
      </c>
      <c r="J19" s="229">
        <v>0</v>
      </c>
      <c r="K19" s="229">
        <v>172</v>
      </c>
      <c r="L19" s="229">
        <v>43</v>
      </c>
      <c r="M19" s="229">
        <v>0</v>
      </c>
      <c r="N19" s="229">
        <v>0</v>
      </c>
      <c r="P19" s="231"/>
      <c r="U19" s="231"/>
    </row>
    <row r="20" spans="1:21" ht="12.75" x14ac:dyDescent="0.2">
      <c r="A20" s="226">
        <v>10</v>
      </c>
      <c r="B20" s="235" t="s">
        <v>35</v>
      </c>
      <c r="C20" s="249" t="s">
        <v>36</v>
      </c>
      <c r="D20" s="229">
        <f t="shared" si="0"/>
        <v>5528</v>
      </c>
      <c r="E20" s="229">
        <f t="shared" si="7"/>
        <v>0</v>
      </c>
      <c r="F20" s="229">
        <v>0</v>
      </c>
      <c r="G20" s="229">
        <v>0</v>
      </c>
      <c r="H20" s="229">
        <f t="shared" si="6"/>
        <v>5528</v>
      </c>
      <c r="I20" s="229">
        <v>1000</v>
      </c>
      <c r="J20" s="229">
        <v>0</v>
      </c>
      <c r="K20" s="229">
        <v>97</v>
      </c>
      <c r="L20" s="229">
        <v>45</v>
      </c>
      <c r="M20" s="229">
        <v>4386</v>
      </c>
      <c r="N20" s="229">
        <v>0</v>
      </c>
      <c r="P20" s="231"/>
      <c r="U20" s="231"/>
    </row>
    <row r="21" spans="1:21" ht="12.75" x14ac:dyDescent="0.2">
      <c r="A21" s="226">
        <v>11</v>
      </c>
      <c r="B21" s="235" t="s">
        <v>37</v>
      </c>
      <c r="C21" s="249" t="s">
        <v>38</v>
      </c>
      <c r="D21" s="229">
        <f t="shared" si="0"/>
        <v>5232</v>
      </c>
      <c r="E21" s="229">
        <f t="shared" si="7"/>
        <v>0</v>
      </c>
      <c r="F21" s="229">
        <v>0</v>
      </c>
      <c r="G21" s="229">
        <v>0</v>
      </c>
      <c r="H21" s="229">
        <f t="shared" si="6"/>
        <v>5232</v>
      </c>
      <c r="I21" s="229">
        <v>0</v>
      </c>
      <c r="J21" s="229">
        <v>0</v>
      </c>
      <c r="K21" s="229">
        <v>188</v>
      </c>
      <c r="L21" s="229">
        <v>4</v>
      </c>
      <c r="M21" s="229">
        <v>5040</v>
      </c>
      <c r="N21" s="229">
        <v>0</v>
      </c>
      <c r="P21" s="231"/>
      <c r="U21" s="231"/>
    </row>
    <row r="22" spans="1:21" ht="12.75" x14ac:dyDescent="0.2">
      <c r="A22" s="226">
        <v>12</v>
      </c>
      <c r="B22" s="235" t="s">
        <v>39</v>
      </c>
      <c r="C22" s="249" t="s">
        <v>40</v>
      </c>
      <c r="D22" s="229">
        <f t="shared" si="0"/>
        <v>3572</v>
      </c>
      <c r="E22" s="229">
        <f t="shared" si="7"/>
        <v>0</v>
      </c>
      <c r="F22" s="229">
        <v>0</v>
      </c>
      <c r="G22" s="229">
        <v>0</v>
      </c>
      <c r="H22" s="229">
        <f t="shared" si="6"/>
        <v>3572</v>
      </c>
      <c r="I22" s="229">
        <v>0</v>
      </c>
      <c r="J22" s="229">
        <v>0</v>
      </c>
      <c r="K22" s="229">
        <v>225</v>
      </c>
      <c r="L22" s="229">
        <v>100</v>
      </c>
      <c r="M22" s="229">
        <v>2247</v>
      </c>
      <c r="N22" s="229">
        <v>1000</v>
      </c>
      <c r="P22" s="231"/>
      <c r="U22" s="231"/>
    </row>
    <row r="23" spans="1:21" x14ac:dyDescent="0.2">
      <c r="A23" s="226">
        <v>13</v>
      </c>
      <c r="B23" s="237" t="s">
        <v>307</v>
      </c>
      <c r="C23" s="238" t="s">
        <v>450</v>
      </c>
      <c r="D23" s="229">
        <f t="shared" si="0"/>
        <v>0</v>
      </c>
      <c r="E23" s="229">
        <f t="shared" si="7"/>
        <v>0</v>
      </c>
      <c r="F23" s="229">
        <v>0</v>
      </c>
      <c r="G23" s="229">
        <v>0</v>
      </c>
      <c r="H23" s="229">
        <f t="shared" si="6"/>
        <v>0</v>
      </c>
      <c r="I23" s="229">
        <v>0</v>
      </c>
      <c r="J23" s="229">
        <v>0</v>
      </c>
      <c r="K23" s="229">
        <v>0</v>
      </c>
      <c r="L23" s="229">
        <v>0</v>
      </c>
      <c r="M23" s="229">
        <v>0</v>
      </c>
      <c r="N23" s="229">
        <v>0</v>
      </c>
      <c r="P23" s="231"/>
      <c r="U23" s="231"/>
    </row>
    <row r="24" spans="1:21" x14ac:dyDescent="0.2">
      <c r="A24" s="226">
        <v>14</v>
      </c>
      <c r="B24" s="237" t="s">
        <v>309</v>
      </c>
      <c r="C24" s="234" t="s">
        <v>451</v>
      </c>
      <c r="D24" s="229">
        <f t="shared" si="0"/>
        <v>0</v>
      </c>
      <c r="E24" s="229">
        <f t="shared" si="7"/>
        <v>0</v>
      </c>
      <c r="F24" s="229">
        <v>0</v>
      </c>
      <c r="G24" s="229">
        <v>0</v>
      </c>
      <c r="H24" s="229">
        <f t="shared" si="6"/>
        <v>0</v>
      </c>
      <c r="I24" s="229">
        <v>0</v>
      </c>
      <c r="J24" s="229">
        <v>0</v>
      </c>
      <c r="K24" s="229">
        <v>0</v>
      </c>
      <c r="L24" s="229">
        <v>0</v>
      </c>
      <c r="M24" s="229">
        <v>0</v>
      </c>
      <c r="N24" s="229">
        <v>0</v>
      </c>
      <c r="P24" s="231"/>
      <c r="U24" s="231"/>
    </row>
    <row r="25" spans="1:21" ht="12.75" x14ac:dyDescent="0.2">
      <c r="A25" s="226">
        <v>15</v>
      </c>
      <c r="B25" s="235" t="s">
        <v>41</v>
      </c>
      <c r="C25" s="249" t="s">
        <v>42</v>
      </c>
      <c r="D25" s="229">
        <f t="shared" si="0"/>
        <v>9287</v>
      </c>
      <c r="E25" s="229">
        <f t="shared" si="7"/>
        <v>0</v>
      </c>
      <c r="F25" s="229">
        <v>0</v>
      </c>
      <c r="G25" s="229">
        <v>0</v>
      </c>
      <c r="H25" s="229">
        <f t="shared" si="6"/>
        <v>9287</v>
      </c>
      <c r="I25" s="229">
        <v>462</v>
      </c>
      <c r="J25" s="229">
        <v>10</v>
      </c>
      <c r="K25" s="229">
        <v>0</v>
      </c>
      <c r="L25" s="229">
        <v>0</v>
      </c>
      <c r="M25" s="229">
        <v>8574</v>
      </c>
      <c r="N25" s="229">
        <v>241</v>
      </c>
      <c r="P25" s="231"/>
      <c r="U25" s="231"/>
    </row>
    <row r="26" spans="1:21" ht="12.75" x14ac:dyDescent="0.2">
      <c r="A26" s="226">
        <v>16</v>
      </c>
      <c r="B26" s="235" t="s">
        <v>43</v>
      </c>
      <c r="C26" s="249" t="s">
        <v>44</v>
      </c>
      <c r="D26" s="229">
        <f t="shared" si="0"/>
        <v>3555</v>
      </c>
      <c r="E26" s="229">
        <f t="shared" si="7"/>
        <v>0</v>
      </c>
      <c r="F26" s="229">
        <v>0</v>
      </c>
      <c r="G26" s="229">
        <v>0</v>
      </c>
      <c r="H26" s="229">
        <f t="shared" si="6"/>
        <v>3555</v>
      </c>
      <c r="I26" s="229">
        <v>0</v>
      </c>
      <c r="J26" s="229">
        <v>0</v>
      </c>
      <c r="K26" s="229">
        <v>186</v>
      </c>
      <c r="L26" s="229">
        <v>14</v>
      </c>
      <c r="M26" s="229">
        <v>3355</v>
      </c>
      <c r="N26" s="229">
        <v>0</v>
      </c>
      <c r="P26" s="231"/>
      <c r="U26" s="231"/>
    </row>
    <row r="27" spans="1:21" ht="12.75" x14ac:dyDescent="0.2">
      <c r="A27" s="226">
        <v>17</v>
      </c>
      <c r="B27" s="235" t="s">
        <v>45</v>
      </c>
      <c r="C27" s="249" t="s">
        <v>452</v>
      </c>
      <c r="D27" s="229">
        <f t="shared" si="0"/>
        <v>15561</v>
      </c>
      <c r="E27" s="229">
        <f t="shared" si="7"/>
        <v>0</v>
      </c>
      <c r="F27" s="229">
        <v>0</v>
      </c>
      <c r="G27" s="229">
        <v>0</v>
      </c>
      <c r="H27" s="229">
        <f t="shared" si="6"/>
        <v>15561</v>
      </c>
      <c r="I27" s="229">
        <v>700</v>
      </c>
      <c r="J27" s="229">
        <v>0</v>
      </c>
      <c r="K27" s="229">
        <v>2507</v>
      </c>
      <c r="L27" s="229">
        <v>37</v>
      </c>
      <c r="M27" s="229">
        <v>12317</v>
      </c>
      <c r="N27" s="229">
        <v>0</v>
      </c>
      <c r="P27" s="231"/>
      <c r="U27" s="231"/>
    </row>
    <row r="28" spans="1:21" ht="12.75" x14ac:dyDescent="0.2">
      <c r="A28" s="226">
        <v>18</v>
      </c>
      <c r="B28" s="235" t="s">
        <v>46</v>
      </c>
      <c r="C28" s="249" t="s">
        <v>47</v>
      </c>
      <c r="D28" s="229">
        <f t="shared" si="0"/>
        <v>41986</v>
      </c>
      <c r="E28" s="229">
        <f t="shared" si="7"/>
        <v>0</v>
      </c>
      <c r="F28" s="229">
        <v>0</v>
      </c>
      <c r="G28" s="229">
        <v>0</v>
      </c>
      <c r="H28" s="229">
        <f t="shared" si="6"/>
        <v>41986</v>
      </c>
      <c r="I28" s="229">
        <v>0</v>
      </c>
      <c r="J28" s="229">
        <v>0</v>
      </c>
      <c r="K28" s="229">
        <v>1933</v>
      </c>
      <c r="L28" s="229">
        <v>491</v>
      </c>
      <c r="M28" s="229">
        <v>20000</v>
      </c>
      <c r="N28" s="229">
        <v>19562</v>
      </c>
      <c r="P28" s="231"/>
      <c r="U28" s="231"/>
    </row>
    <row r="29" spans="1:21" ht="12.75" x14ac:dyDescent="0.2">
      <c r="A29" s="226">
        <v>19</v>
      </c>
      <c r="B29" s="227" t="s">
        <v>48</v>
      </c>
      <c r="C29" s="256" t="s">
        <v>49</v>
      </c>
      <c r="D29" s="229">
        <f t="shared" si="0"/>
        <v>2151</v>
      </c>
      <c r="E29" s="229">
        <f t="shared" si="7"/>
        <v>0</v>
      </c>
      <c r="F29" s="229">
        <v>0</v>
      </c>
      <c r="G29" s="229">
        <v>0</v>
      </c>
      <c r="H29" s="229">
        <f t="shared" si="6"/>
        <v>2151</v>
      </c>
      <c r="I29" s="229">
        <v>0</v>
      </c>
      <c r="J29" s="229">
        <v>0</v>
      </c>
      <c r="K29" s="229">
        <v>37</v>
      </c>
      <c r="L29" s="229">
        <v>5</v>
      </c>
      <c r="M29" s="229">
        <v>1909</v>
      </c>
      <c r="N29" s="229">
        <v>200</v>
      </c>
      <c r="P29" s="231"/>
      <c r="U29" s="231"/>
    </row>
    <row r="30" spans="1:21" ht="12.75" x14ac:dyDescent="0.2">
      <c r="A30" s="226">
        <v>20</v>
      </c>
      <c r="B30" s="227" t="s">
        <v>50</v>
      </c>
      <c r="C30" s="256" t="s">
        <v>453</v>
      </c>
      <c r="D30" s="229">
        <f t="shared" si="0"/>
        <v>3270</v>
      </c>
      <c r="E30" s="229">
        <f t="shared" si="7"/>
        <v>0</v>
      </c>
      <c r="F30" s="229">
        <v>0</v>
      </c>
      <c r="G30" s="229">
        <v>0</v>
      </c>
      <c r="H30" s="229">
        <f t="shared" si="6"/>
        <v>3270</v>
      </c>
      <c r="I30" s="229">
        <v>0</v>
      </c>
      <c r="J30" s="229">
        <v>0</v>
      </c>
      <c r="K30" s="229">
        <v>0</v>
      </c>
      <c r="L30" s="229">
        <v>0</v>
      </c>
      <c r="M30" s="229">
        <v>2720</v>
      </c>
      <c r="N30" s="229">
        <v>550</v>
      </c>
      <c r="P30" s="231"/>
      <c r="U30" s="231"/>
    </row>
    <row r="31" spans="1:21" ht="12.75" x14ac:dyDescent="0.2">
      <c r="A31" s="226">
        <v>21</v>
      </c>
      <c r="B31" s="227" t="s">
        <v>51</v>
      </c>
      <c r="C31" s="256" t="s">
        <v>52</v>
      </c>
      <c r="D31" s="229">
        <f t="shared" si="0"/>
        <v>13716</v>
      </c>
      <c r="E31" s="229">
        <f t="shared" si="7"/>
        <v>0</v>
      </c>
      <c r="F31" s="229">
        <v>0</v>
      </c>
      <c r="G31" s="229">
        <v>0</v>
      </c>
      <c r="H31" s="229">
        <f t="shared" si="6"/>
        <v>13716</v>
      </c>
      <c r="I31" s="229">
        <v>0</v>
      </c>
      <c r="J31" s="229">
        <v>0</v>
      </c>
      <c r="K31" s="229">
        <v>2681</v>
      </c>
      <c r="L31" s="229">
        <v>1262</v>
      </c>
      <c r="M31" s="229">
        <v>7656</v>
      </c>
      <c r="N31" s="229">
        <v>2117</v>
      </c>
      <c r="P31" s="231"/>
      <c r="U31" s="231"/>
    </row>
    <row r="32" spans="1:21" ht="12.75" x14ac:dyDescent="0.2">
      <c r="A32" s="226">
        <v>22</v>
      </c>
      <c r="B32" s="227" t="s">
        <v>53</v>
      </c>
      <c r="C32" s="256" t="s">
        <v>54</v>
      </c>
      <c r="D32" s="229">
        <f t="shared" si="0"/>
        <v>7438</v>
      </c>
      <c r="E32" s="229">
        <f t="shared" si="7"/>
        <v>0</v>
      </c>
      <c r="F32" s="229">
        <v>0</v>
      </c>
      <c r="G32" s="229">
        <v>0</v>
      </c>
      <c r="H32" s="229">
        <f t="shared" si="6"/>
        <v>7438</v>
      </c>
      <c r="I32" s="229">
        <v>1000</v>
      </c>
      <c r="J32" s="229">
        <v>0</v>
      </c>
      <c r="K32" s="229">
        <v>260</v>
      </c>
      <c r="L32" s="229">
        <v>3081</v>
      </c>
      <c r="M32" s="229">
        <v>1897</v>
      </c>
      <c r="N32" s="229">
        <v>1200</v>
      </c>
      <c r="P32" s="231"/>
      <c r="U32" s="231"/>
    </row>
    <row r="33" spans="1:21" ht="12.75" x14ac:dyDescent="0.2">
      <c r="A33" s="226">
        <v>23</v>
      </c>
      <c r="B33" s="235" t="s">
        <v>55</v>
      </c>
      <c r="C33" s="249" t="s">
        <v>56</v>
      </c>
      <c r="D33" s="229">
        <f t="shared" si="0"/>
        <v>3695</v>
      </c>
      <c r="E33" s="229">
        <f t="shared" si="7"/>
        <v>0</v>
      </c>
      <c r="F33" s="229">
        <v>0</v>
      </c>
      <c r="G33" s="229">
        <v>0</v>
      </c>
      <c r="H33" s="229">
        <f t="shared" si="6"/>
        <v>3695</v>
      </c>
      <c r="I33" s="229">
        <v>0</v>
      </c>
      <c r="J33" s="229">
        <v>0</v>
      </c>
      <c r="K33" s="229">
        <v>730</v>
      </c>
      <c r="L33" s="229">
        <v>754</v>
      </c>
      <c r="M33" s="229">
        <v>1768</v>
      </c>
      <c r="N33" s="229">
        <v>443</v>
      </c>
      <c r="P33" s="231"/>
      <c r="U33" s="231"/>
    </row>
    <row r="34" spans="1:21" x14ac:dyDescent="0.2">
      <c r="A34" s="226">
        <v>24</v>
      </c>
      <c r="B34" s="248" t="s">
        <v>57</v>
      </c>
      <c r="C34" s="238" t="s">
        <v>58</v>
      </c>
      <c r="D34" s="229">
        <f t="shared" si="0"/>
        <v>0</v>
      </c>
      <c r="E34" s="229">
        <f t="shared" si="7"/>
        <v>0</v>
      </c>
      <c r="F34" s="229">
        <v>0</v>
      </c>
      <c r="G34" s="229">
        <v>0</v>
      </c>
      <c r="H34" s="229">
        <f t="shared" si="6"/>
        <v>0</v>
      </c>
      <c r="I34" s="229">
        <v>0</v>
      </c>
      <c r="J34" s="229">
        <v>0</v>
      </c>
      <c r="K34" s="229">
        <v>0</v>
      </c>
      <c r="L34" s="229">
        <v>0</v>
      </c>
      <c r="M34" s="229">
        <v>0</v>
      </c>
      <c r="N34" s="229">
        <v>0</v>
      </c>
      <c r="P34" s="231"/>
      <c r="U34" s="231"/>
    </row>
    <row r="35" spans="1:21" ht="24" x14ac:dyDescent="0.2">
      <c r="A35" s="226">
        <v>25</v>
      </c>
      <c r="B35" s="248" t="s">
        <v>454</v>
      </c>
      <c r="C35" s="238" t="s">
        <v>455</v>
      </c>
      <c r="D35" s="229">
        <f t="shared" si="0"/>
        <v>0</v>
      </c>
      <c r="E35" s="229">
        <f t="shared" si="7"/>
        <v>0</v>
      </c>
      <c r="F35" s="229">
        <v>0</v>
      </c>
      <c r="G35" s="229">
        <v>0</v>
      </c>
      <c r="H35" s="229">
        <f t="shared" si="6"/>
        <v>0</v>
      </c>
      <c r="I35" s="229">
        <v>0</v>
      </c>
      <c r="J35" s="229">
        <v>0</v>
      </c>
      <c r="K35" s="229">
        <v>0</v>
      </c>
      <c r="L35" s="229">
        <v>0</v>
      </c>
      <c r="M35" s="229">
        <v>0</v>
      </c>
      <c r="N35" s="229">
        <v>0</v>
      </c>
      <c r="P35" s="231"/>
      <c r="U35" s="231"/>
    </row>
    <row r="36" spans="1:21" ht="12.75" x14ac:dyDescent="0.2">
      <c r="A36" s="226">
        <v>26</v>
      </c>
      <c r="B36" s="227" t="s">
        <v>6</v>
      </c>
      <c r="C36" s="257" t="s">
        <v>59</v>
      </c>
      <c r="D36" s="229">
        <f t="shared" si="0"/>
        <v>8093</v>
      </c>
      <c r="E36" s="229">
        <f t="shared" si="7"/>
        <v>0</v>
      </c>
      <c r="F36" s="229">
        <v>0</v>
      </c>
      <c r="G36" s="229">
        <v>0</v>
      </c>
      <c r="H36" s="229">
        <f t="shared" si="6"/>
        <v>8093</v>
      </c>
      <c r="I36" s="229">
        <v>0</v>
      </c>
      <c r="J36" s="229">
        <v>0</v>
      </c>
      <c r="K36" s="229">
        <v>0</v>
      </c>
      <c r="L36" s="229">
        <v>0</v>
      </c>
      <c r="M36" s="229">
        <v>8093</v>
      </c>
      <c r="N36" s="229">
        <v>0</v>
      </c>
      <c r="P36" s="231"/>
      <c r="U36" s="231"/>
    </row>
    <row r="37" spans="1:21" ht="12.75" x14ac:dyDescent="0.2">
      <c r="A37" s="226">
        <v>27</v>
      </c>
      <c r="B37" s="235" t="s">
        <v>5</v>
      </c>
      <c r="C37" s="249" t="s">
        <v>17</v>
      </c>
      <c r="D37" s="229">
        <f t="shared" si="0"/>
        <v>56198</v>
      </c>
      <c r="E37" s="229">
        <f t="shared" si="7"/>
        <v>0</v>
      </c>
      <c r="F37" s="229">
        <v>0</v>
      </c>
      <c r="G37" s="229">
        <v>0</v>
      </c>
      <c r="H37" s="229">
        <f t="shared" si="6"/>
        <v>56198</v>
      </c>
      <c r="I37" s="229">
        <v>0</v>
      </c>
      <c r="J37" s="229">
        <v>0</v>
      </c>
      <c r="K37" s="229">
        <v>4383</v>
      </c>
      <c r="L37" s="229">
        <v>0</v>
      </c>
      <c r="M37" s="229">
        <v>36670</v>
      </c>
      <c r="N37" s="229">
        <v>15145</v>
      </c>
      <c r="P37" s="231"/>
      <c r="U37" s="231"/>
    </row>
    <row r="38" spans="1:21" ht="12.75" x14ac:dyDescent="0.2">
      <c r="A38" s="226">
        <v>28</v>
      </c>
      <c r="B38" s="235" t="s">
        <v>60</v>
      </c>
      <c r="C38" s="249" t="s">
        <v>61</v>
      </c>
      <c r="D38" s="229">
        <f t="shared" si="0"/>
        <v>10410</v>
      </c>
      <c r="E38" s="229">
        <f t="shared" si="7"/>
        <v>0</v>
      </c>
      <c r="F38" s="229">
        <v>0</v>
      </c>
      <c r="G38" s="229">
        <v>0</v>
      </c>
      <c r="H38" s="229">
        <f t="shared" si="6"/>
        <v>10410</v>
      </c>
      <c r="I38" s="229">
        <v>0</v>
      </c>
      <c r="J38" s="229">
        <v>0</v>
      </c>
      <c r="K38" s="229">
        <v>0</v>
      </c>
      <c r="L38" s="229">
        <v>0</v>
      </c>
      <c r="M38" s="229">
        <v>0</v>
      </c>
      <c r="N38" s="229">
        <v>10410</v>
      </c>
      <c r="P38" s="231"/>
      <c r="U38" s="231"/>
    </row>
    <row r="39" spans="1:21" ht="12.75" x14ac:dyDescent="0.2">
      <c r="A39" s="226">
        <v>29</v>
      </c>
      <c r="B39" s="227" t="s">
        <v>315</v>
      </c>
      <c r="C39" s="256" t="s">
        <v>316</v>
      </c>
      <c r="D39" s="229">
        <f t="shared" si="0"/>
        <v>0</v>
      </c>
      <c r="E39" s="229">
        <f t="shared" si="7"/>
        <v>0</v>
      </c>
      <c r="F39" s="229">
        <v>0</v>
      </c>
      <c r="G39" s="229">
        <v>0</v>
      </c>
      <c r="H39" s="229">
        <f t="shared" si="6"/>
        <v>0</v>
      </c>
      <c r="I39" s="229">
        <v>0</v>
      </c>
      <c r="J39" s="229">
        <v>0</v>
      </c>
      <c r="K39" s="229">
        <v>0</v>
      </c>
      <c r="L39" s="229">
        <v>0</v>
      </c>
      <c r="M39" s="229">
        <v>0</v>
      </c>
      <c r="N39" s="229">
        <v>0</v>
      </c>
      <c r="P39" s="231"/>
      <c r="U39" s="231"/>
    </row>
    <row r="40" spans="1:21" ht="12.75" x14ac:dyDescent="0.2">
      <c r="A40" s="226">
        <v>30</v>
      </c>
      <c r="B40" s="227" t="s">
        <v>317</v>
      </c>
      <c r="C40" s="257" t="s">
        <v>318</v>
      </c>
      <c r="D40" s="229">
        <f t="shared" ref="D40:D71" si="8">E40+H40</f>
        <v>3603</v>
      </c>
      <c r="E40" s="229">
        <f t="shared" si="7"/>
        <v>3603</v>
      </c>
      <c r="F40" s="229">
        <v>2019</v>
      </c>
      <c r="G40" s="229">
        <v>1584</v>
      </c>
      <c r="H40" s="229">
        <f t="shared" si="6"/>
        <v>0</v>
      </c>
      <c r="I40" s="229">
        <v>0</v>
      </c>
      <c r="J40" s="229">
        <v>0</v>
      </c>
      <c r="K40" s="229">
        <v>0</v>
      </c>
      <c r="L40" s="229">
        <v>0</v>
      </c>
      <c r="M40" s="229">
        <v>0</v>
      </c>
      <c r="N40" s="229">
        <v>0</v>
      </c>
      <c r="P40" s="231"/>
      <c r="U40" s="231"/>
    </row>
    <row r="41" spans="1:21" ht="24" x14ac:dyDescent="0.2">
      <c r="A41" s="226">
        <v>31</v>
      </c>
      <c r="B41" s="237" t="s">
        <v>456</v>
      </c>
      <c r="C41" s="234" t="s">
        <v>457</v>
      </c>
      <c r="D41" s="229">
        <f t="shared" si="8"/>
        <v>0</v>
      </c>
      <c r="E41" s="229">
        <f t="shared" si="7"/>
        <v>0</v>
      </c>
      <c r="F41" s="229">
        <v>0</v>
      </c>
      <c r="G41" s="229">
        <v>0</v>
      </c>
      <c r="H41" s="229">
        <f t="shared" si="6"/>
        <v>0</v>
      </c>
      <c r="I41" s="229">
        <v>0</v>
      </c>
      <c r="J41" s="229">
        <v>0</v>
      </c>
      <c r="K41" s="229">
        <v>0</v>
      </c>
      <c r="L41" s="229">
        <v>0</v>
      </c>
      <c r="M41" s="229">
        <v>0</v>
      </c>
      <c r="N41" s="229">
        <v>0</v>
      </c>
      <c r="P41" s="231"/>
      <c r="U41" s="231"/>
    </row>
    <row r="42" spans="1:21" ht="25.5" x14ac:dyDescent="0.2">
      <c r="A42" s="226">
        <v>32</v>
      </c>
      <c r="B42" s="235" t="s">
        <v>62</v>
      </c>
      <c r="C42" s="249" t="s">
        <v>63</v>
      </c>
      <c r="D42" s="229">
        <f t="shared" si="8"/>
        <v>127</v>
      </c>
      <c r="E42" s="229">
        <f t="shared" si="7"/>
        <v>0</v>
      </c>
      <c r="F42" s="229">
        <v>0</v>
      </c>
      <c r="G42" s="229">
        <v>0</v>
      </c>
      <c r="H42" s="229">
        <f t="shared" si="6"/>
        <v>127</v>
      </c>
      <c r="I42" s="229">
        <v>0</v>
      </c>
      <c r="J42" s="229">
        <v>0</v>
      </c>
      <c r="K42" s="229">
        <v>127</v>
      </c>
      <c r="L42" s="229">
        <v>0</v>
      </c>
      <c r="M42" s="229">
        <v>0</v>
      </c>
      <c r="N42" s="229">
        <v>0</v>
      </c>
      <c r="P42" s="231"/>
      <c r="U42" s="231"/>
    </row>
    <row r="43" spans="1:21" ht="12.75" x14ac:dyDescent="0.2">
      <c r="A43" s="226">
        <v>33</v>
      </c>
      <c r="B43" s="227" t="s">
        <v>64</v>
      </c>
      <c r="C43" s="256" t="s">
        <v>65</v>
      </c>
      <c r="D43" s="229">
        <f t="shared" si="8"/>
        <v>4156</v>
      </c>
      <c r="E43" s="229">
        <f t="shared" si="7"/>
        <v>0</v>
      </c>
      <c r="F43" s="229">
        <v>0</v>
      </c>
      <c r="G43" s="229">
        <v>0</v>
      </c>
      <c r="H43" s="229">
        <f t="shared" si="6"/>
        <v>4156</v>
      </c>
      <c r="I43" s="229">
        <v>0</v>
      </c>
      <c r="J43" s="229">
        <v>0</v>
      </c>
      <c r="K43" s="229">
        <v>319</v>
      </c>
      <c r="L43" s="229">
        <v>70</v>
      </c>
      <c r="M43" s="229">
        <v>3417</v>
      </c>
      <c r="N43" s="229">
        <v>350</v>
      </c>
      <c r="P43" s="231"/>
      <c r="U43" s="231"/>
    </row>
    <row r="44" spans="1:21" ht="12.75" x14ac:dyDescent="0.2">
      <c r="A44" s="226">
        <v>34</v>
      </c>
      <c r="B44" s="236" t="s">
        <v>66</v>
      </c>
      <c r="C44" s="257" t="s">
        <v>67</v>
      </c>
      <c r="D44" s="229">
        <f t="shared" si="8"/>
        <v>32075</v>
      </c>
      <c r="E44" s="229">
        <f t="shared" si="7"/>
        <v>0</v>
      </c>
      <c r="F44" s="229">
        <v>0</v>
      </c>
      <c r="G44" s="229">
        <v>0</v>
      </c>
      <c r="H44" s="229">
        <f t="shared" si="6"/>
        <v>32075</v>
      </c>
      <c r="I44" s="229">
        <v>3392</v>
      </c>
      <c r="J44" s="229">
        <v>0</v>
      </c>
      <c r="K44" s="229">
        <v>2447</v>
      </c>
      <c r="L44" s="229">
        <v>5636</v>
      </c>
      <c r="M44" s="229">
        <v>9341</v>
      </c>
      <c r="N44" s="229">
        <v>11259</v>
      </c>
      <c r="P44" s="231"/>
      <c r="U44" s="231"/>
    </row>
    <row r="45" spans="1:21" ht="12.75" x14ac:dyDescent="0.2">
      <c r="A45" s="226">
        <v>35</v>
      </c>
      <c r="B45" s="227" t="s">
        <v>320</v>
      </c>
      <c r="C45" s="256" t="s">
        <v>321</v>
      </c>
      <c r="D45" s="229">
        <f t="shared" si="8"/>
        <v>0</v>
      </c>
      <c r="E45" s="229">
        <f t="shared" si="7"/>
        <v>0</v>
      </c>
      <c r="F45" s="229">
        <v>0</v>
      </c>
      <c r="G45" s="229">
        <v>0</v>
      </c>
      <c r="H45" s="229">
        <f t="shared" si="6"/>
        <v>0</v>
      </c>
      <c r="I45" s="229">
        <v>0</v>
      </c>
      <c r="J45" s="229">
        <v>0</v>
      </c>
      <c r="K45" s="229">
        <v>0</v>
      </c>
      <c r="L45" s="229">
        <v>0</v>
      </c>
      <c r="M45" s="229">
        <v>0</v>
      </c>
      <c r="N45" s="229">
        <v>0</v>
      </c>
      <c r="P45" s="231"/>
      <c r="U45" s="231"/>
    </row>
    <row r="46" spans="1:21" ht="12.75" x14ac:dyDescent="0.2">
      <c r="A46" s="226">
        <v>36</v>
      </c>
      <c r="B46" s="227" t="s">
        <v>68</v>
      </c>
      <c r="C46" s="256" t="s">
        <v>69</v>
      </c>
      <c r="D46" s="229">
        <f t="shared" si="8"/>
        <v>8270</v>
      </c>
      <c r="E46" s="229">
        <f t="shared" si="7"/>
        <v>0</v>
      </c>
      <c r="F46" s="229">
        <v>0</v>
      </c>
      <c r="G46" s="229">
        <v>0</v>
      </c>
      <c r="H46" s="229">
        <f t="shared" si="6"/>
        <v>8270</v>
      </c>
      <c r="I46" s="229">
        <v>0</v>
      </c>
      <c r="J46" s="229">
        <v>0</v>
      </c>
      <c r="K46" s="229">
        <v>2905</v>
      </c>
      <c r="L46" s="229">
        <v>10</v>
      </c>
      <c r="M46" s="229">
        <v>4355</v>
      </c>
      <c r="N46" s="229">
        <v>1000</v>
      </c>
      <c r="P46" s="231"/>
      <c r="U46" s="231"/>
    </row>
    <row r="47" spans="1:21" ht="12.75" x14ac:dyDescent="0.2">
      <c r="A47" s="226">
        <v>37</v>
      </c>
      <c r="B47" s="235" t="s">
        <v>70</v>
      </c>
      <c r="C47" s="249" t="s">
        <v>71</v>
      </c>
      <c r="D47" s="229">
        <f t="shared" si="8"/>
        <v>33247</v>
      </c>
      <c r="E47" s="229">
        <f t="shared" si="7"/>
        <v>0</v>
      </c>
      <c r="F47" s="229">
        <v>0</v>
      </c>
      <c r="G47" s="229">
        <v>0</v>
      </c>
      <c r="H47" s="229">
        <f t="shared" si="6"/>
        <v>33247</v>
      </c>
      <c r="I47" s="229">
        <v>3450</v>
      </c>
      <c r="J47" s="229">
        <v>5</v>
      </c>
      <c r="K47" s="229">
        <v>1907</v>
      </c>
      <c r="L47" s="229">
        <v>627</v>
      </c>
      <c r="M47" s="229">
        <v>22742</v>
      </c>
      <c r="N47" s="229">
        <v>4516</v>
      </c>
      <c r="P47" s="231"/>
      <c r="U47" s="231"/>
    </row>
    <row r="48" spans="1:21" ht="12.75" x14ac:dyDescent="0.2">
      <c r="A48" s="226">
        <v>38</v>
      </c>
      <c r="B48" s="227" t="s">
        <v>72</v>
      </c>
      <c r="C48" s="256" t="s">
        <v>73</v>
      </c>
      <c r="D48" s="229">
        <f t="shared" si="8"/>
        <v>2294</v>
      </c>
      <c r="E48" s="229">
        <f t="shared" si="7"/>
        <v>0</v>
      </c>
      <c r="F48" s="229">
        <v>0</v>
      </c>
      <c r="G48" s="229">
        <v>0</v>
      </c>
      <c r="H48" s="229">
        <f t="shared" si="6"/>
        <v>2294</v>
      </c>
      <c r="I48" s="229">
        <v>0</v>
      </c>
      <c r="J48" s="229">
        <v>0</v>
      </c>
      <c r="K48" s="229">
        <v>1142</v>
      </c>
      <c r="L48" s="229">
        <v>1152</v>
      </c>
      <c r="M48" s="229">
        <v>0</v>
      </c>
      <c r="N48" s="229">
        <v>0</v>
      </c>
      <c r="P48" s="231"/>
      <c r="U48" s="231"/>
    </row>
    <row r="49" spans="1:21" ht="12.75" x14ac:dyDescent="0.2">
      <c r="A49" s="226">
        <v>39</v>
      </c>
      <c r="B49" s="227" t="s">
        <v>74</v>
      </c>
      <c r="C49" s="256" t="s">
        <v>458</v>
      </c>
      <c r="D49" s="229">
        <f t="shared" si="8"/>
        <v>5933</v>
      </c>
      <c r="E49" s="229">
        <f t="shared" si="7"/>
        <v>0</v>
      </c>
      <c r="F49" s="229">
        <v>0</v>
      </c>
      <c r="G49" s="229">
        <v>0</v>
      </c>
      <c r="H49" s="229">
        <f t="shared" si="6"/>
        <v>5933</v>
      </c>
      <c r="I49" s="229">
        <v>0</v>
      </c>
      <c r="J49" s="229">
        <v>0</v>
      </c>
      <c r="K49" s="229">
        <v>5538</v>
      </c>
      <c r="L49" s="229">
        <v>95</v>
      </c>
      <c r="M49" s="229">
        <v>150</v>
      </c>
      <c r="N49" s="229">
        <v>150</v>
      </c>
      <c r="P49" s="231"/>
      <c r="U49" s="231"/>
    </row>
    <row r="50" spans="1:21" ht="12.75" x14ac:dyDescent="0.2">
      <c r="A50" s="226">
        <v>40</v>
      </c>
      <c r="B50" s="242" t="s">
        <v>75</v>
      </c>
      <c r="C50" s="289" t="s">
        <v>459</v>
      </c>
      <c r="D50" s="229">
        <f t="shared" si="8"/>
        <v>9401</v>
      </c>
      <c r="E50" s="229">
        <f t="shared" si="7"/>
        <v>0</v>
      </c>
      <c r="F50" s="229">
        <v>0</v>
      </c>
      <c r="G50" s="229">
        <v>0</v>
      </c>
      <c r="H50" s="229">
        <f t="shared" si="6"/>
        <v>9401</v>
      </c>
      <c r="I50" s="229">
        <v>0</v>
      </c>
      <c r="J50" s="229">
        <v>0</v>
      </c>
      <c r="K50" s="229">
        <v>368</v>
      </c>
      <c r="L50" s="229">
        <v>194</v>
      </c>
      <c r="M50" s="229">
        <v>7400</v>
      </c>
      <c r="N50" s="229">
        <v>1439</v>
      </c>
      <c r="P50" s="231"/>
      <c r="U50" s="231"/>
    </row>
    <row r="51" spans="1:21" ht="12.75" x14ac:dyDescent="0.2">
      <c r="A51" s="226">
        <v>41</v>
      </c>
      <c r="B51" s="227" t="s">
        <v>76</v>
      </c>
      <c r="C51" s="256" t="s">
        <v>460</v>
      </c>
      <c r="D51" s="229">
        <f t="shared" si="8"/>
        <v>4904</v>
      </c>
      <c r="E51" s="229">
        <f t="shared" si="7"/>
        <v>0</v>
      </c>
      <c r="F51" s="229">
        <v>0</v>
      </c>
      <c r="G51" s="229">
        <v>0</v>
      </c>
      <c r="H51" s="229">
        <f t="shared" si="6"/>
        <v>4904</v>
      </c>
      <c r="I51" s="229">
        <v>0</v>
      </c>
      <c r="J51" s="229">
        <v>0</v>
      </c>
      <c r="K51" s="229">
        <v>1478</v>
      </c>
      <c r="L51" s="229">
        <v>3426</v>
      </c>
      <c r="M51" s="229">
        <v>0</v>
      </c>
      <c r="N51" s="229">
        <v>0</v>
      </c>
      <c r="P51" s="231"/>
      <c r="U51" s="231"/>
    </row>
    <row r="52" spans="1:21" ht="12.75" x14ac:dyDescent="0.2">
      <c r="A52" s="226">
        <v>42</v>
      </c>
      <c r="B52" s="236" t="s">
        <v>77</v>
      </c>
      <c r="C52" s="257" t="s">
        <v>78</v>
      </c>
      <c r="D52" s="229">
        <f t="shared" si="8"/>
        <v>1703</v>
      </c>
      <c r="E52" s="229">
        <f t="shared" si="7"/>
        <v>0</v>
      </c>
      <c r="F52" s="229">
        <v>0</v>
      </c>
      <c r="G52" s="229">
        <v>0</v>
      </c>
      <c r="H52" s="229">
        <f t="shared" si="6"/>
        <v>1703</v>
      </c>
      <c r="I52" s="229">
        <v>0</v>
      </c>
      <c r="J52" s="229">
        <v>0</v>
      </c>
      <c r="K52" s="229">
        <v>170</v>
      </c>
      <c r="L52" s="229">
        <v>26</v>
      </c>
      <c r="M52" s="229">
        <v>1507</v>
      </c>
      <c r="N52" s="229">
        <v>0</v>
      </c>
      <c r="P52" s="231"/>
      <c r="U52" s="231"/>
    </row>
    <row r="53" spans="1:21" ht="12.75" x14ac:dyDescent="0.2">
      <c r="A53" s="226">
        <v>43</v>
      </c>
      <c r="B53" s="235" t="s">
        <v>322</v>
      </c>
      <c r="C53" s="249" t="s">
        <v>323</v>
      </c>
      <c r="D53" s="229">
        <f t="shared" si="8"/>
        <v>3858</v>
      </c>
      <c r="E53" s="229">
        <f t="shared" si="7"/>
        <v>0</v>
      </c>
      <c r="F53" s="229">
        <v>0</v>
      </c>
      <c r="G53" s="229">
        <v>0</v>
      </c>
      <c r="H53" s="229">
        <f t="shared" si="6"/>
        <v>3858</v>
      </c>
      <c r="I53" s="229">
        <v>0</v>
      </c>
      <c r="J53" s="229">
        <v>0</v>
      </c>
      <c r="K53" s="229">
        <v>649</v>
      </c>
      <c r="L53" s="229">
        <v>133</v>
      </c>
      <c r="M53" s="229">
        <v>2298</v>
      </c>
      <c r="N53" s="229">
        <v>778</v>
      </c>
      <c r="P53" s="231"/>
      <c r="U53" s="231"/>
    </row>
    <row r="54" spans="1:21" ht="12.75" x14ac:dyDescent="0.2">
      <c r="A54" s="226">
        <v>44</v>
      </c>
      <c r="B54" s="227" t="s">
        <v>79</v>
      </c>
      <c r="C54" s="256" t="s">
        <v>80</v>
      </c>
      <c r="D54" s="229">
        <f t="shared" si="8"/>
        <v>0</v>
      </c>
      <c r="E54" s="229">
        <f t="shared" si="7"/>
        <v>0</v>
      </c>
      <c r="F54" s="229">
        <v>0</v>
      </c>
      <c r="G54" s="229">
        <v>0</v>
      </c>
      <c r="H54" s="229">
        <f t="shared" si="6"/>
        <v>0</v>
      </c>
      <c r="I54" s="229">
        <v>0</v>
      </c>
      <c r="J54" s="229">
        <v>0</v>
      </c>
      <c r="K54" s="229">
        <v>0</v>
      </c>
      <c r="L54" s="229">
        <v>0</v>
      </c>
      <c r="M54" s="229">
        <v>0</v>
      </c>
      <c r="N54" s="229">
        <v>0</v>
      </c>
      <c r="P54" s="231"/>
      <c r="U54" s="231"/>
    </row>
    <row r="55" spans="1:21" ht="12.75" x14ac:dyDescent="0.2">
      <c r="A55" s="226">
        <v>45</v>
      </c>
      <c r="B55" s="235" t="s">
        <v>81</v>
      </c>
      <c r="C55" s="249" t="s">
        <v>82</v>
      </c>
      <c r="D55" s="229">
        <f t="shared" si="8"/>
        <v>7157</v>
      </c>
      <c r="E55" s="229">
        <f t="shared" si="7"/>
        <v>0</v>
      </c>
      <c r="F55" s="229">
        <v>0</v>
      </c>
      <c r="G55" s="229">
        <v>0</v>
      </c>
      <c r="H55" s="229">
        <f t="shared" si="6"/>
        <v>7157</v>
      </c>
      <c r="I55" s="229">
        <v>1287</v>
      </c>
      <c r="J55" s="229">
        <v>0</v>
      </c>
      <c r="K55" s="229">
        <v>1</v>
      </c>
      <c r="L55" s="229">
        <v>3186</v>
      </c>
      <c r="M55" s="229">
        <v>2183</v>
      </c>
      <c r="N55" s="229">
        <v>500</v>
      </c>
      <c r="P55" s="231"/>
      <c r="U55" s="231"/>
    </row>
    <row r="56" spans="1:21" ht="12.75" x14ac:dyDescent="0.2">
      <c r="A56" s="226">
        <v>46</v>
      </c>
      <c r="B56" s="227" t="s">
        <v>83</v>
      </c>
      <c r="C56" s="256" t="s">
        <v>461</v>
      </c>
      <c r="D56" s="229">
        <f t="shared" si="8"/>
        <v>3959</v>
      </c>
      <c r="E56" s="229">
        <f t="shared" si="7"/>
        <v>0</v>
      </c>
      <c r="F56" s="229">
        <v>0</v>
      </c>
      <c r="G56" s="229">
        <v>0</v>
      </c>
      <c r="H56" s="229">
        <f t="shared" si="6"/>
        <v>3959</v>
      </c>
      <c r="I56" s="229">
        <v>0</v>
      </c>
      <c r="J56" s="229">
        <v>0</v>
      </c>
      <c r="K56" s="229">
        <v>96</v>
      </c>
      <c r="L56" s="229">
        <v>15</v>
      </c>
      <c r="M56" s="229">
        <v>3848</v>
      </c>
      <c r="N56" s="229">
        <v>0</v>
      </c>
      <c r="P56" s="231"/>
      <c r="U56" s="231"/>
    </row>
    <row r="57" spans="1:21" ht="12.75" x14ac:dyDescent="0.2">
      <c r="A57" s="226">
        <v>47</v>
      </c>
      <c r="B57" s="227" t="s">
        <v>84</v>
      </c>
      <c r="C57" s="256" t="s">
        <v>85</v>
      </c>
      <c r="D57" s="229">
        <f t="shared" si="8"/>
        <v>5812</v>
      </c>
      <c r="E57" s="229">
        <f t="shared" si="7"/>
        <v>0</v>
      </c>
      <c r="F57" s="229">
        <v>0</v>
      </c>
      <c r="G57" s="229">
        <v>0</v>
      </c>
      <c r="H57" s="229">
        <f t="shared" si="6"/>
        <v>5812</v>
      </c>
      <c r="I57" s="229">
        <v>0</v>
      </c>
      <c r="J57" s="229">
        <v>0</v>
      </c>
      <c r="K57" s="229">
        <v>140</v>
      </c>
      <c r="L57" s="229">
        <v>94</v>
      </c>
      <c r="M57" s="229">
        <v>4241</v>
      </c>
      <c r="N57" s="229">
        <v>1337</v>
      </c>
      <c r="P57" s="231"/>
      <c r="U57" s="231"/>
    </row>
    <row r="58" spans="1:21" ht="12.75" x14ac:dyDescent="0.2">
      <c r="A58" s="226">
        <v>48</v>
      </c>
      <c r="B58" s="244" t="s">
        <v>86</v>
      </c>
      <c r="C58" s="290" t="s">
        <v>87</v>
      </c>
      <c r="D58" s="229">
        <f t="shared" si="8"/>
        <v>2255</v>
      </c>
      <c r="E58" s="229">
        <f t="shared" si="7"/>
        <v>0</v>
      </c>
      <c r="F58" s="229">
        <v>0</v>
      </c>
      <c r="G58" s="229">
        <v>0</v>
      </c>
      <c r="H58" s="229">
        <f t="shared" si="6"/>
        <v>2255</v>
      </c>
      <c r="I58" s="229">
        <v>0</v>
      </c>
      <c r="J58" s="229">
        <v>0</v>
      </c>
      <c r="K58" s="229">
        <v>0</v>
      </c>
      <c r="L58" s="229">
        <v>0</v>
      </c>
      <c r="M58" s="229">
        <v>2255</v>
      </c>
      <c r="N58" s="229">
        <v>0</v>
      </c>
      <c r="P58" s="231"/>
      <c r="U58" s="231"/>
    </row>
    <row r="59" spans="1:21" ht="12.75" x14ac:dyDescent="0.2">
      <c r="A59" s="226">
        <v>49</v>
      </c>
      <c r="B59" s="235" t="s">
        <v>88</v>
      </c>
      <c r="C59" s="249" t="s">
        <v>462</v>
      </c>
      <c r="D59" s="229">
        <f t="shared" si="8"/>
        <v>5181</v>
      </c>
      <c r="E59" s="229">
        <f t="shared" si="7"/>
        <v>0</v>
      </c>
      <c r="F59" s="229">
        <v>0</v>
      </c>
      <c r="G59" s="229">
        <v>0</v>
      </c>
      <c r="H59" s="229">
        <f t="shared" si="6"/>
        <v>5181</v>
      </c>
      <c r="I59" s="229">
        <v>1500</v>
      </c>
      <c r="J59" s="229">
        <v>0</v>
      </c>
      <c r="K59" s="229">
        <v>790</v>
      </c>
      <c r="L59" s="229">
        <v>198</v>
      </c>
      <c r="M59" s="229">
        <v>2543</v>
      </c>
      <c r="N59" s="229">
        <v>150</v>
      </c>
      <c r="P59" s="231"/>
      <c r="U59" s="231"/>
    </row>
    <row r="60" spans="1:21" ht="12.75" x14ac:dyDescent="0.2">
      <c r="A60" s="226">
        <v>50</v>
      </c>
      <c r="B60" s="227" t="s">
        <v>89</v>
      </c>
      <c r="C60" s="256" t="s">
        <v>90</v>
      </c>
      <c r="D60" s="229">
        <f t="shared" si="8"/>
        <v>2812</v>
      </c>
      <c r="E60" s="229">
        <f t="shared" si="7"/>
        <v>0</v>
      </c>
      <c r="F60" s="229">
        <v>0</v>
      </c>
      <c r="G60" s="229">
        <v>0</v>
      </c>
      <c r="H60" s="229">
        <f t="shared" si="6"/>
        <v>2812</v>
      </c>
      <c r="I60" s="229">
        <v>485</v>
      </c>
      <c r="J60" s="229">
        <v>0</v>
      </c>
      <c r="K60" s="229">
        <v>432</v>
      </c>
      <c r="L60" s="229">
        <v>437</v>
      </c>
      <c r="M60" s="229">
        <v>1458</v>
      </c>
      <c r="N60" s="229">
        <v>0</v>
      </c>
      <c r="P60" s="231"/>
      <c r="U60" s="231"/>
    </row>
    <row r="61" spans="1:21" ht="12.75" x14ac:dyDescent="0.2">
      <c r="A61" s="226">
        <v>51</v>
      </c>
      <c r="B61" s="235" t="s">
        <v>91</v>
      </c>
      <c r="C61" s="249" t="s">
        <v>92</v>
      </c>
      <c r="D61" s="229">
        <f t="shared" si="8"/>
        <v>31</v>
      </c>
      <c r="E61" s="229">
        <f t="shared" si="7"/>
        <v>0</v>
      </c>
      <c r="F61" s="229">
        <v>0</v>
      </c>
      <c r="G61" s="229">
        <v>0</v>
      </c>
      <c r="H61" s="229">
        <f t="shared" si="6"/>
        <v>31</v>
      </c>
      <c r="I61" s="229">
        <v>0</v>
      </c>
      <c r="J61" s="229">
        <v>0</v>
      </c>
      <c r="K61" s="229">
        <v>24</v>
      </c>
      <c r="L61" s="229">
        <v>7</v>
      </c>
      <c r="M61" s="229">
        <v>0</v>
      </c>
      <c r="N61" s="229">
        <v>0</v>
      </c>
      <c r="P61" s="231"/>
      <c r="U61" s="231"/>
    </row>
    <row r="62" spans="1:21" ht="12.75" x14ac:dyDescent="0.2">
      <c r="A62" s="226">
        <v>52</v>
      </c>
      <c r="B62" s="227" t="s">
        <v>93</v>
      </c>
      <c r="C62" s="256" t="s">
        <v>94</v>
      </c>
      <c r="D62" s="229">
        <f t="shared" si="8"/>
        <v>1672</v>
      </c>
      <c r="E62" s="229">
        <f t="shared" si="7"/>
        <v>0</v>
      </c>
      <c r="F62" s="229">
        <v>0</v>
      </c>
      <c r="G62" s="229">
        <v>0</v>
      </c>
      <c r="H62" s="229">
        <f t="shared" si="6"/>
        <v>1672</v>
      </c>
      <c r="I62" s="229">
        <v>0</v>
      </c>
      <c r="J62" s="229">
        <v>0</v>
      </c>
      <c r="K62" s="229">
        <v>111</v>
      </c>
      <c r="L62" s="229">
        <v>56</v>
      </c>
      <c r="M62" s="229">
        <v>1305</v>
      </c>
      <c r="N62" s="229">
        <v>200</v>
      </c>
      <c r="P62" s="231"/>
      <c r="U62" s="231"/>
    </row>
    <row r="63" spans="1:21" ht="12.75" x14ac:dyDescent="0.2">
      <c r="A63" s="226">
        <v>53</v>
      </c>
      <c r="B63" s="235" t="s">
        <v>95</v>
      </c>
      <c r="C63" s="249" t="s">
        <v>463</v>
      </c>
      <c r="D63" s="229">
        <f t="shared" si="8"/>
        <v>2061</v>
      </c>
      <c r="E63" s="229">
        <f t="shared" si="7"/>
        <v>0</v>
      </c>
      <c r="F63" s="229">
        <v>0</v>
      </c>
      <c r="G63" s="229">
        <v>0</v>
      </c>
      <c r="H63" s="229">
        <f t="shared" si="6"/>
        <v>2061</v>
      </c>
      <c r="I63" s="229">
        <v>0</v>
      </c>
      <c r="J63" s="229">
        <v>0</v>
      </c>
      <c r="K63" s="229">
        <v>983</v>
      </c>
      <c r="L63" s="229">
        <v>48</v>
      </c>
      <c r="M63" s="229">
        <v>1030</v>
      </c>
      <c r="N63" s="229">
        <v>0</v>
      </c>
      <c r="P63" s="231"/>
      <c r="U63" s="231"/>
    </row>
    <row r="64" spans="1:21" ht="12.75" x14ac:dyDescent="0.2">
      <c r="A64" s="226">
        <v>54</v>
      </c>
      <c r="B64" s="235" t="s">
        <v>96</v>
      </c>
      <c r="C64" s="249" t="s">
        <v>97</v>
      </c>
      <c r="D64" s="229">
        <f t="shared" si="8"/>
        <v>14869</v>
      </c>
      <c r="E64" s="229">
        <f t="shared" si="7"/>
        <v>0</v>
      </c>
      <c r="F64" s="229">
        <v>0</v>
      </c>
      <c r="G64" s="229">
        <v>0</v>
      </c>
      <c r="H64" s="229">
        <f t="shared" si="6"/>
        <v>14869</v>
      </c>
      <c r="I64" s="229">
        <v>0</v>
      </c>
      <c r="J64" s="229">
        <v>0</v>
      </c>
      <c r="K64" s="229">
        <v>498</v>
      </c>
      <c r="L64" s="229">
        <v>95</v>
      </c>
      <c r="M64" s="229">
        <v>9866</v>
      </c>
      <c r="N64" s="229">
        <v>4410</v>
      </c>
      <c r="P64" s="231"/>
      <c r="U64" s="231"/>
    </row>
    <row r="65" spans="1:21" ht="12.75" x14ac:dyDescent="0.2">
      <c r="A65" s="226">
        <v>55</v>
      </c>
      <c r="B65" s="235" t="s">
        <v>98</v>
      </c>
      <c r="C65" s="249" t="s">
        <v>464</v>
      </c>
      <c r="D65" s="229">
        <f t="shared" si="8"/>
        <v>1637</v>
      </c>
      <c r="E65" s="229">
        <f t="shared" si="7"/>
        <v>0</v>
      </c>
      <c r="F65" s="229">
        <v>0</v>
      </c>
      <c r="G65" s="229">
        <v>0</v>
      </c>
      <c r="H65" s="229">
        <f t="shared" si="6"/>
        <v>1637</v>
      </c>
      <c r="I65" s="229">
        <v>0</v>
      </c>
      <c r="J65" s="229">
        <v>0</v>
      </c>
      <c r="K65" s="229">
        <v>978</v>
      </c>
      <c r="L65" s="229">
        <v>44</v>
      </c>
      <c r="M65" s="229">
        <v>410</v>
      </c>
      <c r="N65" s="229">
        <v>205</v>
      </c>
      <c r="P65" s="231"/>
      <c r="U65" s="231"/>
    </row>
    <row r="66" spans="1:21" x14ac:dyDescent="0.2">
      <c r="A66" s="226">
        <v>56</v>
      </c>
      <c r="B66" s="248" t="s">
        <v>325</v>
      </c>
      <c r="C66" s="238" t="s">
        <v>465</v>
      </c>
      <c r="D66" s="229">
        <f t="shared" si="8"/>
        <v>0</v>
      </c>
      <c r="E66" s="229">
        <f t="shared" si="7"/>
        <v>0</v>
      </c>
      <c r="F66" s="229">
        <v>0</v>
      </c>
      <c r="G66" s="229">
        <v>0</v>
      </c>
      <c r="H66" s="229">
        <f t="shared" si="6"/>
        <v>0</v>
      </c>
      <c r="I66" s="229">
        <v>0</v>
      </c>
      <c r="J66" s="229">
        <v>0</v>
      </c>
      <c r="K66" s="229">
        <v>0</v>
      </c>
      <c r="L66" s="229">
        <v>0</v>
      </c>
      <c r="M66" s="229">
        <v>0</v>
      </c>
      <c r="N66" s="229">
        <v>0</v>
      </c>
      <c r="P66" s="231"/>
      <c r="U66" s="231"/>
    </row>
    <row r="67" spans="1:21" x14ac:dyDescent="0.2">
      <c r="A67" s="226">
        <v>57</v>
      </c>
      <c r="B67" s="248" t="s">
        <v>466</v>
      </c>
      <c r="C67" s="238" t="s">
        <v>467</v>
      </c>
      <c r="D67" s="229">
        <f t="shared" si="8"/>
        <v>0</v>
      </c>
      <c r="E67" s="229">
        <f t="shared" si="7"/>
        <v>0</v>
      </c>
      <c r="F67" s="229">
        <v>0</v>
      </c>
      <c r="G67" s="229">
        <v>0</v>
      </c>
      <c r="H67" s="229">
        <f t="shared" si="6"/>
        <v>0</v>
      </c>
      <c r="I67" s="229">
        <v>0</v>
      </c>
      <c r="J67" s="229">
        <v>0</v>
      </c>
      <c r="K67" s="229">
        <v>0</v>
      </c>
      <c r="L67" s="229">
        <v>0</v>
      </c>
      <c r="M67" s="229">
        <v>0</v>
      </c>
      <c r="N67" s="229">
        <v>0</v>
      </c>
      <c r="P67" s="231"/>
      <c r="U67" s="231"/>
    </row>
    <row r="68" spans="1:21" ht="25.5" x14ac:dyDescent="0.2">
      <c r="A68" s="226">
        <v>58</v>
      </c>
      <c r="B68" s="235" t="s">
        <v>99</v>
      </c>
      <c r="C68" s="249" t="s">
        <v>100</v>
      </c>
      <c r="D68" s="229">
        <f t="shared" si="8"/>
        <v>0</v>
      </c>
      <c r="E68" s="229">
        <f t="shared" si="7"/>
        <v>0</v>
      </c>
      <c r="F68" s="229">
        <v>0</v>
      </c>
      <c r="G68" s="229">
        <v>0</v>
      </c>
      <c r="H68" s="229">
        <f t="shared" si="6"/>
        <v>0</v>
      </c>
      <c r="I68" s="229">
        <v>0</v>
      </c>
      <c r="J68" s="229">
        <v>0</v>
      </c>
      <c r="K68" s="229">
        <v>0</v>
      </c>
      <c r="L68" s="229">
        <v>0</v>
      </c>
      <c r="M68" s="229">
        <v>0</v>
      </c>
      <c r="N68" s="229">
        <v>0</v>
      </c>
      <c r="P68" s="231"/>
      <c r="U68" s="231"/>
    </row>
    <row r="69" spans="1:21" ht="25.5" x14ac:dyDescent="0.2">
      <c r="A69" s="226">
        <v>59</v>
      </c>
      <c r="B69" s="227" t="s">
        <v>101</v>
      </c>
      <c r="C69" s="249" t="s">
        <v>468</v>
      </c>
      <c r="D69" s="229">
        <f t="shared" si="8"/>
        <v>0</v>
      </c>
      <c r="E69" s="229">
        <f t="shared" si="7"/>
        <v>0</v>
      </c>
      <c r="F69" s="229">
        <v>0</v>
      </c>
      <c r="G69" s="229">
        <v>0</v>
      </c>
      <c r="H69" s="229">
        <f t="shared" si="6"/>
        <v>0</v>
      </c>
      <c r="I69" s="229">
        <v>0</v>
      </c>
      <c r="J69" s="229">
        <v>0</v>
      </c>
      <c r="K69" s="229">
        <v>0</v>
      </c>
      <c r="L69" s="229">
        <v>0</v>
      </c>
      <c r="M69" s="229">
        <v>0</v>
      </c>
      <c r="N69" s="229">
        <v>0</v>
      </c>
      <c r="P69" s="231"/>
      <c r="U69" s="231"/>
    </row>
    <row r="70" spans="1:21" ht="25.5" x14ac:dyDescent="0.2">
      <c r="A70" s="226">
        <v>60</v>
      </c>
      <c r="B70" s="236" t="s">
        <v>102</v>
      </c>
      <c r="C70" s="257" t="s">
        <v>103</v>
      </c>
      <c r="D70" s="229">
        <f t="shared" si="8"/>
        <v>692</v>
      </c>
      <c r="E70" s="229">
        <f t="shared" si="7"/>
        <v>0</v>
      </c>
      <c r="F70" s="229">
        <v>0</v>
      </c>
      <c r="G70" s="229">
        <v>0</v>
      </c>
      <c r="H70" s="229">
        <f t="shared" si="6"/>
        <v>692</v>
      </c>
      <c r="I70" s="229">
        <v>0</v>
      </c>
      <c r="J70" s="229">
        <v>0</v>
      </c>
      <c r="K70" s="229">
        <v>0</v>
      </c>
      <c r="L70" s="229">
        <v>692</v>
      </c>
      <c r="M70" s="229">
        <v>0</v>
      </c>
      <c r="N70" s="229">
        <v>0</v>
      </c>
      <c r="P70" s="231"/>
      <c r="U70" s="231"/>
    </row>
    <row r="71" spans="1:21" ht="25.5" x14ac:dyDescent="0.2">
      <c r="A71" s="226">
        <v>61</v>
      </c>
      <c r="B71" s="227" t="s">
        <v>104</v>
      </c>
      <c r="C71" s="249" t="s">
        <v>469</v>
      </c>
      <c r="D71" s="229">
        <f t="shared" si="8"/>
        <v>0</v>
      </c>
      <c r="E71" s="229">
        <f t="shared" si="7"/>
        <v>0</v>
      </c>
      <c r="F71" s="229">
        <v>0</v>
      </c>
      <c r="G71" s="229">
        <v>0</v>
      </c>
      <c r="H71" s="229">
        <f t="shared" si="6"/>
        <v>0</v>
      </c>
      <c r="I71" s="229">
        <v>0</v>
      </c>
      <c r="J71" s="229">
        <v>0</v>
      </c>
      <c r="K71" s="229">
        <v>0</v>
      </c>
      <c r="L71" s="229">
        <v>0</v>
      </c>
      <c r="M71" s="229">
        <v>0</v>
      </c>
      <c r="N71" s="229">
        <v>0</v>
      </c>
      <c r="P71" s="231"/>
      <c r="U71" s="231"/>
    </row>
    <row r="72" spans="1:21" ht="25.5" x14ac:dyDescent="0.2">
      <c r="A72" s="226">
        <v>62</v>
      </c>
      <c r="B72" s="235" t="s">
        <v>105</v>
      </c>
      <c r="C72" s="249" t="s">
        <v>106</v>
      </c>
      <c r="D72" s="229">
        <f t="shared" ref="D72:D103" si="9">E72+H72</f>
        <v>0</v>
      </c>
      <c r="E72" s="229">
        <f t="shared" si="7"/>
        <v>0</v>
      </c>
      <c r="F72" s="229">
        <v>0</v>
      </c>
      <c r="G72" s="229">
        <v>0</v>
      </c>
      <c r="H72" s="229">
        <f t="shared" si="6"/>
        <v>0</v>
      </c>
      <c r="I72" s="229">
        <v>0</v>
      </c>
      <c r="J72" s="229">
        <v>0</v>
      </c>
      <c r="K72" s="229">
        <v>0</v>
      </c>
      <c r="L72" s="229">
        <v>0</v>
      </c>
      <c r="M72" s="229">
        <v>0</v>
      </c>
      <c r="N72" s="229">
        <v>0</v>
      </c>
      <c r="P72" s="231"/>
      <c r="U72" s="231"/>
    </row>
    <row r="73" spans="1:21" ht="38.25" x14ac:dyDescent="0.2">
      <c r="A73" s="226">
        <v>63</v>
      </c>
      <c r="B73" s="227" t="s">
        <v>332</v>
      </c>
      <c r="C73" s="249" t="s">
        <v>470</v>
      </c>
      <c r="D73" s="229">
        <f t="shared" si="9"/>
        <v>7183</v>
      </c>
      <c r="E73" s="229">
        <f t="shared" si="7"/>
        <v>7183</v>
      </c>
      <c r="F73" s="229">
        <v>0</v>
      </c>
      <c r="G73" s="229">
        <v>7183</v>
      </c>
      <c r="H73" s="229">
        <f t="shared" si="6"/>
        <v>0</v>
      </c>
      <c r="I73" s="229">
        <v>0</v>
      </c>
      <c r="J73" s="229">
        <v>0</v>
      </c>
      <c r="K73" s="229">
        <v>0</v>
      </c>
      <c r="L73" s="229">
        <v>0</v>
      </c>
      <c r="M73" s="229">
        <v>0</v>
      </c>
      <c r="N73" s="229">
        <v>0</v>
      </c>
      <c r="P73" s="231"/>
      <c r="U73" s="231"/>
    </row>
    <row r="74" spans="1:21" ht="38.25" x14ac:dyDescent="0.2">
      <c r="A74" s="226">
        <v>64</v>
      </c>
      <c r="B74" s="227" t="s">
        <v>334</v>
      </c>
      <c r="C74" s="249" t="s">
        <v>471</v>
      </c>
      <c r="D74" s="229">
        <f t="shared" si="9"/>
        <v>22746</v>
      </c>
      <c r="E74" s="229">
        <f t="shared" si="7"/>
        <v>22746</v>
      </c>
      <c r="F74" s="229">
        <v>0</v>
      </c>
      <c r="G74" s="229">
        <v>22746</v>
      </c>
      <c r="H74" s="229">
        <f t="shared" si="6"/>
        <v>0</v>
      </c>
      <c r="I74" s="229">
        <v>0</v>
      </c>
      <c r="J74" s="229">
        <v>0</v>
      </c>
      <c r="K74" s="229">
        <v>0</v>
      </c>
      <c r="L74" s="229">
        <v>0</v>
      </c>
      <c r="M74" s="229">
        <v>0</v>
      </c>
      <c r="N74" s="229">
        <v>0</v>
      </c>
      <c r="P74" s="231"/>
      <c r="U74" s="231"/>
    </row>
    <row r="75" spans="1:21" ht="12.75" x14ac:dyDescent="0.2">
      <c r="A75" s="226">
        <v>65</v>
      </c>
      <c r="B75" s="227" t="s">
        <v>107</v>
      </c>
      <c r="C75" s="249" t="s">
        <v>472</v>
      </c>
      <c r="D75" s="229">
        <f t="shared" si="9"/>
        <v>1437</v>
      </c>
      <c r="E75" s="229">
        <f t="shared" si="7"/>
        <v>0</v>
      </c>
      <c r="F75" s="229">
        <v>0</v>
      </c>
      <c r="G75" s="229">
        <v>0</v>
      </c>
      <c r="H75" s="229">
        <f t="shared" si="6"/>
        <v>1437</v>
      </c>
      <c r="I75" s="229">
        <v>0</v>
      </c>
      <c r="J75" s="229">
        <v>0</v>
      </c>
      <c r="K75" s="229">
        <v>0</v>
      </c>
      <c r="L75" s="229">
        <v>0</v>
      </c>
      <c r="M75" s="229">
        <v>1437</v>
      </c>
      <c r="N75" s="229">
        <v>0</v>
      </c>
      <c r="P75" s="231"/>
      <c r="U75" s="231"/>
    </row>
    <row r="76" spans="1:21" ht="12.75" x14ac:dyDescent="0.2">
      <c r="A76" s="226">
        <v>66</v>
      </c>
      <c r="B76" s="227" t="s">
        <v>108</v>
      </c>
      <c r="C76" s="249" t="s">
        <v>473</v>
      </c>
      <c r="D76" s="229">
        <f t="shared" si="9"/>
        <v>0</v>
      </c>
      <c r="E76" s="229">
        <f t="shared" ref="E76:E139" si="10">F76+G76</f>
        <v>0</v>
      </c>
      <c r="F76" s="229">
        <v>0</v>
      </c>
      <c r="G76" s="229">
        <v>0</v>
      </c>
      <c r="H76" s="229">
        <f t="shared" si="6"/>
        <v>0</v>
      </c>
      <c r="I76" s="229">
        <v>0</v>
      </c>
      <c r="J76" s="229">
        <v>0</v>
      </c>
      <c r="K76" s="229">
        <v>0</v>
      </c>
      <c r="L76" s="229">
        <v>0</v>
      </c>
      <c r="M76" s="229">
        <v>0</v>
      </c>
      <c r="N76" s="229">
        <v>0</v>
      </c>
      <c r="P76" s="231"/>
      <c r="U76" s="231"/>
    </row>
    <row r="77" spans="1:21" ht="12.75" x14ac:dyDescent="0.2">
      <c r="A77" s="226">
        <v>67</v>
      </c>
      <c r="B77" s="227" t="s">
        <v>109</v>
      </c>
      <c r="C77" s="249" t="s">
        <v>474</v>
      </c>
      <c r="D77" s="229">
        <f t="shared" si="9"/>
        <v>254</v>
      </c>
      <c r="E77" s="229">
        <f t="shared" si="10"/>
        <v>0</v>
      </c>
      <c r="F77" s="229">
        <v>0</v>
      </c>
      <c r="G77" s="229">
        <v>0</v>
      </c>
      <c r="H77" s="229">
        <f t="shared" si="6"/>
        <v>254</v>
      </c>
      <c r="I77" s="229">
        <v>0</v>
      </c>
      <c r="J77" s="229">
        <v>0</v>
      </c>
      <c r="K77" s="229">
        <v>169</v>
      </c>
      <c r="L77" s="229">
        <v>0</v>
      </c>
      <c r="M77" s="229">
        <v>85</v>
      </c>
      <c r="N77" s="229">
        <v>0</v>
      </c>
      <c r="P77" s="231"/>
      <c r="U77" s="231"/>
    </row>
    <row r="78" spans="1:21" ht="12.75" x14ac:dyDescent="0.2">
      <c r="A78" s="226">
        <v>68</v>
      </c>
      <c r="B78" s="227" t="s">
        <v>110</v>
      </c>
      <c r="C78" s="249" t="s">
        <v>475</v>
      </c>
      <c r="D78" s="229">
        <f t="shared" si="9"/>
        <v>0</v>
      </c>
      <c r="E78" s="229">
        <f t="shared" si="10"/>
        <v>0</v>
      </c>
      <c r="F78" s="229">
        <v>0</v>
      </c>
      <c r="G78" s="229">
        <v>0</v>
      </c>
      <c r="H78" s="229">
        <f t="shared" si="6"/>
        <v>0</v>
      </c>
      <c r="I78" s="229">
        <v>0</v>
      </c>
      <c r="J78" s="229">
        <v>0</v>
      </c>
      <c r="K78" s="229">
        <v>0</v>
      </c>
      <c r="L78" s="229">
        <v>0</v>
      </c>
      <c r="M78" s="229">
        <v>0</v>
      </c>
      <c r="N78" s="229">
        <v>0</v>
      </c>
      <c r="P78" s="231"/>
      <c r="U78" s="231"/>
    </row>
    <row r="79" spans="1:21" ht="12.75" x14ac:dyDescent="0.2">
      <c r="A79" s="226">
        <v>69</v>
      </c>
      <c r="B79" s="227" t="s">
        <v>111</v>
      </c>
      <c r="C79" s="249" t="s">
        <v>476</v>
      </c>
      <c r="D79" s="229">
        <f t="shared" si="9"/>
        <v>0</v>
      </c>
      <c r="E79" s="229">
        <f t="shared" si="10"/>
        <v>0</v>
      </c>
      <c r="F79" s="229">
        <v>0</v>
      </c>
      <c r="G79" s="229">
        <v>0</v>
      </c>
      <c r="H79" s="229">
        <f t="shared" si="6"/>
        <v>0</v>
      </c>
      <c r="I79" s="229">
        <v>0</v>
      </c>
      <c r="J79" s="229">
        <v>0</v>
      </c>
      <c r="K79" s="229">
        <v>0</v>
      </c>
      <c r="L79" s="229">
        <v>0</v>
      </c>
      <c r="M79" s="229">
        <v>0</v>
      </c>
      <c r="N79" s="229">
        <v>0</v>
      </c>
      <c r="P79" s="231"/>
      <c r="U79" s="231"/>
    </row>
    <row r="80" spans="1:21" ht="12.75" x14ac:dyDescent="0.2">
      <c r="A80" s="226">
        <v>70</v>
      </c>
      <c r="B80" s="235" t="s">
        <v>112</v>
      </c>
      <c r="C80" s="249" t="s">
        <v>113</v>
      </c>
      <c r="D80" s="229">
        <f t="shared" si="9"/>
        <v>0</v>
      </c>
      <c r="E80" s="229">
        <f t="shared" si="10"/>
        <v>0</v>
      </c>
      <c r="F80" s="229">
        <v>0</v>
      </c>
      <c r="G80" s="229">
        <v>0</v>
      </c>
      <c r="H80" s="229">
        <f t="shared" si="6"/>
        <v>0</v>
      </c>
      <c r="I80" s="229">
        <v>0</v>
      </c>
      <c r="J80" s="229">
        <v>0</v>
      </c>
      <c r="K80" s="229">
        <v>0</v>
      </c>
      <c r="L80" s="229">
        <v>0</v>
      </c>
      <c r="M80" s="229">
        <v>0</v>
      </c>
      <c r="N80" s="229">
        <v>0</v>
      </c>
      <c r="P80" s="231"/>
      <c r="U80" s="231"/>
    </row>
    <row r="81" spans="1:21" ht="12.75" x14ac:dyDescent="0.2">
      <c r="A81" s="226">
        <v>71</v>
      </c>
      <c r="B81" s="227" t="s">
        <v>114</v>
      </c>
      <c r="C81" s="256" t="s">
        <v>115</v>
      </c>
      <c r="D81" s="229">
        <f t="shared" si="9"/>
        <v>0</v>
      </c>
      <c r="E81" s="229">
        <f t="shared" si="10"/>
        <v>0</v>
      </c>
      <c r="F81" s="229">
        <v>0</v>
      </c>
      <c r="G81" s="229">
        <v>0</v>
      </c>
      <c r="H81" s="229">
        <f t="shared" si="6"/>
        <v>0</v>
      </c>
      <c r="I81" s="229">
        <v>0</v>
      </c>
      <c r="J81" s="229">
        <v>0</v>
      </c>
      <c r="K81" s="229">
        <v>0</v>
      </c>
      <c r="L81" s="229">
        <v>0</v>
      </c>
      <c r="M81" s="229">
        <v>0</v>
      </c>
      <c r="N81" s="229">
        <v>0</v>
      </c>
      <c r="P81" s="231"/>
      <c r="U81" s="231"/>
    </row>
    <row r="82" spans="1:21" ht="12.75" x14ac:dyDescent="0.2">
      <c r="A82" s="226">
        <v>72</v>
      </c>
      <c r="B82" s="235" t="s">
        <v>116</v>
      </c>
      <c r="C82" s="249" t="s">
        <v>117</v>
      </c>
      <c r="D82" s="229">
        <f t="shared" si="9"/>
        <v>0</v>
      </c>
      <c r="E82" s="229">
        <f t="shared" si="10"/>
        <v>0</v>
      </c>
      <c r="F82" s="229">
        <v>0</v>
      </c>
      <c r="G82" s="229">
        <v>0</v>
      </c>
      <c r="H82" s="229">
        <f t="shared" ref="H82:H158" si="11">M82+N82+L82+K82+J82+I82</f>
        <v>0</v>
      </c>
      <c r="I82" s="229">
        <v>0</v>
      </c>
      <c r="J82" s="229">
        <v>0</v>
      </c>
      <c r="K82" s="229">
        <v>0</v>
      </c>
      <c r="L82" s="229">
        <v>0</v>
      </c>
      <c r="M82" s="229">
        <v>0</v>
      </c>
      <c r="N82" s="229">
        <v>0</v>
      </c>
      <c r="P82" s="231"/>
      <c r="U82" s="231"/>
    </row>
    <row r="83" spans="1:21" ht="12.75" x14ac:dyDescent="0.2">
      <c r="A83" s="226">
        <v>73</v>
      </c>
      <c r="B83" s="227" t="s">
        <v>118</v>
      </c>
      <c r="C83" s="249" t="s">
        <v>477</v>
      </c>
      <c r="D83" s="229">
        <f t="shared" si="9"/>
        <v>0</v>
      </c>
      <c r="E83" s="229">
        <f t="shared" si="10"/>
        <v>0</v>
      </c>
      <c r="F83" s="229">
        <v>0</v>
      </c>
      <c r="G83" s="229">
        <v>0</v>
      </c>
      <c r="H83" s="229">
        <f t="shared" si="11"/>
        <v>0</v>
      </c>
      <c r="I83" s="229">
        <v>0</v>
      </c>
      <c r="J83" s="229">
        <v>0</v>
      </c>
      <c r="K83" s="229">
        <v>0</v>
      </c>
      <c r="L83" s="229">
        <v>0</v>
      </c>
      <c r="M83" s="229">
        <v>0</v>
      </c>
      <c r="N83" s="229">
        <v>0</v>
      </c>
      <c r="P83" s="231"/>
      <c r="U83" s="231"/>
    </row>
    <row r="84" spans="1:21" ht="12.75" x14ac:dyDescent="0.2">
      <c r="A84" s="226">
        <v>74</v>
      </c>
      <c r="B84" s="235" t="s">
        <v>119</v>
      </c>
      <c r="C84" s="249" t="s">
        <v>120</v>
      </c>
      <c r="D84" s="229">
        <f t="shared" si="9"/>
        <v>0</v>
      </c>
      <c r="E84" s="229">
        <f t="shared" si="10"/>
        <v>0</v>
      </c>
      <c r="F84" s="229">
        <v>0</v>
      </c>
      <c r="G84" s="229">
        <v>0</v>
      </c>
      <c r="H84" s="229">
        <f t="shared" si="11"/>
        <v>0</v>
      </c>
      <c r="I84" s="229">
        <v>0</v>
      </c>
      <c r="J84" s="229">
        <v>0</v>
      </c>
      <c r="K84" s="229">
        <v>0</v>
      </c>
      <c r="L84" s="229">
        <v>0</v>
      </c>
      <c r="M84" s="229">
        <v>0</v>
      </c>
      <c r="N84" s="229">
        <v>0</v>
      </c>
      <c r="P84" s="231"/>
      <c r="U84" s="231"/>
    </row>
    <row r="85" spans="1:21" ht="12.75" x14ac:dyDescent="0.2">
      <c r="A85" s="226">
        <v>75</v>
      </c>
      <c r="B85" s="235" t="s">
        <v>121</v>
      </c>
      <c r="C85" s="249" t="s">
        <v>122</v>
      </c>
      <c r="D85" s="229">
        <f t="shared" si="9"/>
        <v>0</v>
      </c>
      <c r="E85" s="229">
        <f t="shared" si="10"/>
        <v>0</v>
      </c>
      <c r="F85" s="229">
        <v>0</v>
      </c>
      <c r="G85" s="229">
        <v>0</v>
      </c>
      <c r="H85" s="229">
        <f t="shared" si="11"/>
        <v>0</v>
      </c>
      <c r="I85" s="229">
        <v>0</v>
      </c>
      <c r="J85" s="229">
        <v>0</v>
      </c>
      <c r="K85" s="229">
        <v>0</v>
      </c>
      <c r="L85" s="229">
        <v>0</v>
      </c>
      <c r="M85" s="229">
        <v>0</v>
      </c>
      <c r="N85" s="229">
        <v>0</v>
      </c>
      <c r="P85" s="231"/>
      <c r="U85" s="231"/>
    </row>
    <row r="86" spans="1:21" ht="25.5" x14ac:dyDescent="0.2">
      <c r="A86" s="226">
        <v>76</v>
      </c>
      <c r="B86" s="245" t="s">
        <v>347</v>
      </c>
      <c r="C86" s="290" t="s">
        <v>478</v>
      </c>
      <c r="D86" s="229">
        <f t="shared" si="9"/>
        <v>473</v>
      </c>
      <c r="E86" s="229">
        <f t="shared" si="10"/>
        <v>473</v>
      </c>
      <c r="F86" s="229">
        <v>473</v>
      </c>
      <c r="G86" s="229">
        <v>0</v>
      </c>
      <c r="H86" s="229">
        <f t="shared" si="11"/>
        <v>0</v>
      </c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P86" s="231"/>
      <c r="U86" s="231"/>
    </row>
    <row r="87" spans="1:21" ht="25.5" x14ac:dyDescent="0.2">
      <c r="A87" s="226">
        <v>77</v>
      </c>
      <c r="B87" s="227" t="s">
        <v>349</v>
      </c>
      <c r="C87" s="249" t="s">
        <v>479</v>
      </c>
      <c r="D87" s="229">
        <f t="shared" si="9"/>
        <v>26</v>
      </c>
      <c r="E87" s="229">
        <f t="shared" si="10"/>
        <v>26</v>
      </c>
      <c r="F87" s="229">
        <v>26</v>
      </c>
      <c r="G87" s="229">
        <v>0</v>
      </c>
      <c r="H87" s="229">
        <f t="shared" si="11"/>
        <v>0</v>
      </c>
      <c r="I87" s="229">
        <v>0</v>
      </c>
      <c r="J87" s="229">
        <v>0</v>
      </c>
      <c r="K87" s="229">
        <v>0</v>
      </c>
      <c r="L87" s="229">
        <v>0</v>
      </c>
      <c r="M87" s="229">
        <v>0</v>
      </c>
      <c r="N87" s="229">
        <v>0</v>
      </c>
      <c r="P87" s="231"/>
      <c r="U87" s="231"/>
    </row>
    <row r="88" spans="1:21" ht="25.5" x14ac:dyDescent="0.2">
      <c r="A88" s="226">
        <v>78</v>
      </c>
      <c r="B88" s="227" t="s">
        <v>351</v>
      </c>
      <c r="C88" s="249" t="s">
        <v>480</v>
      </c>
      <c r="D88" s="229">
        <f t="shared" si="9"/>
        <v>173</v>
      </c>
      <c r="E88" s="229">
        <f t="shared" si="10"/>
        <v>173</v>
      </c>
      <c r="F88" s="229">
        <v>173</v>
      </c>
      <c r="G88" s="229">
        <v>0</v>
      </c>
      <c r="H88" s="229">
        <f t="shared" si="11"/>
        <v>0</v>
      </c>
      <c r="I88" s="229">
        <v>0</v>
      </c>
      <c r="J88" s="229">
        <v>0</v>
      </c>
      <c r="K88" s="229">
        <v>0</v>
      </c>
      <c r="L88" s="229">
        <v>0</v>
      </c>
      <c r="M88" s="229">
        <v>0</v>
      </c>
      <c r="N88" s="229">
        <v>0</v>
      </c>
      <c r="P88" s="231"/>
      <c r="U88" s="231"/>
    </row>
    <row r="89" spans="1:21" ht="25.5" x14ac:dyDescent="0.2">
      <c r="A89" s="226">
        <v>79</v>
      </c>
      <c r="B89" s="227" t="s">
        <v>353</v>
      </c>
      <c r="C89" s="249" t="s">
        <v>481</v>
      </c>
      <c r="D89" s="229">
        <f t="shared" si="9"/>
        <v>41</v>
      </c>
      <c r="E89" s="229">
        <f t="shared" si="10"/>
        <v>41</v>
      </c>
      <c r="F89" s="229">
        <v>41</v>
      </c>
      <c r="G89" s="229">
        <v>0</v>
      </c>
      <c r="H89" s="229">
        <f t="shared" si="11"/>
        <v>0</v>
      </c>
      <c r="I89" s="229">
        <v>0</v>
      </c>
      <c r="J89" s="229">
        <v>0</v>
      </c>
      <c r="K89" s="229">
        <v>0</v>
      </c>
      <c r="L89" s="229">
        <v>0</v>
      </c>
      <c r="M89" s="229">
        <v>0</v>
      </c>
      <c r="N89" s="229">
        <v>0</v>
      </c>
      <c r="P89" s="231"/>
      <c r="U89" s="231"/>
    </row>
    <row r="90" spans="1:21" ht="25.5" x14ac:dyDescent="0.2">
      <c r="A90" s="226">
        <v>80</v>
      </c>
      <c r="B90" s="227" t="s">
        <v>355</v>
      </c>
      <c r="C90" s="249" t="s">
        <v>482</v>
      </c>
      <c r="D90" s="229">
        <f t="shared" si="9"/>
        <v>5117</v>
      </c>
      <c r="E90" s="229">
        <f t="shared" si="10"/>
        <v>5117</v>
      </c>
      <c r="F90" s="229">
        <v>840</v>
      </c>
      <c r="G90" s="229">
        <v>4277</v>
      </c>
      <c r="H90" s="229">
        <f t="shared" si="11"/>
        <v>0</v>
      </c>
      <c r="I90" s="229">
        <v>0</v>
      </c>
      <c r="J90" s="229">
        <v>0</v>
      </c>
      <c r="K90" s="229">
        <v>0</v>
      </c>
      <c r="L90" s="229">
        <v>0</v>
      </c>
      <c r="M90" s="229">
        <v>0</v>
      </c>
      <c r="N90" s="229">
        <v>0</v>
      </c>
      <c r="P90" s="231"/>
      <c r="U90" s="231"/>
    </row>
    <row r="91" spans="1:21" ht="25.5" x14ac:dyDescent="0.2">
      <c r="A91" s="226">
        <v>81</v>
      </c>
      <c r="B91" s="227" t="s">
        <v>357</v>
      </c>
      <c r="C91" s="249" t="s">
        <v>483</v>
      </c>
      <c r="D91" s="229">
        <f t="shared" si="9"/>
        <v>286</v>
      </c>
      <c r="E91" s="229">
        <f t="shared" si="10"/>
        <v>286</v>
      </c>
      <c r="F91" s="229">
        <v>286</v>
      </c>
      <c r="G91" s="229">
        <v>0</v>
      </c>
      <c r="H91" s="229">
        <f t="shared" si="11"/>
        <v>0</v>
      </c>
      <c r="I91" s="229">
        <v>0</v>
      </c>
      <c r="J91" s="229">
        <v>0</v>
      </c>
      <c r="K91" s="229">
        <v>0</v>
      </c>
      <c r="L91" s="229">
        <v>0</v>
      </c>
      <c r="M91" s="229">
        <v>0</v>
      </c>
      <c r="N91" s="229">
        <v>0</v>
      </c>
      <c r="P91" s="231"/>
      <c r="U91" s="231"/>
    </row>
    <row r="92" spans="1:21" ht="25.5" x14ac:dyDescent="0.2">
      <c r="A92" s="226">
        <v>82</v>
      </c>
      <c r="B92" s="227" t="s">
        <v>359</v>
      </c>
      <c r="C92" s="249" t="s">
        <v>484</v>
      </c>
      <c r="D92" s="229">
        <f t="shared" si="9"/>
        <v>46</v>
      </c>
      <c r="E92" s="229">
        <f t="shared" si="10"/>
        <v>46</v>
      </c>
      <c r="F92" s="229">
        <v>46</v>
      </c>
      <c r="G92" s="229">
        <v>0</v>
      </c>
      <c r="H92" s="229">
        <f t="shared" si="11"/>
        <v>0</v>
      </c>
      <c r="I92" s="229">
        <v>0</v>
      </c>
      <c r="J92" s="229">
        <v>0</v>
      </c>
      <c r="K92" s="229">
        <v>0</v>
      </c>
      <c r="L92" s="229">
        <v>0</v>
      </c>
      <c r="M92" s="229">
        <v>0</v>
      </c>
      <c r="N92" s="229">
        <v>0</v>
      </c>
      <c r="P92" s="231"/>
      <c r="U92" s="231"/>
    </row>
    <row r="93" spans="1:21" ht="25.5" x14ac:dyDescent="0.2">
      <c r="A93" s="226">
        <v>83</v>
      </c>
      <c r="B93" s="235" t="s">
        <v>123</v>
      </c>
      <c r="C93" s="249" t="s">
        <v>124</v>
      </c>
      <c r="D93" s="229">
        <f t="shared" si="9"/>
        <v>2733</v>
      </c>
      <c r="E93" s="229">
        <f t="shared" si="10"/>
        <v>0</v>
      </c>
      <c r="F93" s="229">
        <v>0</v>
      </c>
      <c r="G93" s="229">
        <v>0</v>
      </c>
      <c r="H93" s="229">
        <f t="shared" si="11"/>
        <v>2733</v>
      </c>
      <c r="I93" s="229">
        <v>0</v>
      </c>
      <c r="J93" s="229">
        <v>0</v>
      </c>
      <c r="K93" s="229">
        <v>0</v>
      </c>
      <c r="L93" s="229">
        <v>0</v>
      </c>
      <c r="M93" s="229">
        <v>1366</v>
      </c>
      <c r="N93" s="229">
        <v>1367</v>
      </c>
      <c r="P93" s="231"/>
      <c r="U93" s="231"/>
    </row>
    <row r="94" spans="1:21" ht="12.75" x14ac:dyDescent="0.2">
      <c r="A94" s="226">
        <v>84</v>
      </c>
      <c r="B94" s="227" t="s">
        <v>125</v>
      </c>
      <c r="C94" s="249" t="s">
        <v>485</v>
      </c>
      <c r="D94" s="229">
        <f t="shared" si="9"/>
        <v>0</v>
      </c>
      <c r="E94" s="229">
        <f t="shared" si="10"/>
        <v>0</v>
      </c>
      <c r="F94" s="229">
        <v>0</v>
      </c>
      <c r="G94" s="229">
        <v>0</v>
      </c>
      <c r="H94" s="229">
        <f t="shared" si="11"/>
        <v>0</v>
      </c>
      <c r="I94" s="229">
        <v>0</v>
      </c>
      <c r="J94" s="229">
        <v>0</v>
      </c>
      <c r="K94" s="229">
        <v>0</v>
      </c>
      <c r="L94" s="229">
        <v>0</v>
      </c>
      <c r="M94" s="229">
        <v>0</v>
      </c>
      <c r="N94" s="229">
        <v>0</v>
      </c>
      <c r="P94" s="231"/>
      <c r="U94" s="231"/>
    </row>
    <row r="95" spans="1:21" ht="12.75" x14ac:dyDescent="0.2">
      <c r="A95" s="226">
        <v>85</v>
      </c>
      <c r="B95" s="235" t="s">
        <v>126</v>
      </c>
      <c r="C95" s="249" t="s">
        <v>127</v>
      </c>
      <c r="D95" s="229">
        <f t="shared" si="9"/>
        <v>6009</v>
      </c>
      <c r="E95" s="229">
        <f t="shared" si="10"/>
        <v>0</v>
      </c>
      <c r="F95" s="229">
        <v>0</v>
      </c>
      <c r="G95" s="229">
        <v>0</v>
      </c>
      <c r="H95" s="229">
        <f t="shared" si="11"/>
        <v>6009</v>
      </c>
      <c r="I95" s="229">
        <v>0</v>
      </c>
      <c r="J95" s="229">
        <v>0</v>
      </c>
      <c r="K95" s="229">
        <v>1800</v>
      </c>
      <c r="L95" s="229">
        <v>0</v>
      </c>
      <c r="M95" s="229">
        <v>4209</v>
      </c>
      <c r="N95" s="229">
        <v>0</v>
      </c>
      <c r="P95" s="231"/>
      <c r="U95" s="231"/>
    </row>
    <row r="96" spans="1:21" ht="12.75" x14ac:dyDescent="0.2">
      <c r="A96" s="226">
        <v>86</v>
      </c>
      <c r="B96" s="236" t="s">
        <v>128</v>
      </c>
      <c r="C96" s="257" t="s">
        <v>129</v>
      </c>
      <c r="D96" s="229">
        <f t="shared" si="9"/>
        <v>3588</v>
      </c>
      <c r="E96" s="229">
        <f t="shared" si="10"/>
        <v>0</v>
      </c>
      <c r="F96" s="229">
        <v>0</v>
      </c>
      <c r="G96" s="229">
        <v>0</v>
      </c>
      <c r="H96" s="229">
        <f t="shared" si="11"/>
        <v>3588</v>
      </c>
      <c r="I96" s="229">
        <v>0</v>
      </c>
      <c r="J96" s="229">
        <v>0</v>
      </c>
      <c r="K96" s="229">
        <v>3588</v>
      </c>
      <c r="L96" s="229">
        <v>0</v>
      </c>
      <c r="M96" s="229">
        <v>0</v>
      </c>
      <c r="N96" s="229">
        <v>0</v>
      </c>
      <c r="P96" s="231"/>
      <c r="U96" s="231"/>
    </row>
    <row r="97" spans="1:21" ht="12.75" x14ac:dyDescent="0.2">
      <c r="A97" s="226">
        <v>87</v>
      </c>
      <c r="B97" s="227" t="s">
        <v>130</v>
      </c>
      <c r="C97" s="249" t="s">
        <v>486</v>
      </c>
      <c r="D97" s="229">
        <f t="shared" si="9"/>
        <v>0</v>
      </c>
      <c r="E97" s="229">
        <f t="shared" si="10"/>
        <v>0</v>
      </c>
      <c r="F97" s="229">
        <v>0</v>
      </c>
      <c r="G97" s="229">
        <v>0</v>
      </c>
      <c r="H97" s="229">
        <f t="shared" si="11"/>
        <v>0</v>
      </c>
      <c r="I97" s="229">
        <v>0</v>
      </c>
      <c r="J97" s="229">
        <v>0</v>
      </c>
      <c r="K97" s="229">
        <v>0</v>
      </c>
      <c r="L97" s="229">
        <v>0</v>
      </c>
      <c r="M97" s="229">
        <v>0</v>
      </c>
      <c r="N97" s="229">
        <v>0</v>
      </c>
      <c r="P97" s="231"/>
      <c r="U97" s="231"/>
    </row>
    <row r="98" spans="1:21" ht="12.75" x14ac:dyDescent="0.2">
      <c r="A98" s="226">
        <v>88</v>
      </c>
      <c r="B98" s="227" t="s">
        <v>131</v>
      </c>
      <c r="C98" s="249" t="s">
        <v>132</v>
      </c>
      <c r="D98" s="229">
        <f t="shared" si="9"/>
        <v>5097</v>
      </c>
      <c r="E98" s="229">
        <f t="shared" si="10"/>
        <v>0</v>
      </c>
      <c r="F98" s="229">
        <v>0</v>
      </c>
      <c r="G98" s="229">
        <v>0</v>
      </c>
      <c r="H98" s="229">
        <f t="shared" si="11"/>
        <v>5097</v>
      </c>
      <c r="I98" s="229">
        <v>0</v>
      </c>
      <c r="J98" s="229">
        <v>0</v>
      </c>
      <c r="K98" s="229">
        <v>366</v>
      </c>
      <c r="L98" s="229">
        <v>0</v>
      </c>
      <c r="M98" s="229">
        <v>4731</v>
      </c>
      <c r="N98" s="229">
        <v>0</v>
      </c>
      <c r="P98" s="231"/>
      <c r="U98" s="231"/>
    </row>
    <row r="99" spans="1:21" ht="12.75" x14ac:dyDescent="0.2">
      <c r="A99" s="226">
        <v>89</v>
      </c>
      <c r="B99" s="236" t="s">
        <v>133</v>
      </c>
      <c r="C99" s="257" t="s">
        <v>134</v>
      </c>
      <c r="D99" s="229">
        <f t="shared" si="9"/>
        <v>0</v>
      </c>
      <c r="E99" s="229">
        <f t="shared" si="10"/>
        <v>0</v>
      </c>
      <c r="F99" s="229">
        <v>0</v>
      </c>
      <c r="G99" s="229">
        <v>0</v>
      </c>
      <c r="H99" s="229">
        <f t="shared" si="11"/>
        <v>0</v>
      </c>
      <c r="I99" s="229">
        <v>0</v>
      </c>
      <c r="J99" s="229">
        <v>0</v>
      </c>
      <c r="K99" s="229">
        <v>0</v>
      </c>
      <c r="L99" s="229">
        <v>0</v>
      </c>
      <c r="M99" s="229">
        <v>0</v>
      </c>
      <c r="N99" s="229">
        <v>0</v>
      </c>
      <c r="P99" s="231"/>
      <c r="U99" s="231"/>
    </row>
    <row r="100" spans="1:21" ht="12.75" x14ac:dyDescent="0.2">
      <c r="A100" s="226">
        <v>90</v>
      </c>
      <c r="B100" s="227" t="s">
        <v>9</v>
      </c>
      <c r="C100" s="249" t="s">
        <v>487</v>
      </c>
      <c r="D100" s="229">
        <f t="shared" si="9"/>
        <v>229</v>
      </c>
      <c r="E100" s="229">
        <f t="shared" si="10"/>
        <v>0</v>
      </c>
      <c r="F100" s="229">
        <v>0</v>
      </c>
      <c r="G100" s="229">
        <v>0</v>
      </c>
      <c r="H100" s="229">
        <f t="shared" si="11"/>
        <v>229</v>
      </c>
      <c r="I100" s="229">
        <v>0</v>
      </c>
      <c r="J100" s="229">
        <v>0</v>
      </c>
      <c r="K100" s="229">
        <v>84</v>
      </c>
      <c r="L100" s="229">
        <v>0</v>
      </c>
      <c r="M100" s="229">
        <v>145</v>
      </c>
      <c r="N100" s="229">
        <v>0</v>
      </c>
      <c r="P100" s="231"/>
      <c r="U100" s="231"/>
    </row>
    <row r="101" spans="1:21" ht="12.75" x14ac:dyDescent="0.2">
      <c r="A101" s="226">
        <v>91</v>
      </c>
      <c r="B101" s="236" t="s">
        <v>135</v>
      </c>
      <c r="C101" s="257" t="s">
        <v>136</v>
      </c>
      <c r="D101" s="229">
        <f t="shared" si="9"/>
        <v>0</v>
      </c>
      <c r="E101" s="229">
        <f t="shared" si="10"/>
        <v>0</v>
      </c>
      <c r="F101" s="229">
        <v>0</v>
      </c>
      <c r="G101" s="229">
        <v>0</v>
      </c>
      <c r="H101" s="229">
        <f t="shared" si="11"/>
        <v>0</v>
      </c>
      <c r="I101" s="229">
        <v>0</v>
      </c>
      <c r="J101" s="229">
        <v>0</v>
      </c>
      <c r="K101" s="229">
        <v>0</v>
      </c>
      <c r="L101" s="229">
        <v>0</v>
      </c>
      <c r="M101" s="229">
        <v>0</v>
      </c>
      <c r="N101" s="229">
        <v>0</v>
      </c>
      <c r="P101" s="231"/>
      <c r="U101" s="231"/>
    </row>
    <row r="102" spans="1:21" x14ac:dyDescent="0.2">
      <c r="A102" s="226">
        <v>92</v>
      </c>
      <c r="B102" s="246" t="s">
        <v>488</v>
      </c>
      <c r="C102" s="238" t="s">
        <v>489</v>
      </c>
      <c r="D102" s="229">
        <f t="shared" si="9"/>
        <v>0</v>
      </c>
      <c r="E102" s="229">
        <f t="shared" si="10"/>
        <v>0</v>
      </c>
      <c r="F102" s="229">
        <v>0</v>
      </c>
      <c r="G102" s="229">
        <v>0</v>
      </c>
      <c r="H102" s="229">
        <f t="shared" si="11"/>
        <v>0</v>
      </c>
      <c r="I102" s="229">
        <v>0</v>
      </c>
      <c r="J102" s="229">
        <v>0</v>
      </c>
      <c r="K102" s="229">
        <v>0</v>
      </c>
      <c r="L102" s="229">
        <v>0</v>
      </c>
      <c r="M102" s="229">
        <v>0</v>
      </c>
      <c r="N102" s="229">
        <v>0</v>
      </c>
      <c r="P102" s="231"/>
      <c r="U102" s="231"/>
    </row>
    <row r="103" spans="1:21" ht="25.5" x14ac:dyDescent="0.2">
      <c r="A103" s="226">
        <v>93</v>
      </c>
      <c r="B103" s="235" t="s">
        <v>137</v>
      </c>
      <c r="C103" s="249" t="s">
        <v>138</v>
      </c>
      <c r="D103" s="229">
        <f t="shared" si="9"/>
        <v>0</v>
      </c>
      <c r="E103" s="229">
        <f t="shared" si="10"/>
        <v>0</v>
      </c>
      <c r="F103" s="229">
        <v>0</v>
      </c>
      <c r="G103" s="229">
        <v>0</v>
      </c>
      <c r="H103" s="229">
        <f t="shared" si="11"/>
        <v>0</v>
      </c>
      <c r="I103" s="229">
        <v>0</v>
      </c>
      <c r="J103" s="229">
        <v>0</v>
      </c>
      <c r="K103" s="229">
        <v>0</v>
      </c>
      <c r="L103" s="229">
        <v>0</v>
      </c>
      <c r="M103" s="229">
        <v>0</v>
      </c>
      <c r="N103" s="229">
        <v>0</v>
      </c>
      <c r="P103" s="231"/>
      <c r="U103" s="231"/>
    </row>
    <row r="104" spans="1:21" ht="25.5" x14ac:dyDescent="0.2">
      <c r="A104" s="226">
        <v>94</v>
      </c>
      <c r="B104" s="227" t="s">
        <v>369</v>
      </c>
      <c r="C104" s="256" t="s">
        <v>490</v>
      </c>
      <c r="D104" s="229">
        <f t="shared" ref="D104:D135" si="12">E104+H104</f>
        <v>0</v>
      </c>
      <c r="E104" s="229">
        <f t="shared" si="10"/>
        <v>0</v>
      </c>
      <c r="F104" s="229">
        <v>0</v>
      </c>
      <c r="G104" s="229">
        <v>0</v>
      </c>
      <c r="H104" s="229">
        <f t="shared" si="11"/>
        <v>0</v>
      </c>
      <c r="I104" s="229">
        <v>0</v>
      </c>
      <c r="J104" s="229">
        <v>0</v>
      </c>
      <c r="K104" s="229">
        <v>0</v>
      </c>
      <c r="L104" s="229">
        <v>0</v>
      </c>
      <c r="M104" s="229">
        <v>0</v>
      </c>
      <c r="N104" s="229">
        <v>0</v>
      </c>
      <c r="P104" s="231"/>
      <c r="U104" s="231"/>
    </row>
    <row r="105" spans="1:21" ht="12.75" x14ac:dyDescent="0.2">
      <c r="A105" s="226">
        <v>95</v>
      </c>
      <c r="B105" s="227" t="s">
        <v>139</v>
      </c>
      <c r="C105" s="257" t="s">
        <v>140</v>
      </c>
      <c r="D105" s="229">
        <f t="shared" si="12"/>
        <v>0</v>
      </c>
      <c r="E105" s="229">
        <f t="shared" si="10"/>
        <v>0</v>
      </c>
      <c r="F105" s="229">
        <v>0</v>
      </c>
      <c r="G105" s="229">
        <v>0</v>
      </c>
      <c r="H105" s="229">
        <f t="shared" si="11"/>
        <v>0</v>
      </c>
      <c r="I105" s="229">
        <v>0</v>
      </c>
      <c r="J105" s="229">
        <v>0</v>
      </c>
      <c r="K105" s="229">
        <v>0</v>
      </c>
      <c r="L105" s="229">
        <v>0</v>
      </c>
      <c r="M105" s="229">
        <v>0</v>
      </c>
      <c r="N105" s="229">
        <v>0</v>
      </c>
      <c r="P105" s="231"/>
      <c r="U105" s="231"/>
    </row>
    <row r="106" spans="1:21" ht="12.75" x14ac:dyDescent="0.2">
      <c r="A106" s="226">
        <v>96</v>
      </c>
      <c r="B106" s="235" t="s">
        <v>141</v>
      </c>
      <c r="C106" s="249" t="s">
        <v>142</v>
      </c>
      <c r="D106" s="229">
        <f t="shared" si="12"/>
        <v>88</v>
      </c>
      <c r="E106" s="229">
        <f t="shared" si="10"/>
        <v>0</v>
      </c>
      <c r="F106" s="229">
        <v>0</v>
      </c>
      <c r="G106" s="229">
        <v>0</v>
      </c>
      <c r="H106" s="229">
        <f t="shared" si="11"/>
        <v>88</v>
      </c>
      <c r="I106" s="229">
        <v>0</v>
      </c>
      <c r="J106" s="229">
        <v>0</v>
      </c>
      <c r="K106" s="229">
        <v>0</v>
      </c>
      <c r="L106" s="229">
        <v>0</v>
      </c>
      <c r="M106" s="229">
        <v>88</v>
      </c>
      <c r="N106" s="229">
        <v>0</v>
      </c>
      <c r="P106" s="231"/>
      <c r="U106" s="231"/>
    </row>
    <row r="107" spans="1:21" ht="12.75" x14ac:dyDescent="0.2">
      <c r="A107" s="226">
        <v>97</v>
      </c>
      <c r="B107" s="227" t="s">
        <v>143</v>
      </c>
      <c r="C107" s="291" t="s">
        <v>144</v>
      </c>
      <c r="D107" s="229">
        <f t="shared" si="12"/>
        <v>1437</v>
      </c>
      <c r="E107" s="229">
        <f t="shared" si="10"/>
        <v>0</v>
      </c>
      <c r="F107" s="229">
        <v>0</v>
      </c>
      <c r="G107" s="229">
        <v>0</v>
      </c>
      <c r="H107" s="229">
        <f t="shared" si="11"/>
        <v>1437</v>
      </c>
      <c r="I107" s="229">
        <v>900</v>
      </c>
      <c r="J107" s="229">
        <v>0</v>
      </c>
      <c r="K107" s="229">
        <v>109</v>
      </c>
      <c r="L107" s="229">
        <v>428</v>
      </c>
      <c r="M107" s="229">
        <v>0</v>
      </c>
      <c r="N107" s="229">
        <v>0</v>
      </c>
      <c r="P107" s="231"/>
      <c r="U107" s="231"/>
    </row>
    <row r="108" spans="1:21" ht="12.75" x14ac:dyDescent="0.2">
      <c r="A108" s="226">
        <v>98</v>
      </c>
      <c r="B108" s="235" t="s">
        <v>145</v>
      </c>
      <c r="C108" s="249" t="s">
        <v>146</v>
      </c>
      <c r="D108" s="229">
        <f t="shared" si="12"/>
        <v>3854</v>
      </c>
      <c r="E108" s="229">
        <f t="shared" si="10"/>
        <v>0</v>
      </c>
      <c r="F108" s="229">
        <v>0</v>
      </c>
      <c r="G108" s="229">
        <v>0</v>
      </c>
      <c r="H108" s="229">
        <f t="shared" si="11"/>
        <v>3854</v>
      </c>
      <c r="I108" s="229">
        <v>0</v>
      </c>
      <c r="J108" s="229">
        <v>0</v>
      </c>
      <c r="K108" s="229">
        <v>27</v>
      </c>
      <c r="L108" s="229">
        <v>0</v>
      </c>
      <c r="M108" s="229">
        <v>3827</v>
      </c>
      <c r="N108" s="229">
        <v>0</v>
      </c>
      <c r="P108" s="231"/>
      <c r="U108" s="231"/>
    </row>
    <row r="109" spans="1:21" ht="12.75" x14ac:dyDescent="0.2">
      <c r="A109" s="226">
        <v>99</v>
      </c>
      <c r="B109" s="235" t="s">
        <v>147</v>
      </c>
      <c r="C109" s="249" t="s">
        <v>148</v>
      </c>
      <c r="D109" s="229">
        <f t="shared" si="12"/>
        <v>3024</v>
      </c>
      <c r="E109" s="229">
        <f t="shared" si="10"/>
        <v>0</v>
      </c>
      <c r="F109" s="229">
        <v>0</v>
      </c>
      <c r="G109" s="229">
        <v>0</v>
      </c>
      <c r="H109" s="229">
        <f t="shared" si="11"/>
        <v>3024</v>
      </c>
      <c r="I109" s="229">
        <v>0</v>
      </c>
      <c r="J109" s="229">
        <v>0</v>
      </c>
      <c r="K109" s="229">
        <v>343</v>
      </c>
      <c r="L109" s="229">
        <v>0</v>
      </c>
      <c r="M109" s="229">
        <v>2681</v>
      </c>
      <c r="N109" s="229">
        <v>0</v>
      </c>
      <c r="P109" s="231"/>
      <c r="U109" s="231"/>
    </row>
    <row r="110" spans="1:21" ht="12.75" x14ac:dyDescent="0.2">
      <c r="A110" s="226">
        <v>100</v>
      </c>
      <c r="B110" s="227" t="s">
        <v>149</v>
      </c>
      <c r="C110" s="257" t="s">
        <v>150</v>
      </c>
      <c r="D110" s="229">
        <f t="shared" si="12"/>
        <v>1574</v>
      </c>
      <c r="E110" s="229">
        <f t="shared" si="10"/>
        <v>0</v>
      </c>
      <c r="F110" s="229">
        <v>0</v>
      </c>
      <c r="G110" s="229">
        <v>0</v>
      </c>
      <c r="H110" s="229">
        <f t="shared" si="11"/>
        <v>1574</v>
      </c>
      <c r="I110" s="229">
        <v>0</v>
      </c>
      <c r="J110" s="229">
        <v>0</v>
      </c>
      <c r="K110" s="229">
        <v>86</v>
      </c>
      <c r="L110" s="229">
        <v>33</v>
      </c>
      <c r="M110" s="229">
        <v>1001</v>
      </c>
      <c r="N110" s="229">
        <v>454</v>
      </c>
      <c r="P110" s="231"/>
      <c r="U110" s="231"/>
    </row>
    <row r="111" spans="1:21" ht="12.75" x14ac:dyDescent="0.2">
      <c r="A111" s="226">
        <v>101</v>
      </c>
      <c r="B111" s="227" t="s">
        <v>151</v>
      </c>
      <c r="C111" s="256" t="s">
        <v>152</v>
      </c>
      <c r="D111" s="229">
        <f t="shared" si="12"/>
        <v>2094</v>
      </c>
      <c r="E111" s="229">
        <f t="shared" si="10"/>
        <v>0</v>
      </c>
      <c r="F111" s="229">
        <v>0</v>
      </c>
      <c r="G111" s="229">
        <v>0</v>
      </c>
      <c r="H111" s="229">
        <f t="shared" si="11"/>
        <v>2094</v>
      </c>
      <c r="I111" s="229">
        <v>728</v>
      </c>
      <c r="J111" s="229">
        <v>0</v>
      </c>
      <c r="K111" s="229">
        <v>265</v>
      </c>
      <c r="L111" s="229">
        <v>0</v>
      </c>
      <c r="M111" s="229">
        <v>1101</v>
      </c>
      <c r="N111" s="229">
        <v>0</v>
      </c>
      <c r="P111" s="231"/>
      <c r="U111" s="231"/>
    </row>
    <row r="112" spans="1:21" ht="12.75" x14ac:dyDescent="0.2">
      <c r="A112" s="226">
        <v>102</v>
      </c>
      <c r="B112" s="227" t="s">
        <v>153</v>
      </c>
      <c r="C112" s="256" t="s">
        <v>154</v>
      </c>
      <c r="D112" s="229">
        <f t="shared" si="12"/>
        <v>6099</v>
      </c>
      <c r="E112" s="229">
        <f t="shared" si="10"/>
        <v>0</v>
      </c>
      <c r="F112" s="229">
        <v>0</v>
      </c>
      <c r="G112" s="229">
        <v>0</v>
      </c>
      <c r="H112" s="229">
        <f t="shared" si="11"/>
        <v>6099</v>
      </c>
      <c r="I112" s="229">
        <v>0</v>
      </c>
      <c r="J112" s="229">
        <v>0</v>
      </c>
      <c r="K112" s="229">
        <v>2595</v>
      </c>
      <c r="L112" s="229">
        <v>3404</v>
      </c>
      <c r="M112" s="229">
        <v>0</v>
      </c>
      <c r="N112" s="229">
        <v>100</v>
      </c>
      <c r="P112" s="231"/>
      <c r="U112" s="231"/>
    </row>
    <row r="113" spans="1:21" ht="12.75" x14ac:dyDescent="0.2">
      <c r="A113" s="226">
        <v>103</v>
      </c>
      <c r="B113" s="227" t="s">
        <v>155</v>
      </c>
      <c r="C113" s="256" t="s">
        <v>156</v>
      </c>
      <c r="D113" s="229">
        <f t="shared" si="12"/>
        <v>9045</v>
      </c>
      <c r="E113" s="229">
        <f t="shared" si="10"/>
        <v>0</v>
      </c>
      <c r="F113" s="229">
        <v>0</v>
      </c>
      <c r="G113" s="229">
        <v>0</v>
      </c>
      <c r="H113" s="229">
        <f t="shared" si="11"/>
        <v>9045</v>
      </c>
      <c r="I113" s="229">
        <v>0</v>
      </c>
      <c r="J113" s="229">
        <v>0</v>
      </c>
      <c r="K113" s="229">
        <v>358</v>
      </c>
      <c r="L113" s="229">
        <v>43</v>
      </c>
      <c r="M113" s="229">
        <v>5955</v>
      </c>
      <c r="N113" s="229">
        <v>2689</v>
      </c>
      <c r="P113" s="231"/>
      <c r="U113" s="231"/>
    </row>
    <row r="114" spans="1:21" ht="12.75" x14ac:dyDescent="0.2">
      <c r="A114" s="226">
        <v>104</v>
      </c>
      <c r="B114" s="235" t="s">
        <v>157</v>
      </c>
      <c r="C114" s="249" t="s">
        <v>158</v>
      </c>
      <c r="D114" s="229">
        <f t="shared" si="12"/>
        <v>1752</v>
      </c>
      <c r="E114" s="229">
        <f t="shared" si="10"/>
        <v>0</v>
      </c>
      <c r="F114" s="229">
        <v>0</v>
      </c>
      <c r="G114" s="229">
        <v>0</v>
      </c>
      <c r="H114" s="229">
        <f t="shared" si="11"/>
        <v>1752</v>
      </c>
      <c r="I114" s="229">
        <v>0</v>
      </c>
      <c r="J114" s="229">
        <v>0</v>
      </c>
      <c r="K114" s="229">
        <v>1752</v>
      </c>
      <c r="L114" s="229">
        <v>0</v>
      </c>
      <c r="M114" s="229">
        <v>0</v>
      </c>
      <c r="N114" s="229">
        <v>0</v>
      </c>
      <c r="P114" s="231"/>
      <c r="U114" s="231"/>
    </row>
    <row r="115" spans="1:21" ht="12.75" x14ac:dyDescent="0.2">
      <c r="A115" s="226">
        <v>105</v>
      </c>
      <c r="B115" s="236" t="s">
        <v>159</v>
      </c>
      <c r="C115" s="257" t="s">
        <v>160</v>
      </c>
      <c r="D115" s="229">
        <f t="shared" si="12"/>
        <v>4188</v>
      </c>
      <c r="E115" s="229">
        <f t="shared" si="10"/>
        <v>0</v>
      </c>
      <c r="F115" s="229">
        <v>0</v>
      </c>
      <c r="G115" s="229">
        <v>0</v>
      </c>
      <c r="H115" s="229">
        <f t="shared" si="11"/>
        <v>4188</v>
      </c>
      <c r="I115" s="229">
        <v>1031</v>
      </c>
      <c r="J115" s="229">
        <v>0</v>
      </c>
      <c r="K115" s="229">
        <v>84</v>
      </c>
      <c r="L115" s="229">
        <v>29</v>
      </c>
      <c r="M115" s="229">
        <v>3044</v>
      </c>
      <c r="N115" s="229">
        <v>0</v>
      </c>
      <c r="P115" s="231"/>
      <c r="U115" s="231"/>
    </row>
    <row r="116" spans="1:21" ht="12.75" x14ac:dyDescent="0.2">
      <c r="A116" s="226">
        <v>106</v>
      </c>
      <c r="B116" s="227" t="s">
        <v>161</v>
      </c>
      <c r="C116" s="256" t="s">
        <v>162</v>
      </c>
      <c r="D116" s="229">
        <f t="shared" si="12"/>
        <v>3999</v>
      </c>
      <c r="E116" s="229">
        <f t="shared" si="10"/>
        <v>0</v>
      </c>
      <c r="F116" s="229">
        <v>0</v>
      </c>
      <c r="G116" s="229">
        <v>0</v>
      </c>
      <c r="H116" s="229">
        <f t="shared" si="11"/>
        <v>3999</v>
      </c>
      <c r="I116" s="229">
        <v>0</v>
      </c>
      <c r="J116" s="229">
        <v>0</v>
      </c>
      <c r="K116" s="229">
        <v>459</v>
      </c>
      <c r="L116" s="229">
        <v>142</v>
      </c>
      <c r="M116" s="229">
        <v>2230</v>
      </c>
      <c r="N116" s="229">
        <v>1168</v>
      </c>
      <c r="P116" s="231"/>
      <c r="U116" s="231"/>
    </row>
    <row r="117" spans="1:21" ht="12.75" x14ac:dyDescent="0.2">
      <c r="A117" s="226">
        <v>107</v>
      </c>
      <c r="B117" s="227" t="s">
        <v>163</v>
      </c>
      <c r="C117" s="256" t="s">
        <v>164</v>
      </c>
      <c r="D117" s="229">
        <f t="shared" si="12"/>
        <v>7716</v>
      </c>
      <c r="E117" s="229">
        <f t="shared" si="10"/>
        <v>0</v>
      </c>
      <c r="F117" s="229">
        <v>0</v>
      </c>
      <c r="G117" s="229">
        <v>0</v>
      </c>
      <c r="H117" s="229">
        <f t="shared" si="11"/>
        <v>7716</v>
      </c>
      <c r="I117" s="229">
        <v>0</v>
      </c>
      <c r="J117" s="229">
        <v>0</v>
      </c>
      <c r="K117" s="229">
        <v>2375</v>
      </c>
      <c r="L117" s="229">
        <v>1500</v>
      </c>
      <c r="M117" s="229">
        <v>1841</v>
      </c>
      <c r="N117" s="229">
        <v>2000</v>
      </c>
      <c r="P117" s="231"/>
      <c r="U117" s="231"/>
    </row>
    <row r="118" spans="1:21" ht="12.75" x14ac:dyDescent="0.2">
      <c r="A118" s="226">
        <v>108</v>
      </c>
      <c r="B118" s="235" t="s">
        <v>165</v>
      </c>
      <c r="C118" s="249" t="s">
        <v>166</v>
      </c>
      <c r="D118" s="229">
        <f t="shared" si="12"/>
        <v>1255</v>
      </c>
      <c r="E118" s="229">
        <f t="shared" si="10"/>
        <v>0</v>
      </c>
      <c r="F118" s="229">
        <v>0</v>
      </c>
      <c r="G118" s="229">
        <v>0</v>
      </c>
      <c r="H118" s="229">
        <f t="shared" si="11"/>
        <v>1255</v>
      </c>
      <c r="I118" s="229">
        <v>0</v>
      </c>
      <c r="J118" s="229">
        <v>0</v>
      </c>
      <c r="K118" s="229">
        <v>668</v>
      </c>
      <c r="L118" s="229">
        <v>125</v>
      </c>
      <c r="M118" s="229">
        <v>462</v>
      </c>
      <c r="N118" s="229">
        <v>0</v>
      </c>
      <c r="P118" s="231"/>
      <c r="U118" s="231"/>
    </row>
    <row r="119" spans="1:21" ht="12.75" x14ac:dyDescent="0.2">
      <c r="A119" s="226">
        <v>109</v>
      </c>
      <c r="B119" s="235" t="s">
        <v>167</v>
      </c>
      <c r="C119" s="249" t="s">
        <v>168</v>
      </c>
      <c r="D119" s="229">
        <f t="shared" si="12"/>
        <v>5478</v>
      </c>
      <c r="E119" s="229">
        <f t="shared" si="10"/>
        <v>0</v>
      </c>
      <c r="F119" s="229">
        <v>0</v>
      </c>
      <c r="G119" s="229">
        <v>0</v>
      </c>
      <c r="H119" s="229">
        <f t="shared" si="11"/>
        <v>5478</v>
      </c>
      <c r="I119" s="229">
        <v>0</v>
      </c>
      <c r="J119" s="229">
        <v>0</v>
      </c>
      <c r="K119" s="229">
        <v>525</v>
      </c>
      <c r="L119" s="229">
        <v>42</v>
      </c>
      <c r="M119" s="229">
        <v>4611</v>
      </c>
      <c r="N119" s="229">
        <v>300</v>
      </c>
      <c r="P119" s="231"/>
      <c r="U119" s="231"/>
    </row>
    <row r="120" spans="1:21" ht="12.75" x14ac:dyDescent="0.2">
      <c r="A120" s="226">
        <v>110</v>
      </c>
      <c r="B120" s="227" t="s">
        <v>169</v>
      </c>
      <c r="C120" s="256" t="s">
        <v>170</v>
      </c>
      <c r="D120" s="229">
        <f t="shared" si="12"/>
        <v>2747</v>
      </c>
      <c r="E120" s="229">
        <f t="shared" si="10"/>
        <v>0</v>
      </c>
      <c r="F120" s="229">
        <v>0</v>
      </c>
      <c r="G120" s="229">
        <v>0</v>
      </c>
      <c r="H120" s="229">
        <f t="shared" si="11"/>
        <v>2747</v>
      </c>
      <c r="I120" s="229">
        <v>0</v>
      </c>
      <c r="J120" s="229">
        <v>0</v>
      </c>
      <c r="K120" s="229">
        <v>1948</v>
      </c>
      <c r="L120" s="229">
        <v>0</v>
      </c>
      <c r="M120" s="229">
        <v>799</v>
      </c>
      <c r="N120" s="229">
        <v>0</v>
      </c>
      <c r="P120" s="231"/>
      <c r="U120" s="231"/>
    </row>
    <row r="121" spans="1:21" ht="12.75" x14ac:dyDescent="0.2">
      <c r="A121" s="226">
        <v>111</v>
      </c>
      <c r="B121" s="227" t="s">
        <v>171</v>
      </c>
      <c r="C121" s="256" t="s">
        <v>491</v>
      </c>
      <c r="D121" s="229">
        <f t="shared" si="12"/>
        <v>4487</v>
      </c>
      <c r="E121" s="229">
        <f t="shared" si="10"/>
        <v>0</v>
      </c>
      <c r="F121" s="229">
        <v>0</v>
      </c>
      <c r="G121" s="229">
        <v>0</v>
      </c>
      <c r="H121" s="229">
        <f t="shared" si="11"/>
        <v>4487</v>
      </c>
      <c r="I121" s="229">
        <v>0</v>
      </c>
      <c r="J121" s="229">
        <v>0</v>
      </c>
      <c r="K121" s="229">
        <v>1900</v>
      </c>
      <c r="L121" s="229">
        <v>55</v>
      </c>
      <c r="M121" s="229">
        <v>2532</v>
      </c>
      <c r="N121" s="229">
        <v>0</v>
      </c>
      <c r="P121" s="231"/>
      <c r="U121" s="231"/>
    </row>
    <row r="122" spans="1:21" ht="12.75" x14ac:dyDescent="0.2">
      <c r="A122" s="226">
        <v>112</v>
      </c>
      <c r="B122" s="227" t="s">
        <v>373</v>
      </c>
      <c r="C122" s="249" t="s">
        <v>492</v>
      </c>
      <c r="D122" s="229">
        <f t="shared" si="12"/>
        <v>0</v>
      </c>
      <c r="E122" s="229">
        <f t="shared" si="10"/>
        <v>0</v>
      </c>
      <c r="F122" s="229">
        <v>0</v>
      </c>
      <c r="G122" s="229">
        <v>0</v>
      </c>
      <c r="H122" s="229">
        <f t="shared" si="11"/>
        <v>0</v>
      </c>
      <c r="I122" s="229">
        <v>0</v>
      </c>
      <c r="J122" s="229">
        <v>0</v>
      </c>
      <c r="K122" s="229">
        <v>0</v>
      </c>
      <c r="L122" s="229">
        <v>0</v>
      </c>
      <c r="M122" s="229">
        <v>0</v>
      </c>
      <c r="N122" s="229">
        <v>0</v>
      </c>
      <c r="P122" s="231"/>
      <c r="U122" s="231"/>
    </row>
    <row r="123" spans="1:21" x14ac:dyDescent="0.2">
      <c r="A123" s="226">
        <v>113</v>
      </c>
      <c r="B123" s="237" t="s">
        <v>493</v>
      </c>
      <c r="C123" s="234" t="s">
        <v>494</v>
      </c>
      <c r="D123" s="229">
        <f t="shared" si="12"/>
        <v>0</v>
      </c>
      <c r="E123" s="229">
        <f t="shared" si="10"/>
        <v>0</v>
      </c>
      <c r="F123" s="229">
        <v>0</v>
      </c>
      <c r="G123" s="229">
        <v>0</v>
      </c>
      <c r="H123" s="229">
        <f t="shared" si="11"/>
        <v>0</v>
      </c>
      <c r="I123" s="229">
        <v>0</v>
      </c>
      <c r="J123" s="229">
        <v>0</v>
      </c>
      <c r="K123" s="229">
        <v>0</v>
      </c>
      <c r="L123" s="229">
        <v>0</v>
      </c>
      <c r="M123" s="229">
        <v>0</v>
      </c>
      <c r="N123" s="229">
        <v>0</v>
      </c>
      <c r="P123" s="231"/>
      <c r="U123" s="231"/>
    </row>
    <row r="124" spans="1:21" ht="12.75" x14ac:dyDescent="0.2">
      <c r="A124" s="226">
        <v>114</v>
      </c>
      <c r="B124" s="235" t="s">
        <v>375</v>
      </c>
      <c r="C124" s="249" t="s">
        <v>495</v>
      </c>
      <c r="D124" s="229">
        <f t="shared" si="12"/>
        <v>0</v>
      </c>
      <c r="E124" s="229">
        <f t="shared" si="10"/>
        <v>0</v>
      </c>
      <c r="F124" s="229">
        <v>0</v>
      </c>
      <c r="G124" s="229">
        <v>0</v>
      </c>
      <c r="H124" s="229">
        <f t="shared" si="11"/>
        <v>0</v>
      </c>
      <c r="I124" s="229">
        <v>0</v>
      </c>
      <c r="J124" s="229">
        <v>0</v>
      </c>
      <c r="K124" s="229">
        <v>0</v>
      </c>
      <c r="L124" s="229">
        <v>0</v>
      </c>
      <c r="M124" s="229">
        <v>0</v>
      </c>
      <c r="N124" s="229">
        <v>0</v>
      </c>
      <c r="P124" s="231"/>
      <c r="U124" s="231"/>
    </row>
    <row r="125" spans="1:21" ht="12.75" x14ac:dyDescent="0.2">
      <c r="A125" s="226">
        <v>115</v>
      </c>
      <c r="B125" s="235" t="s">
        <v>377</v>
      </c>
      <c r="C125" s="249" t="s">
        <v>496</v>
      </c>
      <c r="D125" s="229">
        <f t="shared" si="12"/>
        <v>0</v>
      </c>
      <c r="E125" s="229">
        <f t="shared" si="10"/>
        <v>0</v>
      </c>
      <c r="F125" s="229">
        <v>0</v>
      </c>
      <c r="G125" s="229">
        <v>0</v>
      </c>
      <c r="H125" s="229">
        <f t="shared" si="11"/>
        <v>0</v>
      </c>
      <c r="I125" s="229">
        <v>0</v>
      </c>
      <c r="J125" s="229">
        <v>0</v>
      </c>
      <c r="K125" s="229">
        <v>0</v>
      </c>
      <c r="L125" s="229">
        <v>0</v>
      </c>
      <c r="M125" s="229">
        <v>0</v>
      </c>
      <c r="N125" s="229">
        <v>0</v>
      </c>
      <c r="P125" s="231"/>
      <c r="U125" s="231"/>
    </row>
    <row r="126" spans="1:21" x14ac:dyDescent="0.2">
      <c r="A126" s="226">
        <v>116</v>
      </c>
      <c r="B126" s="248" t="s">
        <v>497</v>
      </c>
      <c r="C126" s="238" t="s">
        <v>498</v>
      </c>
      <c r="D126" s="229">
        <f t="shared" si="12"/>
        <v>0</v>
      </c>
      <c r="E126" s="229">
        <f t="shared" si="10"/>
        <v>0</v>
      </c>
      <c r="F126" s="229">
        <v>0</v>
      </c>
      <c r="G126" s="229">
        <v>0</v>
      </c>
      <c r="H126" s="229">
        <f t="shared" si="11"/>
        <v>0</v>
      </c>
      <c r="I126" s="229">
        <v>0</v>
      </c>
      <c r="J126" s="229">
        <v>0</v>
      </c>
      <c r="K126" s="229">
        <v>0</v>
      </c>
      <c r="L126" s="229">
        <v>0</v>
      </c>
      <c r="M126" s="229">
        <v>0</v>
      </c>
      <c r="N126" s="229">
        <v>0</v>
      </c>
      <c r="P126" s="231"/>
      <c r="U126" s="231"/>
    </row>
    <row r="127" spans="1:21" ht="24" x14ac:dyDescent="0.2">
      <c r="A127" s="226">
        <v>117</v>
      </c>
      <c r="B127" s="248" t="s">
        <v>379</v>
      </c>
      <c r="C127" s="238" t="s">
        <v>499</v>
      </c>
      <c r="D127" s="229">
        <f t="shared" si="12"/>
        <v>0</v>
      </c>
      <c r="E127" s="229">
        <f t="shared" si="10"/>
        <v>0</v>
      </c>
      <c r="F127" s="229">
        <v>0</v>
      </c>
      <c r="G127" s="229">
        <v>0</v>
      </c>
      <c r="H127" s="229">
        <f t="shared" si="11"/>
        <v>0</v>
      </c>
      <c r="I127" s="229">
        <v>0</v>
      </c>
      <c r="J127" s="229">
        <v>0</v>
      </c>
      <c r="K127" s="229">
        <v>0</v>
      </c>
      <c r="L127" s="229">
        <v>0</v>
      </c>
      <c r="M127" s="229">
        <v>0</v>
      </c>
      <c r="N127" s="229">
        <v>0</v>
      </c>
      <c r="P127" s="231"/>
      <c r="U127" s="231"/>
    </row>
    <row r="128" spans="1:21" x14ac:dyDescent="0.2">
      <c r="A128" s="226">
        <v>118</v>
      </c>
      <c r="B128" s="248" t="s">
        <v>172</v>
      </c>
      <c r="C128" s="238" t="s">
        <v>173</v>
      </c>
      <c r="D128" s="229">
        <f t="shared" si="12"/>
        <v>0</v>
      </c>
      <c r="E128" s="229">
        <f t="shared" si="10"/>
        <v>0</v>
      </c>
      <c r="F128" s="229">
        <v>0</v>
      </c>
      <c r="G128" s="229">
        <v>0</v>
      </c>
      <c r="H128" s="229">
        <f t="shared" si="11"/>
        <v>0</v>
      </c>
      <c r="I128" s="229">
        <v>0</v>
      </c>
      <c r="J128" s="229">
        <v>0</v>
      </c>
      <c r="K128" s="229">
        <v>0</v>
      </c>
      <c r="L128" s="229">
        <v>0</v>
      </c>
      <c r="M128" s="229">
        <v>0</v>
      </c>
      <c r="N128" s="229">
        <v>0</v>
      </c>
      <c r="P128" s="231"/>
      <c r="U128" s="231"/>
    </row>
    <row r="129" spans="1:21" ht="12.75" x14ac:dyDescent="0.2">
      <c r="A129" s="226">
        <v>119</v>
      </c>
      <c r="B129" s="235" t="s">
        <v>381</v>
      </c>
      <c r="C129" s="249" t="s">
        <v>500</v>
      </c>
      <c r="D129" s="229">
        <f t="shared" si="12"/>
        <v>0</v>
      </c>
      <c r="E129" s="229">
        <f t="shared" si="10"/>
        <v>0</v>
      </c>
      <c r="F129" s="230">
        <v>0</v>
      </c>
      <c r="G129" s="230">
        <v>0</v>
      </c>
      <c r="H129" s="229">
        <f t="shared" si="11"/>
        <v>0</v>
      </c>
      <c r="I129" s="229">
        <v>0</v>
      </c>
      <c r="J129" s="229">
        <v>0</v>
      </c>
      <c r="K129" s="230">
        <v>0</v>
      </c>
      <c r="L129" s="230">
        <v>0</v>
      </c>
      <c r="M129" s="230">
        <v>0</v>
      </c>
      <c r="N129" s="230">
        <v>0</v>
      </c>
      <c r="P129" s="231"/>
      <c r="U129" s="231"/>
    </row>
    <row r="130" spans="1:21" x14ac:dyDescent="0.2">
      <c r="A130" s="226">
        <v>120</v>
      </c>
      <c r="B130" s="250" t="s">
        <v>174</v>
      </c>
      <c r="C130" s="251" t="s">
        <v>175</v>
      </c>
      <c r="D130" s="229">
        <f t="shared" si="12"/>
        <v>0</v>
      </c>
      <c r="E130" s="229">
        <f t="shared" si="10"/>
        <v>0</v>
      </c>
      <c r="F130" s="230">
        <v>0</v>
      </c>
      <c r="G130" s="230">
        <v>0</v>
      </c>
      <c r="H130" s="229">
        <f t="shared" si="11"/>
        <v>0</v>
      </c>
      <c r="I130" s="229">
        <v>0</v>
      </c>
      <c r="J130" s="229">
        <v>0</v>
      </c>
      <c r="K130" s="230">
        <v>0</v>
      </c>
      <c r="L130" s="230">
        <v>0</v>
      </c>
      <c r="M130" s="230">
        <v>0</v>
      </c>
      <c r="N130" s="230">
        <v>0</v>
      </c>
      <c r="P130" s="231"/>
      <c r="U130" s="231"/>
    </row>
    <row r="131" spans="1:21" ht="12.75" x14ac:dyDescent="0.2">
      <c r="A131" s="226">
        <v>121</v>
      </c>
      <c r="B131" s="252" t="s">
        <v>176</v>
      </c>
      <c r="C131" s="292" t="s">
        <v>526</v>
      </c>
      <c r="D131" s="229">
        <f t="shared" si="12"/>
        <v>0</v>
      </c>
      <c r="E131" s="229">
        <f t="shared" si="10"/>
        <v>0</v>
      </c>
      <c r="F131" s="230">
        <v>0</v>
      </c>
      <c r="G131" s="230">
        <v>0</v>
      </c>
      <c r="H131" s="229">
        <f t="shared" si="11"/>
        <v>0</v>
      </c>
      <c r="I131" s="229">
        <v>0</v>
      </c>
      <c r="J131" s="229">
        <v>0</v>
      </c>
      <c r="K131" s="230">
        <v>0</v>
      </c>
      <c r="L131" s="230">
        <v>0</v>
      </c>
      <c r="M131" s="230">
        <v>0</v>
      </c>
      <c r="N131" s="230">
        <v>0</v>
      </c>
      <c r="P131" s="231"/>
      <c r="U131" s="231"/>
    </row>
    <row r="132" spans="1:21" x14ac:dyDescent="0.2">
      <c r="A132" s="226">
        <v>122</v>
      </c>
      <c r="B132" s="248" t="s">
        <v>383</v>
      </c>
      <c r="C132" s="238" t="s">
        <v>501</v>
      </c>
      <c r="D132" s="229">
        <f t="shared" si="12"/>
        <v>0</v>
      </c>
      <c r="E132" s="229">
        <f t="shared" si="10"/>
        <v>0</v>
      </c>
      <c r="F132" s="230">
        <v>0</v>
      </c>
      <c r="G132" s="230">
        <v>0</v>
      </c>
      <c r="H132" s="229">
        <f t="shared" si="11"/>
        <v>0</v>
      </c>
      <c r="I132" s="229">
        <v>0</v>
      </c>
      <c r="J132" s="229">
        <v>0</v>
      </c>
      <c r="K132" s="230">
        <v>0</v>
      </c>
      <c r="L132" s="230">
        <v>0</v>
      </c>
      <c r="M132" s="230">
        <v>0</v>
      </c>
      <c r="N132" s="230">
        <v>0</v>
      </c>
      <c r="P132" s="231"/>
      <c r="U132" s="231"/>
    </row>
    <row r="133" spans="1:21" x14ac:dyDescent="0.2">
      <c r="A133" s="226">
        <v>123</v>
      </c>
      <c r="B133" s="237" t="s">
        <v>502</v>
      </c>
      <c r="C133" s="253" t="s">
        <v>503</v>
      </c>
      <c r="D133" s="229">
        <f t="shared" si="12"/>
        <v>0</v>
      </c>
      <c r="E133" s="229">
        <f t="shared" si="10"/>
        <v>0</v>
      </c>
      <c r="F133" s="230">
        <v>0</v>
      </c>
      <c r="G133" s="230">
        <v>0</v>
      </c>
      <c r="H133" s="229">
        <f t="shared" si="11"/>
        <v>0</v>
      </c>
      <c r="I133" s="229">
        <v>0</v>
      </c>
      <c r="J133" s="229">
        <v>0</v>
      </c>
      <c r="K133" s="230">
        <v>0</v>
      </c>
      <c r="L133" s="230">
        <v>0</v>
      </c>
      <c r="M133" s="230">
        <v>0</v>
      </c>
      <c r="N133" s="230">
        <v>0</v>
      </c>
      <c r="P133" s="231"/>
      <c r="U133" s="231"/>
    </row>
    <row r="134" spans="1:21" ht="24" x14ac:dyDescent="0.2">
      <c r="A134" s="226">
        <v>124</v>
      </c>
      <c r="B134" s="248" t="s">
        <v>504</v>
      </c>
      <c r="C134" s="238" t="s">
        <v>505</v>
      </c>
      <c r="D134" s="229">
        <f t="shared" si="12"/>
        <v>0</v>
      </c>
      <c r="E134" s="229">
        <f t="shared" si="10"/>
        <v>0</v>
      </c>
      <c r="F134" s="230">
        <v>0</v>
      </c>
      <c r="G134" s="230">
        <v>0</v>
      </c>
      <c r="H134" s="229">
        <f t="shared" si="11"/>
        <v>0</v>
      </c>
      <c r="I134" s="229">
        <v>0</v>
      </c>
      <c r="J134" s="229">
        <v>0</v>
      </c>
      <c r="K134" s="230">
        <v>0</v>
      </c>
      <c r="L134" s="230">
        <v>0</v>
      </c>
      <c r="M134" s="230">
        <v>0</v>
      </c>
      <c r="N134" s="230">
        <v>0</v>
      </c>
      <c r="P134" s="231"/>
      <c r="U134" s="231"/>
    </row>
    <row r="135" spans="1:21" ht="24" x14ac:dyDescent="0.2">
      <c r="A135" s="226">
        <v>125</v>
      </c>
      <c r="B135" s="248" t="s">
        <v>177</v>
      </c>
      <c r="C135" s="238" t="s">
        <v>178</v>
      </c>
      <c r="D135" s="229">
        <f t="shared" si="12"/>
        <v>0</v>
      </c>
      <c r="E135" s="229">
        <f t="shared" si="10"/>
        <v>0</v>
      </c>
      <c r="F135" s="230">
        <v>0</v>
      </c>
      <c r="G135" s="230">
        <v>0</v>
      </c>
      <c r="H135" s="229">
        <f t="shared" si="11"/>
        <v>0</v>
      </c>
      <c r="I135" s="229">
        <v>0</v>
      </c>
      <c r="J135" s="229">
        <v>0</v>
      </c>
      <c r="K135" s="230">
        <v>0</v>
      </c>
      <c r="L135" s="230">
        <v>0</v>
      </c>
      <c r="M135" s="230">
        <v>0</v>
      </c>
      <c r="N135" s="230">
        <v>0</v>
      </c>
      <c r="P135" s="231"/>
      <c r="U135" s="231"/>
    </row>
    <row r="136" spans="1:21" ht="14.25" customHeight="1" x14ac:dyDescent="0.2">
      <c r="A136" s="226">
        <v>126</v>
      </c>
      <c r="B136" s="227" t="s">
        <v>179</v>
      </c>
      <c r="C136" s="249" t="s">
        <v>506</v>
      </c>
      <c r="D136" s="229">
        <f t="shared" ref="D136:D158" si="13">E136+H136</f>
        <v>0</v>
      </c>
      <c r="E136" s="229">
        <f t="shared" si="10"/>
        <v>0</v>
      </c>
      <c r="F136" s="230">
        <v>0</v>
      </c>
      <c r="G136" s="230">
        <v>0</v>
      </c>
      <c r="H136" s="229">
        <f t="shared" si="11"/>
        <v>0</v>
      </c>
      <c r="I136" s="229">
        <v>0</v>
      </c>
      <c r="J136" s="229">
        <v>0</v>
      </c>
      <c r="K136" s="230">
        <v>0</v>
      </c>
      <c r="L136" s="230">
        <v>0</v>
      </c>
      <c r="M136" s="230">
        <v>0</v>
      </c>
      <c r="N136" s="230">
        <v>0</v>
      </c>
      <c r="P136" s="231"/>
      <c r="U136" s="231"/>
    </row>
    <row r="137" spans="1:21" ht="14.25" customHeight="1" x14ac:dyDescent="0.2">
      <c r="A137" s="226">
        <v>127</v>
      </c>
      <c r="B137" s="254" t="s">
        <v>507</v>
      </c>
      <c r="C137" s="255" t="s">
        <v>508</v>
      </c>
      <c r="D137" s="229">
        <f t="shared" si="13"/>
        <v>0</v>
      </c>
      <c r="E137" s="229">
        <f t="shared" si="10"/>
        <v>0</v>
      </c>
      <c r="F137" s="230">
        <v>0</v>
      </c>
      <c r="G137" s="230">
        <v>0</v>
      </c>
      <c r="H137" s="229">
        <f t="shared" si="11"/>
        <v>0</v>
      </c>
      <c r="I137" s="229">
        <v>0</v>
      </c>
      <c r="J137" s="229">
        <v>0</v>
      </c>
      <c r="K137" s="230">
        <v>0</v>
      </c>
      <c r="L137" s="230">
        <v>0</v>
      </c>
      <c r="M137" s="230">
        <v>0</v>
      </c>
      <c r="N137" s="230">
        <v>0</v>
      </c>
      <c r="P137" s="231"/>
      <c r="U137" s="231"/>
    </row>
    <row r="138" spans="1:21" ht="14.25" customHeight="1" x14ac:dyDescent="0.2">
      <c r="A138" s="226">
        <v>128</v>
      </c>
      <c r="B138" s="248" t="s">
        <v>509</v>
      </c>
      <c r="C138" s="238" t="s">
        <v>510</v>
      </c>
      <c r="D138" s="229">
        <f t="shared" si="13"/>
        <v>0</v>
      </c>
      <c r="E138" s="229">
        <f t="shared" si="10"/>
        <v>0</v>
      </c>
      <c r="F138" s="230">
        <v>0</v>
      </c>
      <c r="G138" s="230">
        <v>0</v>
      </c>
      <c r="H138" s="229">
        <f t="shared" si="11"/>
        <v>0</v>
      </c>
      <c r="I138" s="229">
        <v>0</v>
      </c>
      <c r="J138" s="229">
        <v>0</v>
      </c>
      <c r="K138" s="230">
        <v>0</v>
      </c>
      <c r="L138" s="230">
        <v>0</v>
      </c>
      <c r="M138" s="230">
        <v>0</v>
      </c>
      <c r="N138" s="230">
        <v>0</v>
      </c>
      <c r="P138" s="231"/>
      <c r="U138" s="231"/>
    </row>
    <row r="139" spans="1:21" ht="12.75" x14ac:dyDescent="0.2">
      <c r="A139" s="226">
        <v>129</v>
      </c>
      <c r="B139" s="227" t="s">
        <v>386</v>
      </c>
      <c r="C139" s="256" t="s">
        <v>511</v>
      </c>
      <c r="D139" s="229">
        <f t="shared" si="13"/>
        <v>0</v>
      </c>
      <c r="E139" s="229">
        <f t="shared" si="10"/>
        <v>0</v>
      </c>
      <c r="F139" s="230">
        <v>0</v>
      </c>
      <c r="G139" s="230">
        <v>0</v>
      </c>
      <c r="H139" s="229">
        <f t="shared" si="11"/>
        <v>0</v>
      </c>
      <c r="I139" s="229">
        <v>0</v>
      </c>
      <c r="J139" s="229">
        <v>0</v>
      </c>
      <c r="K139" s="230">
        <v>0</v>
      </c>
      <c r="L139" s="230">
        <v>0</v>
      </c>
      <c r="M139" s="230">
        <v>0</v>
      </c>
      <c r="N139" s="230">
        <v>0</v>
      </c>
      <c r="P139" s="231"/>
      <c r="U139" s="231"/>
    </row>
    <row r="140" spans="1:21" x14ac:dyDescent="0.2">
      <c r="A140" s="226">
        <v>130</v>
      </c>
      <c r="B140" s="246" t="s">
        <v>388</v>
      </c>
      <c r="C140" s="234" t="s">
        <v>512</v>
      </c>
      <c r="D140" s="229">
        <f t="shared" si="13"/>
        <v>0</v>
      </c>
      <c r="E140" s="229">
        <f t="shared" ref="E140:E158" si="14">F140+G140</f>
        <v>0</v>
      </c>
      <c r="F140" s="230">
        <v>0</v>
      </c>
      <c r="G140" s="230">
        <v>0</v>
      </c>
      <c r="H140" s="229">
        <f t="shared" si="11"/>
        <v>0</v>
      </c>
      <c r="I140" s="229">
        <v>0</v>
      </c>
      <c r="J140" s="229">
        <v>0</v>
      </c>
      <c r="K140" s="230">
        <v>0</v>
      </c>
      <c r="L140" s="230">
        <v>0</v>
      </c>
      <c r="M140" s="230">
        <v>0</v>
      </c>
      <c r="N140" s="230">
        <v>0</v>
      </c>
      <c r="P140" s="231"/>
      <c r="U140" s="231"/>
    </row>
    <row r="141" spans="1:21" ht="12.75" x14ac:dyDescent="0.2">
      <c r="A141" s="226">
        <v>131</v>
      </c>
      <c r="B141" s="235" t="s">
        <v>390</v>
      </c>
      <c r="C141" s="249" t="s">
        <v>513</v>
      </c>
      <c r="D141" s="229">
        <f t="shared" si="13"/>
        <v>0</v>
      </c>
      <c r="E141" s="229">
        <f t="shared" si="14"/>
        <v>0</v>
      </c>
      <c r="F141" s="230">
        <v>0</v>
      </c>
      <c r="G141" s="230">
        <v>0</v>
      </c>
      <c r="H141" s="229">
        <f t="shared" si="11"/>
        <v>0</v>
      </c>
      <c r="I141" s="229">
        <v>0</v>
      </c>
      <c r="J141" s="229">
        <v>0</v>
      </c>
      <c r="K141" s="230">
        <v>0</v>
      </c>
      <c r="L141" s="230">
        <v>0</v>
      </c>
      <c r="M141" s="230">
        <v>0</v>
      </c>
      <c r="N141" s="230">
        <v>0</v>
      </c>
      <c r="P141" s="231"/>
      <c r="U141" s="231"/>
    </row>
    <row r="142" spans="1:21" x14ac:dyDescent="0.2">
      <c r="A142" s="226">
        <v>132</v>
      </c>
      <c r="B142" s="248" t="s">
        <v>514</v>
      </c>
      <c r="C142" s="238" t="s">
        <v>515</v>
      </c>
      <c r="D142" s="229">
        <f t="shared" si="13"/>
        <v>0</v>
      </c>
      <c r="E142" s="229">
        <f t="shared" si="14"/>
        <v>0</v>
      </c>
      <c r="F142" s="230">
        <v>0</v>
      </c>
      <c r="G142" s="230">
        <v>0</v>
      </c>
      <c r="H142" s="229">
        <f t="shared" si="11"/>
        <v>0</v>
      </c>
      <c r="I142" s="229">
        <v>0</v>
      </c>
      <c r="J142" s="229">
        <v>0</v>
      </c>
      <c r="K142" s="230">
        <v>0</v>
      </c>
      <c r="L142" s="230">
        <v>0</v>
      </c>
      <c r="M142" s="230">
        <v>0</v>
      </c>
      <c r="N142" s="230">
        <v>0</v>
      </c>
      <c r="P142" s="231"/>
      <c r="U142" s="231"/>
    </row>
    <row r="143" spans="1:21" ht="12.75" x14ac:dyDescent="0.2">
      <c r="A143" s="226">
        <v>133</v>
      </c>
      <c r="B143" s="235" t="s">
        <v>15</v>
      </c>
      <c r="C143" s="249" t="s">
        <v>180</v>
      </c>
      <c r="D143" s="229">
        <f t="shared" si="13"/>
        <v>0</v>
      </c>
      <c r="E143" s="229">
        <f t="shared" si="14"/>
        <v>0</v>
      </c>
      <c r="F143" s="230">
        <v>0</v>
      </c>
      <c r="G143" s="230">
        <v>0</v>
      </c>
      <c r="H143" s="229">
        <f t="shared" si="11"/>
        <v>0</v>
      </c>
      <c r="I143" s="229">
        <v>0</v>
      </c>
      <c r="J143" s="229">
        <v>0</v>
      </c>
      <c r="K143" s="230">
        <v>0</v>
      </c>
      <c r="L143" s="230">
        <v>0</v>
      </c>
      <c r="M143" s="230">
        <v>0</v>
      </c>
      <c r="N143" s="230">
        <v>0</v>
      </c>
      <c r="P143" s="231"/>
      <c r="U143" s="231"/>
    </row>
    <row r="144" spans="1:21" ht="12.75" x14ac:dyDescent="0.2">
      <c r="A144" s="226">
        <v>134</v>
      </c>
      <c r="B144" s="235" t="s">
        <v>181</v>
      </c>
      <c r="C144" s="249" t="s">
        <v>182</v>
      </c>
      <c r="D144" s="229">
        <f t="shared" si="13"/>
        <v>0</v>
      </c>
      <c r="E144" s="229">
        <f t="shared" si="14"/>
        <v>0</v>
      </c>
      <c r="F144" s="230">
        <v>0</v>
      </c>
      <c r="G144" s="230">
        <v>0</v>
      </c>
      <c r="H144" s="229">
        <f t="shared" si="11"/>
        <v>0</v>
      </c>
      <c r="I144" s="229">
        <v>0</v>
      </c>
      <c r="J144" s="229">
        <v>0</v>
      </c>
      <c r="K144" s="230">
        <v>0</v>
      </c>
      <c r="L144" s="230">
        <v>0</v>
      </c>
      <c r="M144" s="230">
        <v>0</v>
      </c>
      <c r="N144" s="230">
        <v>0</v>
      </c>
      <c r="P144" s="231"/>
      <c r="U144" s="231"/>
    </row>
    <row r="145" spans="1:21" ht="12.75" x14ac:dyDescent="0.2">
      <c r="A145" s="226">
        <v>135</v>
      </c>
      <c r="B145" s="235" t="s">
        <v>14</v>
      </c>
      <c r="C145" s="249" t="s">
        <v>13</v>
      </c>
      <c r="D145" s="229">
        <f t="shared" si="13"/>
        <v>0</v>
      </c>
      <c r="E145" s="229">
        <f t="shared" si="14"/>
        <v>0</v>
      </c>
      <c r="F145" s="230">
        <v>0</v>
      </c>
      <c r="G145" s="230">
        <v>0</v>
      </c>
      <c r="H145" s="229">
        <f t="shared" si="11"/>
        <v>0</v>
      </c>
      <c r="I145" s="229">
        <v>0</v>
      </c>
      <c r="J145" s="229">
        <v>0</v>
      </c>
      <c r="K145" s="230">
        <v>0</v>
      </c>
      <c r="L145" s="230">
        <v>0</v>
      </c>
      <c r="M145" s="230">
        <v>0</v>
      </c>
      <c r="N145" s="230">
        <v>0</v>
      </c>
      <c r="P145" s="231"/>
      <c r="U145" s="231"/>
    </row>
    <row r="146" spans="1:21" ht="12.75" x14ac:dyDescent="0.2">
      <c r="A146" s="226">
        <v>136</v>
      </c>
      <c r="B146" s="227" t="s">
        <v>10</v>
      </c>
      <c r="C146" s="256" t="s">
        <v>7</v>
      </c>
      <c r="D146" s="229">
        <f t="shared" si="13"/>
        <v>0</v>
      </c>
      <c r="E146" s="229">
        <f t="shared" si="14"/>
        <v>0</v>
      </c>
      <c r="F146" s="230">
        <v>0</v>
      </c>
      <c r="G146" s="230">
        <v>0</v>
      </c>
      <c r="H146" s="229">
        <f t="shared" si="11"/>
        <v>0</v>
      </c>
      <c r="I146" s="229">
        <v>0</v>
      </c>
      <c r="J146" s="229">
        <v>0</v>
      </c>
      <c r="K146" s="230">
        <v>0</v>
      </c>
      <c r="L146" s="230">
        <v>0</v>
      </c>
      <c r="M146" s="230">
        <v>0</v>
      </c>
      <c r="N146" s="230">
        <v>0</v>
      </c>
      <c r="P146" s="231"/>
      <c r="U146" s="231"/>
    </row>
    <row r="147" spans="1:21" ht="12.75" x14ac:dyDescent="0.2">
      <c r="A147" s="226">
        <v>137</v>
      </c>
      <c r="B147" s="235" t="s">
        <v>393</v>
      </c>
      <c r="C147" s="249" t="s">
        <v>516</v>
      </c>
      <c r="D147" s="229">
        <f t="shared" si="13"/>
        <v>0</v>
      </c>
      <c r="E147" s="229">
        <f t="shared" si="14"/>
        <v>0</v>
      </c>
      <c r="F147" s="230">
        <v>0</v>
      </c>
      <c r="G147" s="230">
        <v>0</v>
      </c>
      <c r="H147" s="229">
        <f t="shared" si="11"/>
        <v>0</v>
      </c>
      <c r="I147" s="229">
        <v>0</v>
      </c>
      <c r="J147" s="229">
        <v>0</v>
      </c>
      <c r="K147" s="230">
        <v>0</v>
      </c>
      <c r="L147" s="230">
        <v>0</v>
      </c>
      <c r="M147" s="230">
        <v>0</v>
      </c>
      <c r="N147" s="230">
        <v>0</v>
      </c>
      <c r="P147" s="231"/>
      <c r="U147" s="231"/>
    </row>
    <row r="148" spans="1:21" ht="12.75" x14ac:dyDescent="0.2">
      <c r="A148" s="226">
        <v>138</v>
      </c>
      <c r="B148" s="227" t="s">
        <v>183</v>
      </c>
      <c r="C148" s="249" t="s">
        <v>184</v>
      </c>
      <c r="D148" s="229">
        <f t="shared" si="13"/>
        <v>0</v>
      </c>
      <c r="E148" s="229">
        <f t="shared" si="14"/>
        <v>0</v>
      </c>
      <c r="F148" s="230">
        <v>0</v>
      </c>
      <c r="G148" s="230">
        <v>0</v>
      </c>
      <c r="H148" s="229">
        <f t="shared" si="11"/>
        <v>0</v>
      </c>
      <c r="I148" s="229">
        <v>0</v>
      </c>
      <c r="J148" s="229">
        <v>0</v>
      </c>
      <c r="K148" s="229">
        <v>0</v>
      </c>
      <c r="L148" s="229">
        <v>0</v>
      </c>
      <c r="M148" s="230">
        <v>0</v>
      </c>
      <c r="N148" s="230">
        <v>0</v>
      </c>
      <c r="P148" s="231"/>
      <c r="U148" s="231"/>
    </row>
    <row r="149" spans="1:21" ht="12.75" x14ac:dyDescent="0.2">
      <c r="A149" s="226">
        <v>139</v>
      </c>
      <c r="B149" s="236" t="s">
        <v>185</v>
      </c>
      <c r="C149" s="257" t="s">
        <v>186</v>
      </c>
      <c r="D149" s="229">
        <f t="shared" si="13"/>
        <v>0</v>
      </c>
      <c r="E149" s="229">
        <f t="shared" si="14"/>
        <v>0</v>
      </c>
      <c r="F149" s="230">
        <v>0</v>
      </c>
      <c r="G149" s="230">
        <v>0</v>
      </c>
      <c r="H149" s="229">
        <f t="shared" si="11"/>
        <v>0</v>
      </c>
      <c r="I149" s="229">
        <v>0</v>
      </c>
      <c r="J149" s="229">
        <v>0</v>
      </c>
      <c r="K149" s="229">
        <v>0</v>
      </c>
      <c r="L149" s="229">
        <v>0</v>
      </c>
      <c r="M149" s="230">
        <v>0</v>
      </c>
      <c r="N149" s="230">
        <v>0</v>
      </c>
      <c r="P149" s="231"/>
      <c r="U149" s="231"/>
    </row>
    <row r="150" spans="1:21" ht="12.75" x14ac:dyDescent="0.2">
      <c r="A150" s="226">
        <v>140</v>
      </c>
      <c r="B150" s="235" t="s">
        <v>187</v>
      </c>
      <c r="C150" s="249" t="s">
        <v>188</v>
      </c>
      <c r="D150" s="229">
        <f t="shared" si="13"/>
        <v>0</v>
      </c>
      <c r="E150" s="229">
        <f t="shared" si="14"/>
        <v>0</v>
      </c>
      <c r="F150" s="230">
        <v>0</v>
      </c>
      <c r="G150" s="230">
        <v>0</v>
      </c>
      <c r="H150" s="229">
        <f t="shared" si="11"/>
        <v>0</v>
      </c>
      <c r="I150" s="229">
        <v>0</v>
      </c>
      <c r="J150" s="229">
        <v>0</v>
      </c>
      <c r="K150" s="229">
        <v>0</v>
      </c>
      <c r="L150" s="229">
        <v>0</v>
      </c>
      <c r="M150" s="230">
        <v>0</v>
      </c>
      <c r="N150" s="230">
        <v>0</v>
      </c>
      <c r="P150" s="231"/>
      <c r="U150" s="231"/>
    </row>
    <row r="151" spans="1:21" ht="12.75" x14ac:dyDescent="0.2">
      <c r="A151" s="226">
        <v>141</v>
      </c>
      <c r="B151" s="235" t="s">
        <v>395</v>
      </c>
      <c r="C151" s="249" t="s">
        <v>396</v>
      </c>
      <c r="D151" s="229">
        <f t="shared" si="13"/>
        <v>0</v>
      </c>
      <c r="E151" s="229">
        <f t="shared" si="14"/>
        <v>0</v>
      </c>
      <c r="F151" s="230">
        <v>0</v>
      </c>
      <c r="G151" s="230">
        <v>0</v>
      </c>
      <c r="H151" s="229">
        <f t="shared" si="11"/>
        <v>0</v>
      </c>
      <c r="I151" s="229">
        <v>0</v>
      </c>
      <c r="J151" s="229">
        <v>0</v>
      </c>
      <c r="K151" s="229">
        <v>0</v>
      </c>
      <c r="L151" s="229">
        <v>0</v>
      </c>
      <c r="M151" s="230">
        <v>0</v>
      </c>
      <c r="N151" s="230">
        <v>0</v>
      </c>
      <c r="P151" s="231"/>
      <c r="U151" s="231"/>
    </row>
    <row r="152" spans="1:21" ht="12.75" x14ac:dyDescent="0.2">
      <c r="A152" s="226">
        <v>142</v>
      </c>
      <c r="B152" s="235" t="s">
        <v>189</v>
      </c>
      <c r="C152" s="249" t="s">
        <v>190</v>
      </c>
      <c r="D152" s="229">
        <f t="shared" si="13"/>
        <v>0</v>
      </c>
      <c r="E152" s="229">
        <f t="shared" si="14"/>
        <v>0</v>
      </c>
      <c r="F152" s="230">
        <v>0</v>
      </c>
      <c r="G152" s="230">
        <v>0</v>
      </c>
      <c r="H152" s="229">
        <f t="shared" si="11"/>
        <v>0</v>
      </c>
      <c r="I152" s="229">
        <v>0</v>
      </c>
      <c r="J152" s="229">
        <v>0</v>
      </c>
      <c r="K152" s="229">
        <v>0</v>
      </c>
      <c r="L152" s="229">
        <v>0</v>
      </c>
      <c r="M152" s="230">
        <v>0</v>
      </c>
      <c r="N152" s="230">
        <v>0</v>
      </c>
      <c r="P152" s="231"/>
      <c r="U152" s="231"/>
    </row>
    <row r="153" spans="1:21" ht="12.75" x14ac:dyDescent="0.2">
      <c r="A153" s="226">
        <v>143</v>
      </c>
      <c r="B153" s="236" t="s">
        <v>12</v>
      </c>
      <c r="C153" s="257" t="s">
        <v>2</v>
      </c>
      <c r="D153" s="229">
        <f t="shared" si="13"/>
        <v>0</v>
      </c>
      <c r="E153" s="229">
        <f t="shared" si="14"/>
        <v>0</v>
      </c>
      <c r="F153" s="230">
        <v>0</v>
      </c>
      <c r="G153" s="230">
        <v>0</v>
      </c>
      <c r="H153" s="229">
        <f t="shared" si="11"/>
        <v>0</v>
      </c>
      <c r="I153" s="229">
        <v>0</v>
      </c>
      <c r="J153" s="229">
        <v>0</v>
      </c>
      <c r="K153" s="229">
        <v>0</v>
      </c>
      <c r="L153" s="229">
        <v>0</v>
      </c>
      <c r="M153" s="230">
        <v>0</v>
      </c>
      <c r="N153" s="230">
        <v>0</v>
      </c>
      <c r="P153" s="231"/>
      <c r="U153" s="231"/>
    </row>
    <row r="154" spans="1:21" ht="12.75" x14ac:dyDescent="0.2">
      <c r="A154" s="226">
        <v>144</v>
      </c>
      <c r="B154" s="227" t="s">
        <v>3</v>
      </c>
      <c r="C154" s="257" t="s">
        <v>191</v>
      </c>
      <c r="D154" s="229">
        <f t="shared" si="13"/>
        <v>3605</v>
      </c>
      <c r="E154" s="229">
        <f t="shared" si="14"/>
        <v>0</v>
      </c>
      <c r="F154" s="230">
        <v>0</v>
      </c>
      <c r="G154" s="230">
        <v>0</v>
      </c>
      <c r="H154" s="229">
        <f t="shared" si="11"/>
        <v>3605</v>
      </c>
      <c r="I154" s="229">
        <v>0</v>
      </c>
      <c r="J154" s="229">
        <v>0</v>
      </c>
      <c r="K154" s="229">
        <v>1030</v>
      </c>
      <c r="L154" s="229">
        <v>400</v>
      </c>
      <c r="M154" s="230">
        <v>2175</v>
      </c>
      <c r="N154" s="230">
        <v>0</v>
      </c>
      <c r="P154" s="231"/>
      <c r="U154" s="231"/>
    </row>
    <row r="155" spans="1:21" ht="12.75" x14ac:dyDescent="0.2">
      <c r="A155" s="226">
        <v>145</v>
      </c>
      <c r="B155" s="235" t="s">
        <v>11</v>
      </c>
      <c r="C155" s="249" t="s">
        <v>8</v>
      </c>
      <c r="D155" s="229">
        <f t="shared" si="13"/>
        <v>0</v>
      </c>
      <c r="E155" s="229">
        <f t="shared" si="14"/>
        <v>0</v>
      </c>
      <c r="F155" s="230">
        <v>0</v>
      </c>
      <c r="G155" s="230">
        <v>0</v>
      </c>
      <c r="H155" s="229">
        <f t="shared" si="11"/>
        <v>0</v>
      </c>
      <c r="I155" s="229">
        <v>0</v>
      </c>
      <c r="J155" s="229">
        <v>0</v>
      </c>
      <c r="K155" s="229">
        <v>0</v>
      </c>
      <c r="L155" s="229">
        <v>0</v>
      </c>
      <c r="M155" s="230">
        <v>0</v>
      </c>
      <c r="N155" s="230">
        <v>0</v>
      </c>
      <c r="P155" s="231"/>
      <c r="U155" s="231"/>
    </row>
    <row r="156" spans="1:21" ht="12.75" x14ac:dyDescent="0.2">
      <c r="A156" s="226">
        <v>146</v>
      </c>
      <c r="B156" s="227" t="s">
        <v>398</v>
      </c>
      <c r="C156" s="256" t="s">
        <v>399</v>
      </c>
      <c r="D156" s="229">
        <f t="shared" si="13"/>
        <v>0</v>
      </c>
      <c r="E156" s="229">
        <f t="shared" si="14"/>
        <v>0</v>
      </c>
      <c r="F156" s="230">
        <v>0</v>
      </c>
      <c r="G156" s="230">
        <v>0</v>
      </c>
      <c r="H156" s="229">
        <f t="shared" si="11"/>
        <v>0</v>
      </c>
      <c r="I156" s="229">
        <v>0</v>
      </c>
      <c r="J156" s="229">
        <v>0</v>
      </c>
      <c r="K156" s="229">
        <v>0</v>
      </c>
      <c r="L156" s="229">
        <v>0</v>
      </c>
      <c r="M156" s="230">
        <v>0</v>
      </c>
      <c r="N156" s="230">
        <v>0</v>
      </c>
      <c r="P156" s="231"/>
      <c r="U156" s="231"/>
    </row>
    <row r="157" spans="1:21" x14ac:dyDescent="0.2">
      <c r="A157" s="226">
        <v>147</v>
      </c>
      <c r="B157" s="293" t="s">
        <v>400</v>
      </c>
      <c r="C157" s="234" t="s">
        <v>517</v>
      </c>
      <c r="D157" s="229">
        <f t="shared" si="13"/>
        <v>0</v>
      </c>
      <c r="E157" s="229">
        <f t="shared" si="14"/>
        <v>0</v>
      </c>
      <c r="F157" s="230">
        <v>0</v>
      </c>
      <c r="G157" s="230">
        <v>0</v>
      </c>
      <c r="H157" s="229">
        <f t="shared" si="11"/>
        <v>0</v>
      </c>
      <c r="I157" s="229">
        <v>0</v>
      </c>
      <c r="J157" s="229">
        <v>0</v>
      </c>
      <c r="K157" s="229">
        <v>0</v>
      </c>
      <c r="L157" s="229">
        <v>0</v>
      </c>
      <c r="M157" s="230">
        <v>0</v>
      </c>
      <c r="N157" s="230">
        <v>0</v>
      </c>
      <c r="P157" s="231"/>
      <c r="U157" s="231"/>
    </row>
    <row r="158" spans="1:21" ht="12.75" x14ac:dyDescent="0.2">
      <c r="A158" s="226">
        <v>148</v>
      </c>
      <c r="B158" s="294" t="s">
        <v>192</v>
      </c>
      <c r="C158" s="259" t="s">
        <v>193</v>
      </c>
      <c r="D158" s="229">
        <f t="shared" si="13"/>
        <v>0</v>
      </c>
      <c r="E158" s="229">
        <f t="shared" si="14"/>
        <v>0</v>
      </c>
      <c r="F158" s="230">
        <v>0</v>
      </c>
      <c r="G158" s="230">
        <v>0</v>
      </c>
      <c r="H158" s="229">
        <f t="shared" si="11"/>
        <v>0</v>
      </c>
      <c r="I158" s="229">
        <v>0</v>
      </c>
      <c r="J158" s="229">
        <v>0</v>
      </c>
      <c r="K158" s="229">
        <v>0</v>
      </c>
      <c r="L158" s="229">
        <v>0</v>
      </c>
      <c r="M158" s="230">
        <v>0</v>
      </c>
      <c r="N158" s="230">
        <v>0</v>
      </c>
      <c r="P158" s="231"/>
      <c r="U158" s="231"/>
    </row>
  </sheetData>
  <mergeCells count="18">
    <mergeCell ref="A8:C8"/>
    <mergeCell ref="A9:C9"/>
    <mergeCell ref="A10:C10"/>
    <mergeCell ref="E4:G4"/>
    <mergeCell ref="F5:G5"/>
    <mergeCell ref="H5:H6"/>
    <mergeCell ref="I5:J5"/>
    <mergeCell ref="K5:L5"/>
    <mergeCell ref="M5:N5"/>
    <mergeCell ref="A1:N1"/>
    <mergeCell ref="A2:A6"/>
    <mergeCell ref="B2:B6"/>
    <mergeCell ref="C2:C6"/>
    <mergeCell ref="D2:N2"/>
    <mergeCell ref="D3:D6"/>
    <mergeCell ref="E3:N3"/>
    <mergeCell ref="H4:N4"/>
    <mergeCell ref="E5:E6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0"/>
  <sheetViews>
    <sheetView workbookViewId="0">
      <pane xSplit="3" ySplit="10" topLeftCell="D146" activePane="bottomRight" state="frozen"/>
      <selection activeCell="D11" sqref="D11:D158"/>
      <selection pane="topRight" activeCell="D11" sqref="D11:D158"/>
      <selection pane="bottomLeft" activeCell="D11" sqref="D11:D158"/>
      <selection pane="bottomRight" activeCell="I27" sqref="I27"/>
    </sheetView>
  </sheetViews>
  <sheetFormatPr defaultRowHeight="12" x14ac:dyDescent="0.2"/>
  <cols>
    <col min="1" max="1" width="5" style="300" customWidth="1"/>
    <col min="2" max="2" width="6.42578125" style="300" customWidth="1"/>
    <col min="3" max="3" width="30.85546875" style="300" customWidth="1"/>
    <col min="4" max="16" width="10.7109375" style="300" customWidth="1"/>
    <col min="17" max="17" width="14.5703125" style="300" customWidth="1"/>
    <col min="18" max="18" width="13.42578125" style="300" customWidth="1"/>
    <col min="19" max="19" width="13.140625" style="300" customWidth="1"/>
    <col min="20" max="20" width="11.5703125" style="300" customWidth="1"/>
    <col min="21" max="16384" width="9.140625" style="300"/>
  </cols>
  <sheetData>
    <row r="1" spans="1:21" ht="39.75" customHeight="1" x14ac:dyDescent="0.2">
      <c r="A1" s="791" t="s">
        <v>538</v>
      </c>
      <c r="B1" s="791"/>
      <c r="C1" s="791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792"/>
      <c r="O1" s="792"/>
      <c r="P1" s="792"/>
    </row>
    <row r="2" spans="1:21" ht="24.75" customHeight="1" x14ac:dyDescent="0.2">
      <c r="A2" s="793" t="s">
        <v>0</v>
      </c>
      <c r="B2" s="794" t="s">
        <v>431</v>
      </c>
      <c r="C2" s="793" t="s">
        <v>432</v>
      </c>
      <c r="D2" s="797" t="s">
        <v>539</v>
      </c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9"/>
    </row>
    <row r="3" spans="1:21" x14ac:dyDescent="0.2">
      <c r="A3" s="793"/>
      <c r="B3" s="795"/>
      <c r="C3" s="793"/>
      <c r="D3" s="800" t="s">
        <v>16</v>
      </c>
      <c r="E3" s="793" t="s">
        <v>18</v>
      </c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</row>
    <row r="4" spans="1:21" ht="30.75" customHeight="1" x14ac:dyDescent="0.2">
      <c r="A4" s="793"/>
      <c r="B4" s="795"/>
      <c r="C4" s="793"/>
      <c r="D4" s="800"/>
      <c r="E4" s="789" t="s">
        <v>519</v>
      </c>
      <c r="F4" s="801"/>
      <c r="G4" s="801"/>
      <c r="H4" s="801"/>
      <c r="I4" s="790"/>
      <c r="J4" s="788" t="s">
        <v>520</v>
      </c>
      <c r="K4" s="788"/>
      <c r="L4" s="788"/>
      <c r="M4" s="788"/>
      <c r="N4" s="788"/>
      <c r="O4" s="788"/>
      <c r="P4" s="788"/>
    </row>
    <row r="5" spans="1:21" ht="23.25" customHeight="1" x14ac:dyDescent="0.2">
      <c r="A5" s="793"/>
      <c r="B5" s="795"/>
      <c r="C5" s="793"/>
      <c r="D5" s="800"/>
      <c r="E5" s="786" t="s">
        <v>285</v>
      </c>
      <c r="F5" s="788" t="s">
        <v>525</v>
      </c>
      <c r="G5" s="788"/>
      <c r="H5" s="788" t="s">
        <v>301</v>
      </c>
      <c r="I5" s="788"/>
      <c r="J5" s="786" t="s">
        <v>285</v>
      </c>
      <c r="K5" s="788" t="s">
        <v>300</v>
      </c>
      <c r="L5" s="788"/>
      <c r="M5" s="789" t="s">
        <v>301</v>
      </c>
      <c r="N5" s="790"/>
      <c r="O5" s="788" t="s">
        <v>302</v>
      </c>
      <c r="P5" s="788"/>
    </row>
    <row r="6" spans="1:21" ht="34.5" customHeight="1" x14ac:dyDescent="0.2">
      <c r="A6" s="793"/>
      <c r="B6" s="796"/>
      <c r="C6" s="793"/>
      <c r="D6" s="787"/>
      <c r="E6" s="787"/>
      <c r="F6" s="301" t="s">
        <v>304</v>
      </c>
      <c r="G6" s="302" t="s">
        <v>305</v>
      </c>
      <c r="H6" s="301" t="s">
        <v>304</v>
      </c>
      <c r="I6" s="302" t="s">
        <v>305</v>
      </c>
      <c r="J6" s="787"/>
      <c r="K6" s="301" t="s">
        <v>304</v>
      </c>
      <c r="L6" s="302" t="s">
        <v>305</v>
      </c>
      <c r="M6" s="301" t="s">
        <v>304</v>
      </c>
      <c r="N6" s="302" t="s">
        <v>305</v>
      </c>
      <c r="O6" s="301" t="s">
        <v>304</v>
      </c>
      <c r="P6" s="302" t="s">
        <v>305</v>
      </c>
      <c r="Q6" s="303"/>
    </row>
    <row r="7" spans="1:21" s="307" customFormat="1" ht="11.25" x14ac:dyDescent="0.2">
      <c r="A7" s="304">
        <v>1</v>
      </c>
      <c r="B7" s="304">
        <v>2</v>
      </c>
      <c r="C7" s="304">
        <v>3</v>
      </c>
      <c r="D7" s="305">
        <v>4</v>
      </c>
      <c r="E7" s="306">
        <v>5</v>
      </c>
      <c r="F7" s="306">
        <v>6</v>
      </c>
      <c r="G7" s="306">
        <v>7</v>
      </c>
      <c r="H7" s="306">
        <v>8</v>
      </c>
      <c r="I7" s="306">
        <v>9</v>
      </c>
      <c r="J7" s="306">
        <v>10</v>
      </c>
      <c r="K7" s="306">
        <v>11</v>
      </c>
      <c r="L7" s="306">
        <v>12</v>
      </c>
      <c r="M7" s="306">
        <v>13</v>
      </c>
      <c r="N7" s="306">
        <v>14</v>
      </c>
      <c r="O7" s="306">
        <v>15</v>
      </c>
      <c r="P7" s="306">
        <v>16</v>
      </c>
    </row>
    <row r="8" spans="1:21" s="307" customFormat="1" x14ac:dyDescent="0.2">
      <c r="A8" s="747" t="s">
        <v>1</v>
      </c>
      <c r="B8" s="747"/>
      <c r="C8" s="747"/>
      <c r="D8" s="308">
        <f t="shared" ref="D8:D9" si="0">E8+J8</f>
        <v>2288240</v>
      </c>
      <c r="E8" s="308">
        <f t="shared" ref="E8:E9" si="1">SUM(F8:I8)</f>
        <v>55388</v>
      </c>
      <c r="F8" s="308">
        <f>F9+F10</f>
        <v>40292</v>
      </c>
      <c r="G8" s="308">
        <f t="shared" ref="G8:I8" si="2">G9+G10</f>
        <v>12173</v>
      </c>
      <c r="H8" s="308">
        <f t="shared" si="2"/>
        <v>2577</v>
      </c>
      <c r="I8" s="308">
        <f t="shared" si="2"/>
        <v>346</v>
      </c>
      <c r="J8" s="308">
        <f t="shared" ref="J8:J9" si="3">SUM(K8:P8)</f>
        <v>2232852</v>
      </c>
      <c r="K8" s="308">
        <f>K9+K10</f>
        <v>260034</v>
      </c>
      <c r="L8" s="308">
        <f t="shared" ref="L8:P8" si="4">L9+L10</f>
        <v>74258</v>
      </c>
      <c r="M8" s="308">
        <f t="shared" si="4"/>
        <v>56792</v>
      </c>
      <c r="N8" s="308">
        <f t="shared" si="4"/>
        <v>29626</v>
      </c>
      <c r="O8" s="308">
        <f t="shared" si="4"/>
        <v>736760</v>
      </c>
      <c r="P8" s="308">
        <f t="shared" si="4"/>
        <v>1075382</v>
      </c>
    </row>
    <row r="9" spans="1:21" s="307" customFormat="1" x14ac:dyDescent="0.2">
      <c r="A9" s="757" t="s">
        <v>19</v>
      </c>
      <c r="B9" s="758"/>
      <c r="C9" s="759"/>
      <c r="D9" s="306">
        <f t="shared" si="0"/>
        <v>0</v>
      </c>
      <c r="E9" s="306">
        <f t="shared" si="1"/>
        <v>0</v>
      </c>
      <c r="F9" s="306">
        <v>0</v>
      </c>
      <c r="G9" s="306">
        <v>0</v>
      </c>
      <c r="H9" s="306">
        <v>0</v>
      </c>
      <c r="I9" s="306">
        <v>0</v>
      </c>
      <c r="J9" s="306">
        <f t="shared" si="3"/>
        <v>0</v>
      </c>
      <c r="K9" s="306">
        <v>0</v>
      </c>
      <c r="L9" s="306">
        <v>0</v>
      </c>
      <c r="M9" s="306">
        <v>0</v>
      </c>
      <c r="N9" s="306">
        <v>0</v>
      </c>
      <c r="O9" s="306">
        <v>0</v>
      </c>
      <c r="P9" s="306">
        <v>0</v>
      </c>
    </row>
    <row r="10" spans="1:21" s="307" customFormat="1" x14ac:dyDescent="0.2">
      <c r="A10" s="757" t="s">
        <v>20</v>
      </c>
      <c r="B10" s="758"/>
      <c r="C10" s="759"/>
      <c r="D10" s="308">
        <f>E10+J10</f>
        <v>2288240</v>
      </c>
      <c r="E10" s="308">
        <f>SUM(F10:I10)</f>
        <v>55388</v>
      </c>
      <c r="F10" s="308">
        <f t="shared" ref="F10:I10" si="5">SUM(F11:F158)</f>
        <v>40292</v>
      </c>
      <c r="G10" s="308">
        <f t="shared" si="5"/>
        <v>12173</v>
      </c>
      <c r="H10" s="308">
        <f t="shared" si="5"/>
        <v>2577</v>
      </c>
      <c r="I10" s="308">
        <f t="shared" si="5"/>
        <v>346</v>
      </c>
      <c r="J10" s="308">
        <f>SUM(K10:P10)</f>
        <v>2232852</v>
      </c>
      <c r="K10" s="308">
        <f>SUM(K11:K158)</f>
        <v>260034</v>
      </c>
      <c r="L10" s="308">
        <f t="shared" ref="L10:P10" si="6">SUM(L11:L158)</f>
        <v>74258</v>
      </c>
      <c r="M10" s="308">
        <f t="shared" si="6"/>
        <v>56792</v>
      </c>
      <c r="N10" s="308">
        <f t="shared" si="6"/>
        <v>29626</v>
      </c>
      <c r="O10" s="308">
        <f t="shared" si="6"/>
        <v>736760</v>
      </c>
      <c r="P10" s="308">
        <f t="shared" si="6"/>
        <v>1075382</v>
      </c>
      <c r="Q10" s="309"/>
      <c r="T10" s="310"/>
      <c r="U10" s="311"/>
    </row>
    <row r="11" spans="1:21" ht="12.75" x14ac:dyDescent="0.2">
      <c r="A11" s="312">
        <v>1</v>
      </c>
      <c r="B11" s="282" t="s">
        <v>21</v>
      </c>
      <c r="C11" s="313" t="s">
        <v>22</v>
      </c>
      <c r="D11" s="314">
        <f t="shared" ref="D11:D81" si="7">E11+J11</f>
        <v>4769</v>
      </c>
      <c r="E11" s="314">
        <f t="shared" ref="E11:E81" si="8">F11+G11+H11+I11</f>
        <v>0</v>
      </c>
      <c r="F11" s="314">
        <v>0</v>
      </c>
      <c r="G11" s="314">
        <v>0</v>
      </c>
      <c r="H11" s="314">
        <v>0</v>
      </c>
      <c r="I11" s="314">
        <v>0</v>
      </c>
      <c r="J11" s="314">
        <f t="shared" ref="J11:J81" si="9">O11+P11+N11+M11+L11+K11</f>
        <v>4769</v>
      </c>
      <c r="K11" s="314">
        <v>1276</v>
      </c>
      <c r="L11" s="314">
        <v>0</v>
      </c>
      <c r="M11" s="314">
        <v>518</v>
      </c>
      <c r="N11" s="314">
        <v>0</v>
      </c>
      <c r="O11" s="314">
        <v>1766</v>
      </c>
      <c r="P11" s="314">
        <v>1209</v>
      </c>
      <c r="Q11" s="309"/>
      <c r="T11" s="315"/>
      <c r="U11" s="315"/>
    </row>
    <row r="12" spans="1:21" ht="12.75" x14ac:dyDescent="0.2">
      <c r="A12" s="312">
        <v>2</v>
      </c>
      <c r="B12" s="316" t="s">
        <v>23</v>
      </c>
      <c r="C12" s="313" t="s">
        <v>521</v>
      </c>
      <c r="D12" s="314">
        <f t="shared" si="7"/>
        <v>6674</v>
      </c>
      <c r="E12" s="314">
        <f t="shared" si="8"/>
        <v>0</v>
      </c>
      <c r="F12" s="314">
        <v>0</v>
      </c>
      <c r="G12" s="314">
        <v>0</v>
      </c>
      <c r="H12" s="314">
        <v>0</v>
      </c>
      <c r="I12" s="314">
        <v>0</v>
      </c>
      <c r="J12" s="314">
        <f t="shared" si="9"/>
        <v>6674</v>
      </c>
      <c r="K12" s="314">
        <v>671</v>
      </c>
      <c r="L12" s="314">
        <v>210</v>
      </c>
      <c r="M12" s="314">
        <v>300</v>
      </c>
      <c r="N12" s="314">
        <v>0</v>
      </c>
      <c r="O12" s="314">
        <v>2363</v>
      </c>
      <c r="P12" s="314">
        <v>3130</v>
      </c>
      <c r="Q12" s="309"/>
      <c r="T12" s="315"/>
      <c r="U12" s="315"/>
    </row>
    <row r="13" spans="1:21" ht="12.75" x14ac:dyDescent="0.2">
      <c r="A13" s="312">
        <v>3</v>
      </c>
      <c r="B13" s="258" t="s">
        <v>24</v>
      </c>
      <c r="C13" s="259" t="s">
        <v>25</v>
      </c>
      <c r="D13" s="314">
        <f t="shared" si="7"/>
        <v>41133</v>
      </c>
      <c r="E13" s="314">
        <f t="shared" si="8"/>
        <v>0</v>
      </c>
      <c r="F13" s="314">
        <v>0</v>
      </c>
      <c r="G13" s="314">
        <v>0</v>
      </c>
      <c r="H13" s="314">
        <v>0</v>
      </c>
      <c r="I13" s="314">
        <v>0</v>
      </c>
      <c r="J13" s="314">
        <f t="shared" si="9"/>
        <v>41133</v>
      </c>
      <c r="K13" s="314">
        <v>1329</v>
      </c>
      <c r="L13" s="314">
        <v>1600</v>
      </c>
      <c r="M13" s="314">
        <v>5</v>
      </c>
      <c r="N13" s="314">
        <v>6240</v>
      </c>
      <c r="O13" s="314">
        <v>14893</v>
      </c>
      <c r="P13" s="314">
        <v>17066</v>
      </c>
      <c r="Q13" s="309"/>
      <c r="T13" s="315"/>
      <c r="U13" s="315"/>
    </row>
    <row r="14" spans="1:21" ht="12.75" x14ac:dyDescent="0.2">
      <c r="A14" s="312">
        <v>4</v>
      </c>
      <c r="B14" s="282" t="s">
        <v>26</v>
      </c>
      <c r="C14" s="313" t="s">
        <v>448</v>
      </c>
      <c r="D14" s="314">
        <f t="shared" si="7"/>
        <v>10347</v>
      </c>
      <c r="E14" s="314">
        <f t="shared" si="8"/>
        <v>0</v>
      </c>
      <c r="F14" s="314">
        <v>0</v>
      </c>
      <c r="G14" s="314">
        <v>0</v>
      </c>
      <c r="H14" s="314">
        <v>0</v>
      </c>
      <c r="I14" s="314">
        <v>0</v>
      </c>
      <c r="J14" s="314">
        <f t="shared" si="9"/>
        <v>10347</v>
      </c>
      <c r="K14" s="314">
        <v>1500</v>
      </c>
      <c r="L14" s="314">
        <v>850</v>
      </c>
      <c r="M14" s="314">
        <v>347</v>
      </c>
      <c r="N14" s="314">
        <v>400</v>
      </c>
      <c r="O14" s="314">
        <v>3200</v>
      </c>
      <c r="P14" s="314">
        <v>4050</v>
      </c>
      <c r="Q14" s="309"/>
      <c r="T14" s="315"/>
      <c r="U14" s="315"/>
    </row>
    <row r="15" spans="1:21" ht="12.75" x14ac:dyDescent="0.2">
      <c r="A15" s="312">
        <v>5</v>
      </c>
      <c r="B15" s="282" t="s">
        <v>27</v>
      </c>
      <c r="C15" s="313" t="s">
        <v>28</v>
      </c>
      <c r="D15" s="314">
        <f t="shared" si="7"/>
        <v>8385</v>
      </c>
      <c r="E15" s="314">
        <f t="shared" si="8"/>
        <v>0</v>
      </c>
      <c r="F15" s="314">
        <v>0</v>
      </c>
      <c r="G15" s="314">
        <v>0</v>
      </c>
      <c r="H15" s="314">
        <v>0</v>
      </c>
      <c r="I15" s="314">
        <v>0</v>
      </c>
      <c r="J15" s="314">
        <f t="shared" si="9"/>
        <v>8385</v>
      </c>
      <c r="K15" s="314">
        <v>1215</v>
      </c>
      <c r="L15" s="314">
        <v>670</v>
      </c>
      <c r="M15" s="314">
        <v>164</v>
      </c>
      <c r="N15" s="314">
        <v>430</v>
      </c>
      <c r="O15" s="314">
        <v>2706</v>
      </c>
      <c r="P15" s="314">
        <v>3200</v>
      </c>
      <c r="Q15" s="309"/>
      <c r="T15" s="315"/>
      <c r="U15" s="315"/>
    </row>
    <row r="16" spans="1:21" ht="12.75" x14ac:dyDescent="0.2">
      <c r="A16" s="312">
        <v>6</v>
      </c>
      <c r="B16" s="258" t="s">
        <v>4</v>
      </c>
      <c r="C16" s="259" t="s">
        <v>29</v>
      </c>
      <c r="D16" s="314">
        <f t="shared" si="7"/>
        <v>93508</v>
      </c>
      <c r="E16" s="314">
        <f t="shared" si="8"/>
        <v>0</v>
      </c>
      <c r="F16" s="314">
        <v>0</v>
      </c>
      <c r="G16" s="314">
        <v>0</v>
      </c>
      <c r="H16" s="314">
        <v>0</v>
      </c>
      <c r="I16" s="314">
        <v>0</v>
      </c>
      <c r="J16" s="314">
        <f t="shared" si="9"/>
        <v>93508</v>
      </c>
      <c r="K16" s="314">
        <v>8027</v>
      </c>
      <c r="L16" s="314">
        <v>4927</v>
      </c>
      <c r="M16" s="314">
        <v>4610</v>
      </c>
      <c r="N16" s="314">
        <v>814</v>
      </c>
      <c r="O16" s="314">
        <v>33021</v>
      </c>
      <c r="P16" s="314">
        <v>42109</v>
      </c>
      <c r="Q16" s="309"/>
      <c r="T16" s="315"/>
      <c r="U16" s="315"/>
    </row>
    <row r="17" spans="1:21" ht="12.75" x14ac:dyDescent="0.2">
      <c r="A17" s="312">
        <v>7</v>
      </c>
      <c r="B17" s="317" t="s">
        <v>30</v>
      </c>
      <c r="C17" s="318" t="s">
        <v>449</v>
      </c>
      <c r="D17" s="314">
        <f t="shared" si="7"/>
        <v>34502</v>
      </c>
      <c r="E17" s="314">
        <f t="shared" si="8"/>
        <v>0</v>
      </c>
      <c r="F17" s="314">
        <v>0</v>
      </c>
      <c r="G17" s="314">
        <v>0</v>
      </c>
      <c r="H17" s="314">
        <v>0</v>
      </c>
      <c r="I17" s="314">
        <v>0</v>
      </c>
      <c r="J17" s="314">
        <f t="shared" si="9"/>
        <v>34502</v>
      </c>
      <c r="K17" s="314">
        <v>3065</v>
      </c>
      <c r="L17" s="314">
        <v>1242</v>
      </c>
      <c r="M17" s="314">
        <v>1624</v>
      </c>
      <c r="N17" s="314">
        <v>500</v>
      </c>
      <c r="O17" s="314">
        <v>13757</v>
      </c>
      <c r="P17" s="314">
        <v>14314</v>
      </c>
      <c r="Q17" s="309"/>
      <c r="T17" s="315"/>
      <c r="U17" s="315"/>
    </row>
    <row r="18" spans="1:21" ht="12.75" x14ac:dyDescent="0.2">
      <c r="A18" s="312">
        <v>8</v>
      </c>
      <c r="B18" s="258" t="s">
        <v>31</v>
      </c>
      <c r="C18" s="259" t="s">
        <v>32</v>
      </c>
      <c r="D18" s="314">
        <f t="shared" si="7"/>
        <v>12552</v>
      </c>
      <c r="E18" s="314">
        <f t="shared" si="8"/>
        <v>0</v>
      </c>
      <c r="F18" s="314">
        <v>0</v>
      </c>
      <c r="G18" s="314">
        <v>0</v>
      </c>
      <c r="H18" s="314">
        <v>0</v>
      </c>
      <c r="I18" s="314">
        <v>0</v>
      </c>
      <c r="J18" s="314">
        <f t="shared" si="9"/>
        <v>12552</v>
      </c>
      <c r="K18" s="314">
        <v>1350</v>
      </c>
      <c r="L18" s="314">
        <v>85</v>
      </c>
      <c r="M18" s="314">
        <v>795</v>
      </c>
      <c r="N18" s="314">
        <v>520</v>
      </c>
      <c r="O18" s="314">
        <v>7092</v>
      </c>
      <c r="P18" s="314">
        <v>2710</v>
      </c>
      <c r="Q18" s="309"/>
      <c r="T18" s="315"/>
      <c r="U18" s="315"/>
    </row>
    <row r="19" spans="1:21" ht="12.75" x14ac:dyDescent="0.2">
      <c r="A19" s="312">
        <v>9</v>
      </c>
      <c r="B19" s="258" t="s">
        <v>33</v>
      </c>
      <c r="C19" s="259" t="s">
        <v>34</v>
      </c>
      <c r="D19" s="314">
        <f t="shared" si="7"/>
        <v>11344</v>
      </c>
      <c r="E19" s="314">
        <f t="shared" si="8"/>
        <v>0</v>
      </c>
      <c r="F19" s="314">
        <v>0</v>
      </c>
      <c r="G19" s="314">
        <v>0</v>
      </c>
      <c r="H19" s="314">
        <v>0</v>
      </c>
      <c r="I19" s="314">
        <v>0</v>
      </c>
      <c r="J19" s="314">
        <f t="shared" si="9"/>
        <v>11344</v>
      </c>
      <c r="K19" s="314">
        <v>1505</v>
      </c>
      <c r="L19" s="314">
        <v>600</v>
      </c>
      <c r="M19" s="314">
        <v>176</v>
      </c>
      <c r="N19" s="314">
        <v>150</v>
      </c>
      <c r="O19" s="314">
        <v>4829</v>
      </c>
      <c r="P19" s="314">
        <v>4084</v>
      </c>
      <c r="Q19" s="309"/>
      <c r="T19" s="315"/>
      <c r="U19" s="315"/>
    </row>
    <row r="20" spans="1:21" ht="12.75" x14ac:dyDescent="0.2">
      <c r="A20" s="312">
        <v>10</v>
      </c>
      <c r="B20" s="258" t="s">
        <v>35</v>
      </c>
      <c r="C20" s="259" t="s">
        <v>36</v>
      </c>
      <c r="D20" s="314">
        <f t="shared" si="7"/>
        <v>17432</v>
      </c>
      <c r="E20" s="314">
        <f t="shared" si="8"/>
        <v>0</v>
      </c>
      <c r="F20" s="314">
        <v>0</v>
      </c>
      <c r="G20" s="314">
        <v>0</v>
      </c>
      <c r="H20" s="314">
        <v>0</v>
      </c>
      <c r="I20" s="314">
        <v>0</v>
      </c>
      <c r="J20" s="314">
        <f t="shared" si="9"/>
        <v>17432</v>
      </c>
      <c r="K20" s="314">
        <v>3256</v>
      </c>
      <c r="L20" s="314">
        <v>0</v>
      </c>
      <c r="M20" s="314">
        <v>721</v>
      </c>
      <c r="N20" s="314">
        <v>1479</v>
      </c>
      <c r="O20" s="314">
        <v>8169</v>
      </c>
      <c r="P20" s="314">
        <v>3807</v>
      </c>
      <c r="Q20" s="309"/>
      <c r="T20" s="315"/>
      <c r="U20" s="315"/>
    </row>
    <row r="21" spans="1:21" ht="12.75" x14ac:dyDescent="0.2">
      <c r="A21" s="312">
        <v>11</v>
      </c>
      <c r="B21" s="258" t="s">
        <v>37</v>
      </c>
      <c r="C21" s="259" t="s">
        <v>38</v>
      </c>
      <c r="D21" s="314">
        <f t="shared" si="7"/>
        <v>11139</v>
      </c>
      <c r="E21" s="314">
        <f t="shared" si="8"/>
        <v>0</v>
      </c>
      <c r="F21" s="314">
        <v>0</v>
      </c>
      <c r="G21" s="314">
        <v>0</v>
      </c>
      <c r="H21" s="314">
        <v>0</v>
      </c>
      <c r="I21" s="314">
        <v>0</v>
      </c>
      <c r="J21" s="314">
        <f t="shared" si="9"/>
        <v>11139</v>
      </c>
      <c r="K21" s="314">
        <v>610</v>
      </c>
      <c r="L21" s="314">
        <v>540</v>
      </c>
      <c r="M21" s="314">
        <v>1205</v>
      </c>
      <c r="N21" s="314">
        <v>0</v>
      </c>
      <c r="O21" s="314">
        <v>4103</v>
      </c>
      <c r="P21" s="314">
        <v>4681</v>
      </c>
      <c r="Q21" s="309"/>
      <c r="T21" s="315"/>
      <c r="U21" s="315"/>
    </row>
    <row r="22" spans="1:21" ht="12.75" x14ac:dyDescent="0.2">
      <c r="A22" s="312">
        <v>12</v>
      </c>
      <c r="B22" s="258" t="s">
        <v>39</v>
      </c>
      <c r="C22" s="259" t="s">
        <v>40</v>
      </c>
      <c r="D22" s="314">
        <f t="shared" si="7"/>
        <v>23094</v>
      </c>
      <c r="E22" s="314">
        <f t="shared" si="8"/>
        <v>0</v>
      </c>
      <c r="F22" s="314">
        <v>0</v>
      </c>
      <c r="G22" s="314">
        <v>0</v>
      </c>
      <c r="H22" s="314">
        <v>0</v>
      </c>
      <c r="I22" s="314">
        <v>0</v>
      </c>
      <c r="J22" s="314">
        <f t="shared" si="9"/>
        <v>23094</v>
      </c>
      <c r="K22" s="314">
        <v>850</v>
      </c>
      <c r="L22" s="314">
        <v>450</v>
      </c>
      <c r="M22" s="314">
        <v>225</v>
      </c>
      <c r="N22" s="314">
        <v>200</v>
      </c>
      <c r="O22" s="314">
        <v>10349</v>
      </c>
      <c r="P22" s="314">
        <v>11020</v>
      </c>
      <c r="Q22" s="309"/>
      <c r="T22" s="315"/>
      <c r="U22" s="315"/>
    </row>
    <row r="23" spans="1:21" x14ac:dyDescent="0.2">
      <c r="A23" s="312">
        <v>13</v>
      </c>
      <c r="B23" s="237" t="s">
        <v>307</v>
      </c>
      <c r="C23" s="238" t="s">
        <v>450</v>
      </c>
      <c r="D23" s="314">
        <f t="shared" si="7"/>
        <v>0</v>
      </c>
      <c r="E23" s="314">
        <f t="shared" si="8"/>
        <v>0</v>
      </c>
      <c r="F23" s="314">
        <v>0</v>
      </c>
      <c r="G23" s="314">
        <v>0</v>
      </c>
      <c r="H23" s="314">
        <v>0</v>
      </c>
      <c r="I23" s="314">
        <v>0</v>
      </c>
      <c r="J23" s="314">
        <f t="shared" si="9"/>
        <v>0</v>
      </c>
      <c r="K23" s="314">
        <v>0</v>
      </c>
      <c r="L23" s="314">
        <v>0</v>
      </c>
      <c r="M23" s="314">
        <v>0</v>
      </c>
      <c r="N23" s="314">
        <v>0</v>
      </c>
      <c r="O23" s="314">
        <v>0</v>
      </c>
      <c r="P23" s="314">
        <v>0</v>
      </c>
      <c r="Q23" s="309"/>
      <c r="T23" s="315"/>
      <c r="U23" s="315"/>
    </row>
    <row r="24" spans="1:21" x14ac:dyDescent="0.2">
      <c r="A24" s="312">
        <v>14</v>
      </c>
      <c r="B24" s="237" t="s">
        <v>309</v>
      </c>
      <c r="C24" s="234" t="s">
        <v>451</v>
      </c>
      <c r="D24" s="314">
        <f t="shared" si="7"/>
        <v>0</v>
      </c>
      <c r="E24" s="314">
        <f t="shared" si="8"/>
        <v>0</v>
      </c>
      <c r="F24" s="314">
        <v>0</v>
      </c>
      <c r="G24" s="314">
        <v>0</v>
      </c>
      <c r="H24" s="314">
        <v>0</v>
      </c>
      <c r="I24" s="314">
        <v>0</v>
      </c>
      <c r="J24" s="314">
        <f t="shared" si="9"/>
        <v>0</v>
      </c>
      <c r="K24" s="314">
        <v>0</v>
      </c>
      <c r="L24" s="314">
        <v>0</v>
      </c>
      <c r="M24" s="314">
        <v>0</v>
      </c>
      <c r="N24" s="314">
        <v>0</v>
      </c>
      <c r="O24" s="314">
        <v>0</v>
      </c>
      <c r="P24" s="314">
        <v>0</v>
      </c>
      <c r="Q24" s="309"/>
      <c r="T24" s="315"/>
      <c r="U24" s="315"/>
    </row>
    <row r="25" spans="1:21" ht="12.75" x14ac:dyDescent="0.2">
      <c r="A25" s="312">
        <v>15</v>
      </c>
      <c r="B25" s="258" t="s">
        <v>41</v>
      </c>
      <c r="C25" s="259" t="s">
        <v>42</v>
      </c>
      <c r="D25" s="314">
        <f t="shared" si="7"/>
        <v>25165</v>
      </c>
      <c r="E25" s="314">
        <f t="shared" si="8"/>
        <v>0</v>
      </c>
      <c r="F25" s="314">
        <v>0</v>
      </c>
      <c r="G25" s="314">
        <v>0</v>
      </c>
      <c r="H25" s="314">
        <v>0</v>
      </c>
      <c r="I25" s="314">
        <v>0</v>
      </c>
      <c r="J25" s="314">
        <f t="shared" si="9"/>
        <v>25165</v>
      </c>
      <c r="K25" s="314">
        <v>2910</v>
      </c>
      <c r="L25" s="314">
        <v>319</v>
      </c>
      <c r="M25" s="314">
        <v>3</v>
      </c>
      <c r="N25" s="314">
        <v>0</v>
      </c>
      <c r="O25" s="314">
        <v>21190</v>
      </c>
      <c r="P25" s="314">
        <v>743</v>
      </c>
      <c r="Q25" s="309"/>
      <c r="T25" s="315"/>
      <c r="U25" s="315"/>
    </row>
    <row r="26" spans="1:21" ht="12.75" x14ac:dyDescent="0.2">
      <c r="A26" s="312">
        <v>16</v>
      </c>
      <c r="B26" s="258" t="s">
        <v>43</v>
      </c>
      <c r="C26" s="259" t="s">
        <v>44</v>
      </c>
      <c r="D26" s="314">
        <f t="shared" si="7"/>
        <v>21679</v>
      </c>
      <c r="E26" s="314">
        <f t="shared" si="8"/>
        <v>0</v>
      </c>
      <c r="F26" s="314">
        <v>0</v>
      </c>
      <c r="G26" s="314">
        <v>0</v>
      </c>
      <c r="H26" s="314">
        <v>0</v>
      </c>
      <c r="I26" s="314">
        <v>0</v>
      </c>
      <c r="J26" s="314">
        <f t="shared" si="9"/>
        <v>21679</v>
      </c>
      <c r="K26" s="314">
        <v>2037</v>
      </c>
      <c r="L26" s="314">
        <v>925</v>
      </c>
      <c r="M26" s="314">
        <v>338</v>
      </c>
      <c r="N26" s="314">
        <v>150</v>
      </c>
      <c r="O26" s="314">
        <v>8583</v>
      </c>
      <c r="P26" s="314">
        <v>9646</v>
      </c>
      <c r="Q26" s="309"/>
      <c r="T26" s="315"/>
      <c r="U26" s="315"/>
    </row>
    <row r="27" spans="1:21" ht="12.75" x14ac:dyDescent="0.2">
      <c r="A27" s="312">
        <v>17</v>
      </c>
      <c r="B27" s="258" t="s">
        <v>45</v>
      </c>
      <c r="C27" s="259" t="s">
        <v>452</v>
      </c>
      <c r="D27" s="314">
        <f t="shared" si="7"/>
        <v>17135</v>
      </c>
      <c r="E27" s="314">
        <f t="shared" si="8"/>
        <v>0</v>
      </c>
      <c r="F27" s="314">
        <v>0</v>
      </c>
      <c r="G27" s="314">
        <v>0</v>
      </c>
      <c r="H27" s="314">
        <v>0</v>
      </c>
      <c r="I27" s="314">
        <v>0</v>
      </c>
      <c r="J27" s="314">
        <f t="shared" si="9"/>
        <v>17135</v>
      </c>
      <c r="K27" s="314">
        <v>4570</v>
      </c>
      <c r="L27" s="314">
        <v>360</v>
      </c>
      <c r="M27" s="314">
        <v>5208</v>
      </c>
      <c r="N27" s="314">
        <v>1100</v>
      </c>
      <c r="O27" s="314">
        <v>2000</v>
      </c>
      <c r="P27" s="314">
        <v>3897</v>
      </c>
      <c r="Q27" s="309"/>
      <c r="T27" s="315"/>
      <c r="U27" s="315"/>
    </row>
    <row r="28" spans="1:21" ht="12.75" x14ac:dyDescent="0.2">
      <c r="A28" s="312">
        <v>18</v>
      </c>
      <c r="B28" s="258" t="s">
        <v>46</v>
      </c>
      <c r="C28" s="259" t="s">
        <v>47</v>
      </c>
      <c r="D28" s="314">
        <f t="shared" si="7"/>
        <v>46124</v>
      </c>
      <c r="E28" s="314">
        <f t="shared" si="8"/>
        <v>0</v>
      </c>
      <c r="F28" s="314">
        <v>0</v>
      </c>
      <c r="G28" s="314">
        <v>0</v>
      </c>
      <c r="H28" s="314">
        <v>0</v>
      </c>
      <c r="I28" s="314">
        <v>0</v>
      </c>
      <c r="J28" s="314">
        <f t="shared" si="9"/>
        <v>46124</v>
      </c>
      <c r="K28" s="314">
        <v>6000</v>
      </c>
      <c r="L28" s="314">
        <v>1450</v>
      </c>
      <c r="M28" s="314">
        <v>1872</v>
      </c>
      <c r="N28" s="314">
        <v>400</v>
      </c>
      <c r="O28" s="314">
        <v>13702</v>
      </c>
      <c r="P28" s="314">
        <v>22700</v>
      </c>
      <c r="Q28" s="309"/>
      <c r="T28" s="315"/>
      <c r="U28" s="315"/>
    </row>
    <row r="29" spans="1:21" ht="12.75" x14ac:dyDescent="0.2">
      <c r="A29" s="312">
        <v>19</v>
      </c>
      <c r="B29" s="282" t="s">
        <v>48</v>
      </c>
      <c r="C29" s="313" t="s">
        <v>49</v>
      </c>
      <c r="D29" s="314">
        <f t="shared" si="7"/>
        <v>8895</v>
      </c>
      <c r="E29" s="314">
        <f t="shared" si="8"/>
        <v>0</v>
      </c>
      <c r="F29" s="314">
        <v>0</v>
      </c>
      <c r="G29" s="314">
        <v>0</v>
      </c>
      <c r="H29" s="314">
        <v>0</v>
      </c>
      <c r="I29" s="314">
        <v>0</v>
      </c>
      <c r="J29" s="314">
        <f t="shared" si="9"/>
        <v>8895</v>
      </c>
      <c r="K29" s="314">
        <v>1955</v>
      </c>
      <c r="L29" s="314">
        <v>140</v>
      </c>
      <c r="M29" s="314">
        <v>122</v>
      </c>
      <c r="N29" s="314">
        <v>37</v>
      </c>
      <c r="O29" s="314">
        <v>2826</v>
      </c>
      <c r="P29" s="314">
        <v>3815</v>
      </c>
      <c r="Q29" s="309"/>
      <c r="T29" s="315"/>
      <c r="U29" s="315"/>
    </row>
    <row r="30" spans="1:21" ht="12.75" x14ac:dyDescent="0.2">
      <c r="A30" s="312">
        <v>20</v>
      </c>
      <c r="B30" s="282" t="s">
        <v>50</v>
      </c>
      <c r="C30" s="313" t="s">
        <v>453</v>
      </c>
      <c r="D30" s="314">
        <f t="shared" si="7"/>
        <v>10076</v>
      </c>
      <c r="E30" s="314">
        <f t="shared" si="8"/>
        <v>0</v>
      </c>
      <c r="F30" s="314">
        <v>0</v>
      </c>
      <c r="G30" s="314">
        <v>0</v>
      </c>
      <c r="H30" s="314">
        <v>0</v>
      </c>
      <c r="I30" s="314">
        <v>0</v>
      </c>
      <c r="J30" s="314">
        <f t="shared" si="9"/>
        <v>10076</v>
      </c>
      <c r="K30" s="314">
        <v>1463</v>
      </c>
      <c r="L30" s="314">
        <v>231</v>
      </c>
      <c r="M30" s="314">
        <v>0</v>
      </c>
      <c r="N30" s="314">
        <v>30</v>
      </c>
      <c r="O30" s="314">
        <v>6821</v>
      </c>
      <c r="P30" s="314">
        <v>1531</v>
      </c>
      <c r="Q30" s="309"/>
      <c r="T30" s="315"/>
      <c r="U30" s="315"/>
    </row>
    <row r="31" spans="1:21" ht="12.75" x14ac:dyDescent="0.2">
      <c r="A31" s="312">
        <v>21</v>
      </c>
      <c r="B31" s="282" t="s">
        <v>51</v>
      </c>
      <c r="C31" s="313" t="s">
        <v>52</v>
      </c>
      <c r="D31" s="314">
        <f t="shared" si="7"/>
        <v>44079</v>
      </c>
      <c r="E31" s="314">
        <f t="shared" si="8"/>
        <v>0</v>
      </c>
      <c r="F31" s="314">
        <v>0</v>
      </c>
      <c r="G31" s="314">
        <v>0</v>
      </c>
      <c r="H31" s="314">
        <v>0</v>
      </c>
      <c r="I31" s="314">
        <v>0</v>
      </c>
      <c r="J31" s="314">
        <f t="shared" si="9"/>
        <v>44079</v>
      </c>
      <c r="K31" s="314">
        <v>4806</v>
      </c>
      <c r="L31" s="314">
        <v>1490</v>
      </c>
      <c r="M31" s="314">
        <v>3543</v>
      </c>
      <c r="N31" s="314">
        <v>1614</v>
      </c>
      <c r="O31" s="314">
        <v>14271</v>
      </c>
      <c r="P31" s="314">
        <v>18355</v>
      </c>
      <c r="Q31" s="309"/>
      <c r="T31" s="315"/>
      <c r="U31" s="315"/>
    </row>
    <row r="32" spans="1:21" ht="12.75" x14ac:dyDescent="0.2">
      <c r="A32" s="312">
        <v>22</v>
      </c>
      <c r="B32" s="282" t="s">
        <v>53</v>
      </c>
      <c r="C32" s="313" t="s">
        <v>54</v>
      </c>
      <c r="D32" s="314">
        <f t="shared" si="7"/>
        <v>39468</v>
      </c>
      <c r="E32" s="314">
        <f t="shared" si="8"/>
        <v>0</v>
      </c>
      <c r="F32" s="314">
        <v>0</v>
      </c>
      <c r="G32" s="314">
        <v>0</v>
      </c>
      <c r="H32" s="314">
        <v>0</v>
      </c>
      <c r="I32" s="314">
        <v>0</v>
      </c>
      <c r="J32" s="314">
        <f t="shared" si="9"/>
        <v>39468</v>
      </c>
      <c r="K32" s="314">
        <v>2340</v>
      </c>
      <c r="L32" s="314">
        <v>1285</v>
      </c>
      <c r="M32" s="314">
        <v>2104</v>
      </c>
      <c r="N32" s="314">
        <v>275</v>
      </c>
      <c r="O32" s="314">
        <v>22507</v>
      </c>
      <c r="P32" s="314">
        <v>10957</v>
      </c>
      <c r="Q32" s="309"/>
      <c r="T32" s="315"/>
      <c r="U32" s="315"/>
    </row>
    <row r="33" spans="1:21" ht="12.75" x14ac:dyDescent="0.2">
      <c r="A33" s="312">
        <v>23</v>
      </c>
      <c r="B33" s="258" t="s">
        <v>55</v>
      </c>
      <c r="C33" s="259" t="s">
        <v>56</v>
      </c>
      <c r="D33" s="314">
        <f t="shared" si="7"/>
        <v>9488</v>
      </c>
      <c r="E33" s="314">
        <f t="shared" si="8"/>
        <v>0</v>
      </c>
      <c r="F33" s="314">
        <v>0</v>
      </c>
      <c r="G33" s="314">
        <v>0</v>
      </c>
      <c r="H33" s="314">
        <v>0</v>
      </c>
      <c r="I33" s="314">
        <v>0</v>
      </c>
      <c r="J33" s="314">
        <f t="shared" si="9"/>
        <v>9488</v>
      </c>
      <c r="K33" s="314">
        <v>440</v>
      </c>
      <c r="L33" s="314">
        <v>795</v>
      </c>
      <c r="M33" s="314">
        <v>235</v>
      </c>
      <c r="N33" s="314">
        <v>122</v>
      </c>
      <c r="O33" s="314">
        <v>2665</v>
      </c>
      <c r="P33" s="314">
        <v>5231</v>
      </c>
      <c r="Q33" s="309"/>
      <c r="T33" s="315"/>
      <c r="U33" s="315"/>
    </row>
    <row r="34" spans="1:21" x14ac:dyDescent="0.2">
      <c r="A34" s="312">
        <v>24</v>
      </c>
      <c r="B34" s="248" t="s">
        <v>57</v>
      </c>
      <c r="C34" s="238" t="s">
        <v>58</v>
      </c>
      <c r="D34" s="314">
        <f t="shared" si="7"/>
        <v>0</v>
      </c>
      <c r="E34" s="314">
        <f t="shared" si="8"/>
        <v>0</v>
      </c>
      <c r="F34" s="314">
        <v>0</v>
      </c>
      <c r="G34" s="314">
        <v>0</v>
      </c>
      <c r="H34" s="314">
        <v>0</v>
      </c>
      <c r="I34" s="314">
        <v>0</v>
      </c>
      <c r="J34" s="314">
        <f t="shared" si="9"/>
        <v>0</v>
      </c>
      <c r="K34" s="314">
        <v>0</v>
      </c>
      <c r="L34" s="314">
        <v>0</v>
      </c>
      <c r="M34" s="314">
        <v>0</v>
      </c>
      <c r="N34" s="314">
        <v>0</v>
      </c>
      <c r="O34" s="314">
        <v>0</v>
      </c>
      <c r="P34" s="314">
        <v>0</v>
      </c>
      <c r="Q34" s="309"/>
      <c r="T34" s="315"/>
      <c r="U34" s="315"/>
    </row>
    <row r="35" spans="1:21" ht="24" x14ac:dyDescent="0.2">
      <c r="A35" s="312">
        <v>25</v>
      </c>
      <c r="B35" s="248" t="s">
        <v>454</v>
      </c>
      <c r="C35" s="238" t="s">
        <v>455</v>
      </c>
      <c r="D35" s="314">
        <f t="shared" si="7"/>
        <v>0</v>
      </c>
      <c r="E35" s="314">
        <f t="shared" si="8"/>
        <v>0</v>
      </c>
      <c r="F35" s="314">
        <v>0</v>
      </c>
      <c r="G35" s="314">
        <v>0</v>
      </c>
      <c r="H35" s="314">
        <v>0</v>
      </c>
      <c r="I35" s="314">
        <v>0</v>
      </c>
      <c r="J35" s="314">
        <f t="shared" si="9"/>
        <v>0</v>
      </c>
      <c r="K35" s="314">
        <v>0</v>
      </c>
      <c r="L35" s="314">
        <v>0</v>
      </c>
      <c r="M35" s="314">
        <v>0</v>
      </c>
      <c r="N35" s="314">
        <v>0</v>
      </c>
      <c r="O35" s="314">
        <v>0</v>
      </c>
      <c r="P35" s="314">
        <v>0</v>
      </c>
      <c r="Q35" s="309"/>
      <c r="T35" s="315"/>
      <c r="U35" s="315"/>
    </row>
    <row r="36" spans="1:21" ht="12.75" x14ac:dyDescent="0.2">
      <c r="A36" s="312">
        <v>26</v>
      </c>
      <c r="B36" s="282" t="s">
        <v>6</v>
      </c>
      <c r="C36" s="318" t="s">
        <v>59</v>
      </c>
      <c r="D36" s="314">
        <f t="shared" si="7"/>
        <v>28922</v>
      </c>
      <c r="E36" s="314">
        <f t="shared" si="8"/>
        <v>0</v>
      </c>
      <c r="F36" s="314">
        <v>0</v>
      </c>
      <c r="G36" s="314">
        <v>0</v>
      </c>
      <c r="H36" s="314">
        <v>0</v>
      </c>
      <c r="I36" s="314">
        <v>0</v>
      </c>
      <c r="J36" s="314">
        <f t="shared" si="9"/>
        <v>28922</v>
      </c>
      <c r="K36" s="314">
        <v>9027</v>
      </c>
      <c r="L36" s="314">
        <v>0</v>
      </c>
      <c r="M36" s="314">
        <v>2658</v>
      </c>
      <c r="N36" s="314">
        <v>0</v>
      </c>
      <c r="O36" s="314">
        <v>17237</v>
      </c>
      <c r="P36" s="314">
        <v>0</v>
      </c>
      <c r="Q36" s="309"/>
      <c r="T36" s="315"/>
      <c r="U36" s="315"/>
    </row>
    <row r="37" spans="1:21" ht="12.75" x14ac:dyDescent="0.2">
      <c r="A37" s="312">
        <v>27</v>
      </c>
      <c r="B37" s="258" t="s">
        <v>5</v>
      </c>
      <c r="C37" s="259" t="s">
        <v>17</v>
      </c>
      <c r="D37" s="314">
        <f t="shared" si="7"/>
        <v>53760</v>
      </c>
      <c r="E37" s="314">
        <f t="shared" si="8"/>
        <v>0</v>
      </c>
      <c r="F37" s="314">
        <v>0</v>
      </c>
      <c r="G37" s="314">
        <v>0</v>
      </c>
      <c r="H37" s="314">
        <v>0</v>
      </c>
      <c r="I37" s="314">
        <v>0</v>
      </c>
      <c r="J37" s="314">
        <f t="shared" si="9"/>
        <v>53760</v>
      </c>
      <c r="K37" s="314">
        <v>5719</v>
      </c>
      <c r="L37" s="314">
        <v>1980</v>
      </c>
      <c r="M37" s="314">
        <v>969</v>
      </c>
      <c r="N37" s="314">
        <v>160</v>
      </c>
      <c r="O37" s="314">
        <v>31114</v>
      </c>
      <c r="P37" s="314">
        <v>13818</v>
      </c>
      <c r="Q37" s="309"/>
      <c r="T37" s="315"/>
      <c r="U37" s="315"/>
    </row>
    <row r="38" spans="1:21" ht="12.75" x14ac:dyDescent="0.2">
      <c r="A38" s="312">
        <v>28</v>
      </c>
      <c r="B38" s="258" t="s">
        <v>60</v>
      </c>
      <c r="C38" s="259" t="s">
        <v>61</v>
      </c>
      <c r="D38" s="314">
        <f t="shared" si="7"/>
        <v>87308</v>
      </c>
      <c r="E38" s="314">
        <f t="shared" si="8"/>
        <v>0</v>
      </c>
      <c r="F38" s="314">
        <v>0</v>
      </c>
      <c r="G38" s="314">
        <v>0</v>
      </c>
      <c r="H38" s="314">
        <v>0</v>
      </c>
      <c r="I38" s="314">
        <v>0</v>
      </c>
      <c r="J38" s="314">
        <f t="shared" si="9"/>
        <v>87308</v>
      </c>
      <c r="K38" s="314">
        <v>0</v>
      </c>
      <c r="L38" s="314">
        <v>0</v>
      </c>
      <c r="M38" s="314">
        <v>0</v>
      </c>
      <c r="N38" s="314">
        <v>0</v>
      </c>
      <c r="O38" s="314">
        <v>0</v>
      </c>
      <c r="P38" s="314">
        <v>87308</v>
      </c>
      <c r="Q38" s="309"/>
      <c r="T38" s="315"/>
      <c r="U38" s="315"/>
    </row>
    <row r="39" spans="1:21" ht="12.75" x14ac:dyDescent="0.2">
      <c r="A39" s="312">
        <v>29</v>
      </c>
      <c r="B39" s="282" t="s">
        <v>315</v>
      </c>
      <c r="C39" s="313" t="s">
        <v>316</v>
      </c>
      <c r="D39" s="314">
        <f t="shared" si="7"/>
        <v>1980</v>
      </c>
      <c r="E39" s="314">
        <f t="shared" si="8"/>
        <v>1980</v>
      </c>
      <c r="F39" s="314">
        <v>0</v>
      </c>
      <c r="G39" s="314">
        <v>1980</v>
      </c>
      <c r="H39" s="314">
        <v>0</v>
      </c>
      <c r="I39" s="314">
        <v>0</v>
      </c>
      <c r="J39" s="314">
        <f t="shared" si="9"/>
        <v>0</v>
      </c>
      <c r="K39" s="314">
        <v>0</v>
      </c>
      <c r="L39" s="314">
        <v>0</v>
      </c>
      <c r="M39" s="314">
        <v>0</v>
      </c>
      <c r="N39" s="314">
        <v>0</v>
      </c>
      <c r="O39" s="314">
        <v>0</v>
      </c>
      <c r="P39" s="314">
        <v>0</v>
      </c>
      <c r="Q39" s="309"/>
      <c r="T39" s="315"/>
      <c r="U39" s="315"/>
    </row>
    <row r="40" spans="1:21" ht="12.75" x14ac:dyDescent="0.2">
      <c r="A40" s="312">
        <v>30</v>
      </c>
      <c r="B40" s="316" t="s">
        <v>317</v>
      </c>
      <c r="C40" s="318" t="s">
        <v>318</v>
      </c>
      <c r="D40" s="314">
        <f t="shared" si="7"/>
        <v>23</v>
      </c>
      <c r="E40" s="314">
        <f t="shared" si="8"/>
        <v>23</v>
      </c>
      <c r="F40" s="314">
        <v>0</v>
      </c>
      <c r="G40" s="314">
        <v>0</v>
      </c>
      <c r="H40" s="314">
        <v>0</v>
      </c>
      <c r="I40" s="314">
        <v>23</v>
      </c>
      <c r="J40" s="314">
        <f t="shared" si="9"/>
        <v>0</v>
      </c>
      <c r="K40" s="314">
        <v>0</v>
      </c>
      <c r="L40" s="314">
        <v>0</v>
      </c>
      <c r="M40" s="314">
        <v>0</v>
      </c>
      <c r="N40" s="314">
        <v>0</v>
      </c>
      <c r="O40" s="314">
        <v>0</v>
      </c>
      <c r="P40" s="314">
        <v>0</v>
      </c>
      <c r="Q40" s="309"/>
      <c r="T40" s="315"/>
      <c r="U40" s="315"/>
    </row>
    <row r="41" spans="1:21" ht="24" x14ac:dyDescent="0.2">
      <c r="A41" s="312">
        <v>31</v>
      </c>
      <c r="B41" s="237" t="s">
        <v>456</v>
      </c>
      <c r="C41" s="234" t="s">
        <v>457</v>
      </c>
      <c r="D41" s="314">
        <f t="shared" si="7"/>
        <v>0</v>
      </c>
      <c r="E41" s="314">
        <f t="shared" si="8"/>
        <v>0</v>
      </c>
      <c r="F41" s="314">
        <v>0</v>
      </c>
      <c r="G41" s="314">
        <v>0</v>
      </c>
      <c r="H41" s="314">
        <v>0</v>
      </c>
      <c r="I41" s="314">
        <v>0</v>
      </c>
      <c r="J41" s="314">
        <f t="shared" si="9"/>
        <v>0</v>
      </c>
      <c r="K41" s="314">
        <v>0</v>
      </c>
      <c r="L41" s="314">
        <v>0</v>
      </c>
      <c r="M41" s="314">
        <v>0</v>
      </c>
      <c r="N41" s="314">
        <v>0</v>
      </c>
      <c r="O41" s="314">
        <v>0</v>
      </c>
      <c r="P41" s="314">
        <v>0</v>
      </c>
      <c r="Q41" s="309"/>
      <c r="T41" s="315"/>
      <c r="U41" s="315"/>
    </row>
    <row r="42" spans="1:21" ht="25.5" x14ac:dyDescent="0.2">
      <c r="A42" s="312">
        <v>32</v>
      </c>
      <c r="B42" s="258" t="s">
        <v>62</v>
      </c>
      <c r="C42" s="259" t="s">
        <v>63</v>
      </c>
      <c r="D42" s="314">
        <f t="shared" si="7"/>
        <v>3638</v>
      </c>
      <c r="E42" s="314">
        <f t="shared" si="8"/>
        <v>0</v>
      </c>
      <c r="F42" s="314">
        <v>0</v>
      </c>
      <c r="G42" s="314">
        <v>0</v>
      </c>
      <c r="H42" s="314">
        <v>0</v>
      </c>
      <c r="I42" s="314">
        <v>0</v>
      </c>
      <c r="J42" s="314">
        <f t="shared" si="9"/>
        <v>3638</v>
      </c>
      <c r="K42" s="314">
        <v>270</v>
      </c>
      <c r="L42" s="314">
        <v>0</v>
      </c>
      <c r="M42" s="314">
        <v>30</v>
      </c>
      <c r="N42" s="314">
        <v>0</v>
      </c>
      <c r="O42" s="314">
        <v>3338</v>
      </c>
      <c r="P42" s="314">
        <v>0</v>
      </c>
      <c r="Q42" s="309"/>
      <c r="T42" s="315"/>
      <c r="U42" s="315"/>
    </row>
    <row r="43" spans="1:21" ht="12.75" x14ac:dyDescent="0.2">
      <c r="A43" s="312">
        <v>33</v>
      </c>
      <c r="B43" s="316" t="s">
        <v>64</v>
      </c>
      <c r="C43" s="313" t="s">
        <v>65</v>
      </c>
      <c r="D43" s="314">
        <f t="shared" si="7"/>
        <v>46430</v>
      </c>
      <c r="E43" s="314">
        <f t="shared" si="8"/>
        <v>0</v>
      </c>
      <c r="F43" s="314">
        <v>0</v>
      </c>
      <c r="G43" s="314">
        <v>0</v>
      </c>
      <c r="H43" s="314">
        <v>0</v>
      </c>
      <c r="I43" s="314">
        <v>0</v>
      </c>
      <c r="J43" s="314">
        <f t="shared" si="9"/>
        <v>46430</v>
      </c>
      <c r="K43" s="314">
        <v>8785</v>
      </c>
      <c r="L43" s="314">
        <v>1112</v>
      </c>
      <c r="M43" s="314">
        <v>1650</v>
      </c>
      <c r="N43" s="314">
        <v>516</v>
      </c>
      <c r="O43" s="314">
        <v>26758</v>
      </c>
      <c r="P43" s="314">
        <v>7609</v>
      </c>
      <c r="Q43" s="309"/>
      <c r="T43" s="315"/>
      <c r="U43" s="315"/>
    </row>
    <row r="44" spans="1:21" ht="12.75" x14ac:dyDescent="0.2">
      <c r="A44" s="312">
        <v>34</v>
      </c>
      <c r="B44" s="317" t="s">
        <v>66</v>
      </c>
      <c r="C44" s="318" t="s">
        <v>67</v>
      </c>
      <c r="D44" s="314">
        <f t="shared" si="7"/>
        <v>58079</v>
      </c>
      <c r="E44" s="314">
        <f t="shared" si="8"/>
        <v>0</v>
      </c>
      <c r="F44" s="314">
        <v>0</v>
      </c>
      <c r="G44" s="314">
        <v>0</v>
      </c>
      <c r="H44" s="314">
        <v>0</v>
      </c>
      <c r="I44" s="314">
        <v>0</v>
      </c>
      <c r="J44" s="314">
        <f t="shared" si="9"/>
        <v>58079</v>
      </c>
      <c r="K44" s="314">
        <v>8254</v>
      </c>
      <c r="L44" s="314">
        <v>2550</v>
      </c>
      <c r="M44" s="314">
        <v>0</v>
      </c>
      <c r="N44" s="314">
        <v>1550</v>
      </c>
      <c r="O44" s="314">
        <v>10781</v>
      </c>
      <c r="P44" s="314">
        <v>34944</v>
      </c>
      <c r="Q44" s="309"/>
      <c r="T44" s="315"/>
      <c r="U44" s="315"/>
    </row>
    <row r="45" spans="1:21" ht="12.75" x14ac:dyDescent="0.2">
      <c r="A45" s="312">
        <v>35</v>
      </c>
      <c r="B45" s="282" t="s">
        <v>320</v>
      </c>
      <c r="C45" s="313" t="s">
        <v>321</v>
      </c>
      <c r="D45" s="314">
        <f t="shared" si="7"/>
        <v>10193</v>
      </c>
      <c r="E45" s="314">
        <f t="shared" si="8"/>
        <v>10193</v>
      </c>
      <c r="F45" s="314">
        <v>0</v>
      </c>
      <c r="G45" s="314">
        <v>10193</v>
      </c>
      <c r="H45" s="314">
        <v>0</v>
      </c>
      <c r="I45" s="314">
        <v>0</v>
      </c>
      <c r="J45" s="314">
        <f t="shared" si="9"/>
        <v>0</v>
      </c>
      <c r="K45" s="314">
        <v>0</v>
      </c>
      <c r="L45" s="314">
        <v>0</v>
      </c>
      <c r="M45" s="314">
        <v>0</v>
      </c>
      <c r="N45" s="314">
        <v>0</v>
      </c>
      <c r="O45" s="314">
        <v>0</v>
      </c>
      <c r="P45" s="314">
        <v>0</v>
      </c>
      <c r="Q45" s="309"/>
      <c r="T45" s="315"/>
      <c r="U45" s="315"/>
    </row>
    <row r="46" spans="1:21" ht="12.75" x14ac:dyDescent="0.2">
      <c r="A46" s="312">
        <v>36</v>
      </c>
      <c r="B46" s="316" t="s">
        <v>68</v>
      </c>
      <c r="C46" s="313" t="s">
        <v>69</v>
      </c>
      <c r="D46" s="314">
        <f t="shared" si="7"/>
        <v>11576</v>
      </c>
      <c r="E46" s="314">
        <f t="shared" si="8"/>
        <v>0</v>
      </c>
      <c r="F46" s="314">
        <v>0</v>
      </c>
      <c r="G46" s="314">
        <v>0</v>
      </c>
      <c r="H46" s="314">
        <v>0</v>
      </c>
      <c r="I46" s="314">
        <v>0</v>
      </c>
      <c r="J46" s="314">
        <f t="shared" si="9"/>
        <v>11576</v>
      </c>
      <c r="K46" s="314">
        <v>1200</v>
      </c>
      <c r="L46" s="314">
        <v>150</v>
      </c>
      <c r="M46" s="314">
        <v>4365</v>
      </c>
      <c r="N46" s="314">
        <v>150</v>
      </c>
      <c r="O46" s="314">
        <v>3170</v>
      </c>
      <c r="P46" s="314">
        <v>2541</v>
      </c>
      <c r="Q46" s="309"/>
      <c r="T46" s="315"/>
      <c r="U46" s="315"/>
    </row>
    <row r="47" spans="1:21" ht="12.75" x14ac:dyDescent="0.2">
      <c r="A47" s="312">
        <v>37</v>
      </c>
      <c r="B47" s="258" t="s">
        <v>70</v>
      </c>
      <c r="C47" s="259" t="s">
        <v>71</v>
      </c>
      <c r="D47" s="314">
        <f t="shared" si="7"/>
        <v>34159</v>
      </c>
      <c r="E47" s="314">
        <f t="shared" si="8"/>
        <v>0</v>
      </c>
      <c r="F47" s="314">
        <v>0</v>
      </c>
      <c r="G47" s="314">
        <v>0</v>
      </c>
      <c r="H47" s="314">
        <v>0</v>
      </c>
      <c r="I47" s="314">
        <v>0</v>
      </c>
      <c r="J47" s="314">
        <f t="shared" si="9"/>
        <v>34159</v>
      </c>
      <c r="K47" s="314">
        <v>5896</v>
      </c>
      <c r="L47" s="314">
        <v>1152</v>
      </c>
      <c r="M47" s="314">
        <v>1151</v>
      </c>
      <c r="N47" s="314">
        <v>2300</v>
      </c>
      <c r="O47" s="314">
        <v>16957</v>
      </c>
      <c r="P47" s="314">
        <v>6703</v>
      </c>
      <c r="Q47" s="309"/>
      <c r="T47" s="315"/>
      <c r="U47" s="315"/>
    </row>
    <row r="48" spans="1:21" ht="12.75" x14ac:dyDescent="0.2">
      <c r="A48" s="312">
        <v>38</v>
      </c>
      <c r="B48" s="316" t="s">
        <v>72</v>
      </c>
      <c r="C48" s="313" t="s">
        <v>73</v>
      </c>
      <c r="D48" s="314">
        <f t="shared" si="7"/>
        <v>17224</v>
      </c>
      <c r="E48" s="314">
        <f t="shared" si="8"/>
        <v>0</v>
      </c>
      <c r="F48" s="314">
        <v>0</v>
      </c>
      <c r="G48" s="314">
        <v>0</v>
      </c>
      <c r="H48" s="314">
        <v>0</v>
      </c>
      <c r="I48" s="314">
        <v>0</v>
      </c>
      <c r="J48" s="314">
        <f t="shared" si="9"/>
        <v>17224</v>
      </c>
      <c r="K48" s="314">
        <v>810</v>
      </c>
      <c r="L48" s="314">
        <v>891</v>
      </c>
      <c r="M48" s="314">
        <v>118</v>
      </c>
      <c r="N48" s="314">
        <v>0</v>
      </c>
      <c r="O48" s="314">
        <v>9326</v>
      </c>
      <c r="P48" s="314">
        <v>6079</v>
      </c>
      <c r="Q48" s="309"/>
      <c r="T48" s="315"/>
      <c r="U48" s="315"/>
    </row>
    <row r="49" spans="1:21" ht="12.75" x14ac:dyDescent="0.2">
      <c r="A49" s="312">
        <v>39</v>
      </c>
      <c r="B49" s="282" t="s">
        <v>74</v>
      </c>
      <c r="C49" s="313" t="s">
        <v>458</v>
      </c>
      <c r="D49" s="314">
        <f t="shared" si="7"/>
        <v>36109</v>
      </c>
      <c r="E49" s="314">
        <f t="shared" si="8"/>
        <v>0</v>
      </c>
      <c r="F49" s="314">
        <v>0</v>
      </c>
      <c r="G49" s="314">
        <v>0</v>
      </c>
      <c r="H49" s="314">
        <v>0</v>
      </c>
      <c r="I49" s="314">
        <v>0</v>
      </c>
      <c r="J49" s="314">
        <f t="shared" si="9"/>
        <v>36109</v>
      </c>
      <c r="K49" s="314">
        <v>670</v>
      </c>
      <c r="L49" s="314">
        <v>1712</v>
      </c>
      <c r="M49" s="314">
        <v>535</v>
      </c>
      <c r="N49" s="314">
        <v>15</v>
      </c>
      <c r="O49" s="314">
        <v>4977</v>
      </c>
      <c r="P49" s="314">
        <v>28200</v>
      </c>
      <c r="Q49" s="309"/>
      <c r="T49" s="315"/>
      <c r="U49" s="315"/>
    </row>
    <row r="50" spans="1:21" ht="12.75" x14ac:dyDescent="0.2">
      <c r="A50" s="312">
        <v>40</v>
      </c>
      <c r="B50" s="319" t="s">
        <v>75</v>
      </c>
      <c r="C50" s="320" t="s">
        <v>459</v>
      </c>
      <c r="D50" s="314">
        <f t="shared" si="7"/>
        <v>11980</v>
      </c>
      <c r="E50" s="314">
        <f t="shared" si="8"/>
        <v>0</v>
      </c>
      <c r="F50" s="314">
        <v>0</v>
      </c>
      <c r="G50" s="314">
        <v>0</v>
      </c>
      <c r="H50" s="314">
        <v>0</v>
      </c>
      <c r="I50" s="314">
        <v>0</v>
      </c>
      <c r="J50" s="314">
        <f t="shared" si="9"/>
        <v>11980</v>
      </c>
      <c r="K50" s="314">
        <v>510</v>
      </c>
      <c r="L50" s="314">
        <v>210</v>
      </c>
      <c r="M50" s="314">
        <v>88</v>
      </c>
      <c r="N50" s="314">
        <v>820</v>
      </c>
      <c r="O50" s="314">
        <v>7637</v>
      </c>
      <c r="P50" s="314">
        <v>2715</v>
      </c>
      <c r="Q50" s="309"/>
      <c r="T50" s="315"/>
      <c r="U50" s="315"/>
    </row>
    <row r="51" spans="1:21" ht="12.75" x14ac:dyDescent="0.2">
      <c r="A51" s="312">
        <v>41</v>
      </c>
      <c r="B51" s="282" t="s">
        <v>76</v>
      </c>
      <c r="C51" s="313" t="s">
        <v>460</v>
      </c>
      <c r="D51" s="314">
        <f t="shared" si="7"/>
        <v>6464</v>
      </c>
      <c r="E51" s="314">
        <f t="shared" si="8"/>
        <v>0</v>
      </c>
      <c r="F51" s="314">
        <v>0</v>
      </c>
      <c r="G51" s="314">
        <v>0</v>
      </c>
      <c r="H51" s="314">
        <v>0</v>
      </c>
      <c r="I51" s="314">
        <v>0</v>
      </c>
      <c r="J51" s="314">
        <f t="shared" si="9"/>
        <v>6464</v>
      </c>
      <c r="K51" s="314">
        <v>0</v>
      </c>
      <c r="L51" s="314">
        <v>0</v>
      </c>
      <c r="M51" s="314">
        <v>0</v>
      </c>
      <c r="N51" s="314">
        <v>0</v>
      </c>
      <c r="O51" s="314">
        <v>6394</v>
      </c>
      <c r="P51" s="314">
        <v>70</v>
      </c>
      <c r="Q51" s="309"/>
      <c r="T51" s="315"/>
      <c r="U51" s="315"/>
    </row>
    <row r="52" spans="1:21" ht="12.75" x14ac:dyDescent="0.2">
      <c r="A52" s="312">
        <v>42</v>
      </c>
      <c r="B52" s="317" t="s">
        <v>77</v>
      </c>
      <c r="C52" s="318" t="s">
        <v>78</v>
      </c>
      <c r="D52" s="314">
        <f t="shared" si="7"/>
        <v>19535</v>
      </c>
      <c r="E52" s="314">
        <f t="shared" si="8"/>
        <v>0</v>
      </c>
      <c r="F52" s="314">
        <v>0</v>
      </c>
      <c r="G52" s="314">
        <v>0</v>
      </c>
      <c r="H52" s="314">
        <v>0</v>
      </c>
      <c r="I52" s="314">
        <v>0</v>
      </c>
      <c r="J52" s="314">
        <f t="shared" si="9"/>
        <v>19535</v>
      </c>
      <c r="K52" s="314">
        <v>421</v>
      </c>
      <c r="L52" s="314">
        <v>107</v>
      </c>
      <c r="M52" s="314">
        <v>475</v>
      </c>
      <c r="N52" s="314">
        <v>80</v>
      </c>
      <c r="O52" s="314">
        <v>10840</v>
      </c>
      <c r="P52" s="314">
        <v>7612</v>
      </c>
      <c r="Q52" s="309"/>
      <c r="T52" s="315"/>
      <c r="U52" s="315"/>
    </row>
    <row r="53" spans="1:21" ht="12.75" x14ac:dyDescent="0.2">
      <c r="A53" s="312">
        <v>43</v>
      </c>
      <c r="B53" s="258" t="s">
        <v>322</v>
      </c>
      <c r="C53" s="259" t="s">
        <v>323</v>
      </c>
      <c r="D53" s="314">
        <f t="shared" si="7"/>
        <v>5481</v>
      </c>
      <c r="E53" s="314">
        <f t="shared" si="8"/>
        <v>0</v>
      </c>
      <c r="F53" s="314">
        <v>0</v>
      </c>
      <c r="G53" s="314">
        <v>0</v>
      </c>
      <c r="H53" s="314">
        <v>0</v>
      </c>
      <c r="I53" s="314">
        <v>0</v>
      </c>
      <c r="J53" s="314">
        <f t="shared" si="9"/>
        <v>5481</v>
      </c>
      <c r="K53" s="314">
        <v>1060</v>
      </c>
      <c r="L53" s="314">
        <v>1110</v>
      </c>
      <c r="M53" s="314">
        <v>288</v>
      </c>
      <c r="N53" s="314">
        <v>126</v>
      </c>
      <c r="O53" s="314">
        <v>1515</v>
      </c>
      <c r="P53" s="314">
        <v>1382</v>
      </c>
      <c r="Q53" s="309"/>
      <c r="T53" s="315"/>
      <c r="U53" s="315"/>
    </row>
    <row r="54" spans="1:21" ht="12.75" x14ac:dyDescent="0.2">
      <c r="A54" s="312">
        <v>44</v>
      </c>
      <c r="B54" s="316" t="s">
        <v>79</v>
      </c>
      <c r="C54" s="313" t="s">
        <v>80</v>
      </c>
      <c r="D54" s="314">
        <f t="shared" si="7"/>
        <v>2724</v>
      </c>
      <c r="E54" s="314">
        <f t="shared" si="8"/>
        <v>0</v>
      </c>
      <c r="F54" s="314">
        <v>0</v>
      </c>
      <c r="G54" s="314">
        <v>0</v>
      </c>
      <c r="H54" s="314">
        <v>0</v>
      </c>
      <c r="I54" s="314">
        <v>0</v>
      </c>
      <c r="J54" s="314">
        <f t="shared" si="9"/>
        <v>2724</v>
      </c>
      <c r="K54" s="314">
        <v>2036</v>
      </c>
      <c r="L54" s="314">
        <v>0</v>
      </c>
      <c r="M54" s="314">
        <v>68</v>
      </c>
      <c r="N54" s="314">
        <v>0</v>
      </c>
      <c r="O54" s="314">
        <v>620</v>
      </c>
      <c r="P54" s="314">
        <v>0</v>
      </c>
      <c r="Q54" s="309"/>
      <c r="T54" s="315"/>
      <c r="U54" s="315"/>
    </row>
    <row r="55" spans="1:21" ht="12.75" x14ac:dyDescent="0.2">
      <c r="A55" s="312">
        <v>45</v>
      </c>
      <c r="B55" s="258" t="s">
        <v>81</v>
      </c>
      <c r="C55" s="259" t="s">
        <v>82</v>
      </c>
      <c r="D55" s="314">
        <f t="shared" si="7"/>
        <v>63471</v>
      </c>
      <c r="E55" s="314">
        <f t="shared" si="8"/>
        <v>0</v>
      </c>
      <c r="F55" s="314">
        <v>0</v>
      </c>
      <c r="G55" s="314">
        <v>0</v>
      </c>
      <c r="H55" s="314">
        <v>0</v>
      </c>
      <c r="I55" s="314">
        <v>0</v>
      </c>
      <c r="J55" s="314">
        <f t="shared" si="9"/>
        <v>63471</v>
      </c>
      <c r="K55" s="314">
        <v>18303</v>
      </c>
      <c r="L55" s="314">
        <v>3816</v>
      </c>
      <c r="M55" s="314">
        <v>11</v>
      </c>
      <c r="N55" s="314">
        <v>0</v>
      </c>
      <c r="O55" s="314">
        <v>22400</v>
      </c>
      <c r="P55" s="314">
        <v>18941</v>
      </c>
      <c r="Q55" s="309"/>
      <c r="T55" s="315"/>
      <c r="U55" s="315"/>
    </row>
    <row r="56" spans="1:21" ht="12.75" x14ac:dyDescent="0.2">
      <c r="A56" s="312">
        <v>46</v>
      </c>
      <c r="B56" s="282" t="s">
        <v>83</v>
      </c>
      <c r="C56" s="313" t="s">
        <v>461</v>
      </c>
      <c r="D56" s="314">
        <f t="shared" si="7"/>
        <v>6013</v>
      </c>
      <c r="E56" s="314">
        <f t="shared" si="8"/>
        <v>0</v>
      </c>
      <c r="F56" s="314">
        <v>0</v>
      </c>
      <c r="G56" s="314">
        <v>0</v>
      </c>
      <c r="H56" s="314">
        <v>0</v>
      </c>
      <c r="I56" s="314">
        <v>0</v>
      </c>
      <c r="J56" s="314">
        <f t="shared" si="9"/>
        <v>6013</v>
      </c>
      <c r="K56" s="314">
        <v>2663</v>
      </c>
      <c r="L56" s="314">
        <v>91</v>
      </c>
      <c r="M56" s="314">
        <v>182</v>
      </c>
      <c r="N56" s="314">
        <v>54</v>
      </c>
      <c r="O56" s="314">
        <v>2173</v>
      </c>
      <c r="P56" s="314">
        <v>850</v>
      </c>
      <c r="Q56" s="309"/>
      <c r="T56" s="315"/>
      <c r="U56" s="315"/>
    </row>
    <row r="57" spans="1:21" ht="12.75" x14ac:dyDescent="0.2">
      <c r="A57" s="312">
        <v>47</v>
      </c>
      <c r="B57" s="282" t="s">
        <v>84</v>
      </c>
      <c r="C57" s="313" t="s">
        <v>85</v>
      </c>
      <c r="D57" s="314">
        <f t="shared" si="7"/>
        <v>56786</v>
      </c>
      <c r="E57" s="314">
        <f t="shared" si="8"/>
        <v>0</v>
      </c>
      <c r="F57" s="314">
        <v>0</v>
      </c>
      <c r="G57" s="314">
        <v>0</v>
      </c>
      <c r="H57" s="314">
        <v>0</v>
      </c>
      <c r="I57" s="314">
        <v>0</v>
      </c>
      <c r="J57" s="314">
        <f t="shared" si="9"/>
        <v>56786</v>
      </c>
      <c r="K57" s="314">
        <v>4975</v>
      </c>
      <c r="L57" s="314">
        <v>1629</v>
      </c>
      <c r="M57" s="314">
        <v>202</v>
      </c>
      <c r="N57" s="314">
        <v>202</v>
      </c>
      <c r="O57" s="314">
        <v>12915</v>
      </c>
      <c r="P57" s="314">
        <v>36863</v>
      </c>
      <c r="Q57" s="309"/>
      <c r="T57" s="315"/>
      <c r="U57" s="315"/>
    </row>
    <row r="58" spans="1:21" ht="12.75" x14ac:dyDescent="0.2">
      <c r="A58" s="312">
        <v>48</v>
      </c>
      <c r="B58" s="321" t="s">
        <v>86</v>
      </c>
      <c r="C58" s="322" t="s">
        <v>87</v>
      </c>
      <c r="D58" s="314">
        <f t="shared" si="7"/>
        <v>8373</v>
      </c>
      <c r="E58" s="314">
        <f t="shared" si="8"/>
        <v>0</v>
      </c>
      <c r="F58" s="314">
        <v>0</v>
      </c>
      <c r="G58" s="314">
        <v>0</v>
      </c>
      <c r="H58" s="314">
        <v>0</v>
      </c>
      <c r="I58" s="314">
        <v>0</v>
      </c>
      <c r="J58" s="314">
        <f t="shared" si="9"/>
        <v>8373</v>
      </c>
      <c r="K58" s="314">
        <v>3025</v>
      </c>
      <c r="L58" s="314">
        <v>410</v>
      </c>
      <c r="M58" s="314">
        <v>500</v>
      </c>
      <c r="N58" s="314">
        <v>150</v>
      </c>
      <c r="O58" s="314">
        <v>2158</v>
      </c>
      <c r="P58" s="314">
        <v>2130</v>
      </c>
      <c r="Q58" s="309"/>
      <c r="T58" s="315"/>
      <c r="U58" s="315"/>
    </row>
    <row r="59" spans="1:21" ht="12.75" x14ac:dyDescent="0.2">
      <c r="A59" s="312">
        <v>49</v>
      </c>
      <c r="B59" s="258" t="s">
        <v>88</v>
      </c>
      <c r="C59" s="259" t="s">
        <v>462</v>
      </c>
      <c r="D59" s="314">
        <f t="shared" si="7"/>
        <v>15665</v>
      </c>
      <c r="E59" s="314">
        <f t="shared" si="8"/>
        <v>0</v>
      </c>
      <c r="F59" s="314">
        <v>0</v>
      </c>
      <c r="G59" s="314">
        <v>0</v>
      </c>
      <c r="H59" s="314">
        <v>0</v>
      </c>
      <c r="I59" s="314">
        <v>0</v>
      </c>
      <c r="J59" s="314">
        <f t="shared" si="9"/>
        <v>15665</v>
      </c>
      <c r="K59" s="314">
        <v>2324</v>
      </c>
      <c r="L59" s="314">
        <v>1170</v>
      </c>
      <c r="M59" s="314">
        <v>434</v>
      </c>
      <c r="N59" s="314">
        <v>700</v>
      </c>
      <c r="O59" s="314">
        <v>4582</v>
      </c>
      <c r="P59" s="314">
        <v>6455</v>
      </c>
      <c r="Q59" s="309"/>
      <c r="T59" s="315"/>
      <c r="U59" s="315"/>
    </row>
    <row r="60" spans="1:21" ht="12.75" x14ac:dyDescent="0.2">
      <c r="A60" s="312">
        <v>50</v>
      </c>
      <c r="B60" s="316" t="s">
        <v>89</v>
      </c>
      <c r="C60" s="313" t="s">
        <v>90</v>
      </c>
      <c r="D60" s="314">
        <f t="shared" si="7"/>
        <v>17676</v>
      </c>
      <c r="E60" s="314">
        <f t="shared" si="8"/>
        <v>0</v>
      </c>
      <c r="F60" s="314">
        <v>0</v>
      </c>
      <c r="G60" s="314">
        <v>0</v>
      </c>
      <c r="H60" s="314">
        <v>0</v>
      </c>
      <c r="I60" s="314">
        <v>0</v>
      </c>
      <c r="J60" s="314">
        <f t="shared" si="9"/>
        <v>17676</v>
      </c>
      <c r="K60" s="314">
        <v>500</v>
      </c>
      <c r="L60" s="314">
        <v>500</v>
      </c>
      <c r="M60" s="314">
        <v>0</v>
      </c>
      <c r="N60" s="314">
        <v>0</v>
      </c>
      <c r="O60" s="314">
        <v>9470</v>
      </c>
      <c r="P60" s="314">
        <v>7206</v>
      </c>
      <c r="Q60" s="309"/>
      <c r="T60" s="315"/>
      <c r="U60" s="315"/>
    </row>
    <row r="61" spans="1:21" ht="12.75" x14ac:dyDescent="0.2">
      <c r="A61" s="312">
        <v>51</v>
      </c>
      <c r="B61" s="258" t="s">
        <v>91</v>
      </c>
      <c r="C61" s="259" t="s">
        <v>92</v>
      </c>
      <c r="D61" s="314">
        <f t="shared" si="7"/>
        <v>2723</v>
      </c>
      <c r="E61" s="314">
        <f t="shared" si="8"/>
        <v>0</v>
      </c>
      <c r="F61" s="314">
        <v>0</v>
      </c>
      <c r="G61" s="314">
        <v>0</v>
      </c>
      <c r="H61" s="314">
        <v>0</v>
      </c>
      <c r="I61" s="314">
        <v>0</v>
      </c>
      <c r="J61" s="314">
        <f t="shared" si="9"/>
        <v>2723</v>
      </c>
      <c r="K61" s="314">
        <v>372</v>
      </c>
      <c r="L61" s="314">
        <v>125</v>
      </c>
      <c r="M61" s="314">
        <v>102</v>
      </c>
      <c r="N61" s="314">
        <v>3</v>
      </c>
      <c r="O61" s="314">
        <v>1766</v>
      </c>
      <c r="P61" s="314">
        <v>355</v>
      </c>
      <c r="Q61" s="309"/>
      <c r="T61" s="315"/>
      <c r="U61" s="315"/>
    </row>
    <row r="62" spans="1:21" ht="12.75" x14ac:dyDescent="0.2">
      <c r="A62" s="312">
        <v>52</v>
      </c>
      <c r="B62" s="316" t="s">
        <v>93</v>
      </c>
      <c r="C62" s="313" t="s">
        <v>94</v>
      </c>
      <c r="D62" s="314">
        <f t="shared" si="7"/>
        <v>14597</v>
      </c>
      <c r="E62" s="314">
        <f t="shared" si="8"/>
        <v>0</v>
      </c>
      <c r="F62" s="314">
        <v>0</v>
      </c>
      <c r="G62" s="314">
        <v>0</v>
      </c>
      <c r="H62" s="314">
        <v>0</v>
      </c>
      <c r="I62" s="314">
        <v>0</v>
      </c>
      <c r="J62" s="314">
        <f t="shared" si="9"/>
        <v>14597</v>
      </c>
      <c r="K62" s="314">
        <v>2795</v>
      </c>
      <c r="L62" s="314">
        <v>935</v>
      </c>
      <c r="M62" s="314">
        <v>156</v>
      </c>
      <c r="N62" s="314">
        <v>50</v>
      </c>
      <c r="O62" s="314">
        <v>2530</v>
      </c>
      <c r="P62" s="314">
        <v>8131</v>
      </c>
      <c r="Q62" s="309"/>
      <c r="T62" s="315"/>
      <c r="U62" s="315"/>
    </row>
    <row r="63" spans="1:21" ht="12.75" x14ac:dyDescent="0.2">
      <c r="A63" s="312">
        <v>53</v>
      </c>
      <c r="B63" s="258" t="s">
        <v>95</v>
      </c>
      <c r="C63" s="259" t="s">
        <v>463</v>
      </c>
      <c r="D63" s="314">
        <f t="shared" si="7"/>
        <v>20836</v>
      </c>
      <c r="E63" s="314">
        <f t="shared" si="8"/>
        <v>0</v>
      </c>
      <c r="F63" s="314">
        <v>0</v>
      </c>
      <c r="G63" s="314">
        <v>0</v>
      </c>
      <c r="H63" s="314">
        <v>0</v>
      </c>
      <c r="I63" s="314">
        <v>0</v>
      </c>
      <c r="J63" s="314">
        <f t="shared" si="9"/>
        <v>20836</v>
      </c>
      <c r="K63" s="314">
        <v>2400</v>
      </c>
      <c r="L63" s="314">
        <v>690</v>
      </c>
      <c r="M63" s="314">
        <v>412</v>
      </c>
      <c r="N63" s="314">
        <v>20</v>
      </c>
      <c r="O63" s="314">
        <v>9600</v>
      </c>
      <c r="P63" s="314">
        <v>7714</v>
      </c>
      <c r="Q63" s="309"/>
      <c r="T63" s="315"/>
      <c r="U63" s="315"/>
    </row>
    <row r="64" spans="1:21" ht="12.75" x14ac:dyDescent="0.2">
      <c r="A64" s="312">
        <v>54</v>
      </c>
      <c r="B64" s="258" t="s">
        <v>96</v>
      </c>
      <c r="C64" s="259" t="s">
        <v>97</v>
      </c>
      <c r="D64" s="314">
        <f t="shared" si="7"/>
        <v>52517</v>
      </c>
      <c r="E64" s="314">
        <f t="shared" si="8"/>
        <v>0</v>
      </c>
      <c r="F64" s="314">
        <v>0</v>
      </c>
      <c r="G64" s="314">
        <v>0</v>
      </c>
      <c r="H64" s="314">
        <v>0</v>
      </c>
      <c r="I64" s="314">
        <v>0</v>
      </c>
      <c r="J64" s="314">
        <f t="shared" si="9"/>
        <v>52517</v>
      </c>
      <c r="K64" s="314">
        <v>13994</v>
      </c>
      <c r="L64" s="314">
        <v>2000</v>
      </c>
      <c r="M64" s="314">
        <v>3439</v>
      </c>
      <c r="N64" s="314">
        <v>1450</v>
      </c>
      <c r="O64" s="314">
        <v>10337</v>
      </c>
      <c r="P64" s="314">
        <v>21297</v>
      </c>
      <c r="Q64" s="309"/>
      <c r="T64" s="315"/>
      <c r="U64" s="315"/>
    </row>
    <row r="65" spans="1:21" ht="12.75" x14ac:dyDescent="0.2">
      <c r="A65" s="312">
        <v>55</v>
      </c>
      <c r="B65" s="258" t="s">
        <v>98</v>
      </c>
      <c r="C65" s="259" t="s">
        <v>464</v>
      </c>
      <c r="D65" s="314">
        <f t="shared" si="7"/>
        <v>16529</v>
      </c>
      <c r="E65" s="314">
        <f t="shared" si="8"/>
        <v>0</v>
      </c>
      <c r="F65" s="314">
        <v>0</v>
      </c>
      <c r="G65" s="314">
        <v>0</v>
      </c>
      <c r="H65" s="314">
        <v>0</v>
      </c>
      <c r="I65" s="314">
        <v>0</v>
      </c>
      <c r="J65" s="314">
        <f t="shared" si="9"/>
        <v>16529</v>
      </c>
      <c r="K65" s="314">
        <v>190</v>
      </c>
      <c r="L65" s="314">
        <v>0</v>
      </c>
      <c r="M65" s="314">
        <v>1533</v>
      </c>
      <c r="N65" s="314">
        <v>0</v>
      </c>
      <c r="O65" s="314">
        <v>4146</v>
      </c>
      <c r="P65" s="314">
        <v>10660</v>
      </c>
      <c r="Q65" s="309"/>
      <c r="T65" s="315"/>
      <c r="U65" s="315"/>
    </row>
    <row r="66" spans="1:21" x14ac:dyDescent="0.2">
      <c r="A66" s="312">
        <v>56</v>
      </c>
      <c r="B66" s="248" t="s">
        <v>325</v>
      </c>
      <c r="C66" s="238" t="s">
        <v>465</v>
      </c>
      <c r="D66" s="314">
        <f t="shared" si="7"/>
        <v>0</v>
      </c>
      <c r="E66" s="314">
        <f t="shared" si="8"/>
        <v>0</v>
      </c>
      <c r="F66" s="314">
        <v>0</v>
      </c>
      <c r="G66" s="314">
        <v>0</v>
      </c>
      <c r="H66" s="314">
        <v>0</v>
      </c>
      <c r="I66" s="314">
        <v>0</v>
      </c>
      <c r="J66" s="314">
        <f t="shared" si="9"/>
        <v>0</v>
      </c>
      <c r="K66" s="314">
        <v>0</v>
      </c>
      <c r="L66" s="314">
        <v>0</v>
      </c>
      <c r="M66" s="314">
        <v>0</v>
      </c>
      <c r="N66" s="314">
        <v>0</v>
      </c>
      <c r="O66" s="314">
        <v>0</v>
      </c>
      <c r="P66" s="314">
        <v>0</v>
      </c>
      <c r="Q66" s="309"/>
      <c r="T66" s="315"/>
      <c r="U66" s="315"/>
    </row>
    <row r="67" spans="1:21" x14ac:dyDescent="0.2">
      <c r="A67" s="312">
        <v>57</v>
      </c>
      <c r="B67" s="248" t="s">
        <v>466</v>
      </c>
      <c r="C67" s="238" t="s">
        <v>467</v>
      </c>
      <c r="D67" s="314">
        <f t="shared" si="7"/>
        <v>0</v>
      </c>
      <c r="E67" s="314">
        <f t="shared" si="8"/>
        <v>0</v>
      </c>
      <c r="F67" s="314">
        <v>0</v>
      </c>
      <c r="G67" s="314">
        <v>0</v>
      </c>
      <c r="H67" s="314">
        <v>0</v>
      </c>
      <c r="I67" s="314">
        <v>0</v>
      </c>
      <c r="J67" s="314">
        <f t="shared" si="9"/>
        <v>0</v>
      </c>
      <c r="K67" s="314">
        <v>0</v>
      </c>
      <c r="L67" s="314">
        <v>0</v>
      </c>
      <c r="M67" s="314">
        <v>0</v>
      </c>
      <c r="N67" s="314">
        <v>0</v>
      </c>
      <c r="O67" s="314">
        <v>0</v>
      </c>
      <c r="P67" s="314">
        <v>0</v>
      </c>
      <c r="Q67" s="309"/>
      <c r="T67" s="315"/>
      <c r="U67" s="315"/>
    </row>
    <row r="68" spans="1:21" ht="25.5" x14ac:dyDescent="0.2">
      <c r="A68" s="312">
        <v>58</v>
      </c>
      <c r="B68" s="258" t="s">
        <v>99</v>
      </c>
      <c r="C68" s="259" t="s">
        <v>100</v>
      </c>
      <c r="D68" s="314">
        <f t="shared" si="7"/>
        <v>82685</v>
      </c>
      <c r="E68" s="314">
        <f t="shared" si="8"/>
        <v>0</v>
      </c>
      <c r="F68" s="314">
        <v>0</v>
      </c>
      <c r="G68" s="314">
        <v>0</v>
      </c>
      <c r="H68" s="314">
        <v>0</v>
      </c>
      <c r="I68" s="314">
        <v>0</v>
      </c>
      <c r="J68" s="314">
        <f t="shared" si="9"/>
        <v>82685</v>
      </c>
      <c r="K68" s="314">
        <v>0</v>
      </c>
      <c r="L68" s="314">
        <v>4455</v>
      </c>
      <c r="M68" s="314">
        <v>0</v>
      </c>
      <c r="N68" s="314">
        <v>0</v>
      </c>
      <c r="O68" s="314">
        <v>0</v>
      </c>
      <c r="P68" s="314">
        <v>78230</v>
      </c>
      <c r="Q68" s="309"/>
      <c r="T68" s="315"/>
      <c r="U68" s="315"/>
    </row>
    <row r="69" spans="1:21" ht="25.5" x14ac:dyDescent="0.2">
      <c r="A69" s="312">
        <v>59</v>
      </c>
      <c r="B69" s="316" t="s">
        <v>101</v>
      </c>
      <c r="C69" s="259" t="s">
        <v>468</v>
      </c>
      <c r="D69" s="314">
        <f t="shared" si="7"/>
        <v>64462</v>
      </c>
      <c r="E69" s="314">
        <f t="shared" si="8"/>
        <v>0</v>
      </c>
      <c r="F69" s="314">
        <v>0</v>
      </c>
      <c r="G69" s="314">
        <v>0</v>
      </c>
      <c r="H69" s="314">
        <v>0</v>
      </c>
      <c r="I69" s="314">
        <v>0</v>
      </c>
      <c r="J69" s="314">
        <f t="shared" si="9"/>
        <v>64462</v>
      </c>
      <c r="K69" s="314">
        <v>0</v>
      </c>
      <c r="L69" s="314">
        <v>1360</v>
      </c>
      <c r="M69" s="314">
        <v>0</v>
      </c>
      <c r="N69" s="314">
        <v>0</v>
      </c>
      <c r="O69" s="314">
        <v>0</v>
      </c>
      <c r="P69" s="314">
        <v>63102</v>
      </c>
      <c r="Q69" s="309"/>
      <c r="T69" s="315"/>
      <c r="U69" s="315"/>
    </row>
    <row r="70" spans="1:21" ht="25.5" x14ac:dyDescent="0.2">
      <c r="A70" s="312">
        <v>60</v>
      </c>
      <c r="B70" s="317" t="s">
        <v>102</v>
      </c>
      <c r="C70" s="318" t="s">
        <v>103</v>
      </c>
      <c r="D70" s="314">
        <f t="shared" si="7"/>
        <v>81537</v>
      </c>
      <c r="E70" s="314">
        <f t="shared" si="8"/>
        <v>0</v>
      </c>
      <c r="F70" s="314">
        <v>0</v>
      </c>
      <c r="G70" s="314">
        <v>0</v>
      </c>
      <c r="H70" s="314">
        <v>0</v>
      </c>
      <c r="I70" s="314">
        <v>0</v>
      </c>
      <c r="J70" s="314">
        <f t="shared" si="9"/>
        <v>81537</v>
      </c>
      <c r="K70" s="314">
        <v>0</v>
      </c>
      <c r="L70" s="314">
        <v>0</v>
      </c>
      <c r="M70" s="314">
        <v>0</v>
      </c>
      <c r="N70" s="314">
        <v>1000</v>
      </c>
      <c r="O70" s="314">
        <v>0</v>
      </c>
      <c r="P70" s="314">
        <v>80537</v>
      </c>
      <c r="Q70" s="309"/>
      <c r="T70" s="315"/>
      <c r="U70" s="315"/>
    </row>
    <row r="71" spans="1:21" ht="25.5" x14ac:dyDescent="0.2">
      <c r="A71" s="312">
        <v>61</v>
      </c>
      <c r="B71" s="316" t="s">
        <v>104</v>
      </c>
      <c r="C71" s="259" t="s">
        <v>469</v>
      </c>
      <c r="D71" s="314">
        <f t="shared" si="7"/>
        <v>125743</v>
      </c>
      <c r="E71" s="314">
        <f t="shared" si="8"/>
        <v>0</v>
      </c>
      <c r="F71" s="314">
        <v>0</v>
      </c>
      <c r="G71" s="314">
        <v>0</v>
      </c>
      <c r="H71" s="314">
        <v>0</v>
      </c>
      <c r="I71" s="314">
        <v>0</v>
      </c>
      <c r="J71" s="314">
        <f t="shared" si="9"/>
        <v>125743</v>
      </c>
      <c r="K71" s="314">
        <v>0</v>
      </c>
      <c r="L71" s="314">
        <v>17250</v>
      </c>
      <c r="M71" s="314">
        <v>0</v>
      </c>
      <c r="N71" s="314">
        <v>0</v>
      </c>
      <c r="O71" s="314">
        <v>0</v>
      </c>
      <c r="P71" s="314">
        <v>108493</v>
      </c>
      <c r="Q71" s="309"/>
      <c r="T71" s="315"/>
      <c r="U71" s="315"/>
    </row>
    <row r="72" spans="1:21" ht="25.5" x14ac:dyDescent="0.2">
      <c r="A72" s="312">
        <v>62</v>
      </c>
      <c r="B72" s="258" t="s">
        <v>105</v>
      </c>
      <c r="C72" s="259" t="s">
        <v>106</v>
      </c>
      <c r="D72" s="314">
        <f t="shared" si="7"/>
        <v>40750</v>
      </c>
      <c r="E72" s="314">
        <f t="shared" si="8"/>
        <v>0</v>
      </c>
      <c r="F72" s="314">
        <v>0</v>
      </c>
      <c r="G72" s="314">
        <v>0</v>
      </c>
      <c r="H72" s="314">
        <v>0</v>
      </c>
      <c r="I72" s="314">
        <v>0</v>
      </c>
      <c r="J72" s="314">
        <f t="shared" si="9"/>
        <v>40750</v>
      </c>
      <c r="K72" s="314">
        <v>0</v>
      </c>
      <c r="L72" s="314">
        <v>575</v>
      </c>
      <c r="M72" s="314">
        <v>0</v>
      </c>
      <c r="N72" s="314">
        <v>1800</v>
      </c>
      <c r="O72" s="314">
        <v>0</v>
      </c>
      <c r="P72" s="314">
        <v>38375</v>
      </c>
      <c r="Q72" s="309"/>
      <c r="T72" s="315"/>
      <c r="U72" s="315"/>
    </row>
    <row r="73" spans="1:21" ht="38.25" x14ac:dyDescent="0.2">
      <c r="A73" s="312">
        <v>63</v>
      </c>
      <c r="B73" s="282" t="s">
        <v>332</v>
      </c>
      <c r="C73" s="259" t="s">
        <v>470</v>
      </c>
      <c r="D73" s="314">
        <f t="shared" si="7"/>
        <v>12</v>
      </c>
      <c r="E73" s="314">
        <f t="shared" si="8"/>
        <v>12</v>
      </c>
      <c r="F73" s="314">
        <v>0</v>
      </c>
      <c r="G73" s="314">
        <v>0</v>
      </c>
      <c r="H73" s="314">
        <v>0</v>
      </c>
      <c r="I73" s="314">
        <v>12</v>
      </c>
      <c r="J73" s="314">
        <f t="shared" si="9"/>
        <v>0</v>
      </c>
      <c r="K73" s="314">
        <v>0</v>
      </c>
      <c r="L73" s="314">
        <v>0</v>
      </c>
      <c r="M73" s="314">
        <v>0</v>
      </c>
      <c r="N73" s="314">
        <v>0</v>
      </c>
      <c r="O73" s="314">
        <v>0</v>
      </c>
      <c r="P73" s="314">
        <v>0</v>
      </c>
      <c r="Q73" s="309"/>
      <c r="T73" s="315"/>
      <c r="U73" s="315"/>
    </row>
    <row r="74" spans="1:21" ht="38.25" x14ac:dyDescent="0.2">
      <c r="A74" s="312">
        <v>64</v>
      </c>
      <c r="B74" s="282" t="s">
        <v>334</v>
      </c>
      <c r="C74" s="259" t="s">
        <v>471</v>
      </c>
      <c r="D74" s="314">
        <f t="shared" si="7"/>
        <v>30</v>
      </c>
      <c r="E74" s="314">
        <f t="shared" si="8"/>
        <v>30</v>
      </c>
      <c r="F74" s="314">
        <v>0</v>
      </c>
      <c r="G74" s="314">
        <v>0</v>
      </c>
      <c r="H74" s="314">
        <v>0</v>
      </c>
      <c r="I74" s="314">
        <v>30</v>
      </c>
      <c r="J74" s="314">
        <f t="shared" si="9"/>
        <v>0</v>
      </c>
      <c r="K74" s="314">
        <v>0</v>
      </c>
      <c r="L74" s="314">
        <v>0</v>
      </c>
      <c r="M74" s="314">
        <v>0</v>
      </c>
      <c r="N74" s="314">
        <v>0</v>
      </c>
      <c r="O74" s="314">
        <v>0</v>
      </c>
      <c r="P74" s="314">
        <v>0</v>
      </c>
      <c r="Q74" s="309"/>
      <c r="T74" s="315"/>
      <c r="U74" s="315"/>
    </row>
    <row r="75" spans="1:21" ht="12.75" x14ac:dyDescent="0.2">
      <c r="A75" s="312">
        <v>65</v>
      </c>
      <c r="B75" s="316" t="s">
        <v>107</v>
      </c>
      <c r="C75" s="259" t="s">
        <v>472</v>
      </c>
      <c r="D75" s="314">
        <f t="shared" si="7"/>
        <v>20701</v>
      </c>
      <c r="E75" s="314">
        <f t="shared" si="8"/>
        <v>0</v>
      </c>
      <c r="F75" s="314">
        <v>0</v>
      </c>
      <c r="G75" s="314">
        <v>0</v>
      </c>
      <c r="H75" s="314">
        <v>0</v>
      </c>
      <c r="I75" s="314">
        <v>0</v>
      </c>
      <c r="J75" s="314">
        <f t="shared" si="9"/>
        <v>20701</v>
      </c>
      <c r="K75" s="314">
        <v>1740</v>
      </c>
      <c r="L75" s="314">
        <v>83</v>
      </c>
      <c r="M75" s="314">
        <v>0</v>
      </c>
      <c r="N75" s="314">
        <v>0</v>
      </c>
      <c r="O75" s="314">
        <v>18173</v>
      </c>
      <c r="P75" s="314">
        <v>705</v>
      </c>
      <c r="Q75" s="309"/>
      <c r="T75" s="315"/>
      <c r="U75" s="315"/>
    </row>
    <row r="76" spans="1:21" ht="12.75" x14ac:dyDescent="0.2">
      <c r="A76" s="312">
        <v>66</v>
      </c>
      <c r="B76" s="282" t="s">
        <v>108</v>
      </c>
      <c r="C76" s="259" t="s">
        <v>473</v>
      </c>
      <c r="D76" s="314">
        <f t="shared" si="7"/>
        <v>2137</v>
      </c>
      <c r="E76" s="314">
        <f t="shared" si="8"/>
        <v>0</v>
      </c>
      <c r="F76" s="314">
        <v>0</v>
      </c>
      <c r="G76" s="314">
        <v>0</v>
      </c>
      <c r="H76" s="314">
        <v>0</v>
      </c>
      <c r="I76" s="314">
        <v>0</v>
      </c>
      <c r="J76" s="314">
        <f t="shared" si="9"/>
        <v>2137</v>
      </c>
      <c r="K76" s="314">
        <v>1320</v>
      </c>
      <c r="L76" s="314">
        <v>0</v>
      </c>
      <c r="M76" s="314">
        <v>130</v>
      </c>
      <c r="N76" s="314">
        <v>0</v>
      </c>
      <c r="O76" s="314">
        <v>687</v>
      </c>
      <c r="P76" s="314">
        <v>0</v>
      </c>
      <c r="Q76" s="309"/>
      <c r="T76" s="315"/>
      <c r="U76" s="315"/>
    </row>
    <row r="77" spans="1:21" ht="12.75" x14ac:dyDescent="0.2">
      <c r="A77" s="312">
        <v>67</v>
      </c>
      <c r="B77" s="316" t="s">
        <v>109</v>
      </c>
      <c r="C77" s="259" t="s">
        <v>474</v>
      </c>
      <c r="D77" s="314">
        <f t="shared" si="7"/>
        <v>5020</v>
      </c>
      <c r="E77" s="314">
        <f t="shared" si="8"/>
        <v>0</v>
      </c>
      <c r="F77" s="314">
        <v>0</v>
      </c>
      <c r="G77" s="314">
        <v>0</v>
      </c>
      <c r="H77" s="314">
        <v>0</v>
      </c>
      <c r="I77" s="314">
        <v>0</v>
      </c>
      <c r="J77" s="314">
        <f t="shared" si="9"/>
        <v>5020</v>
      </c>
      <c r="K77" s="314">
        <v>1175</v>
      </c>
      <c r="L77" s="314">
        <v>0</v>
      </c>
      <c r="M77" s="314">
        <v>245</v>
      </c>
      <c r="N77" s="314">
        <v>0</v>
      </c>
      <c r="O77" s="314">
        <v>3600</v>
      </c>
      <c r="P77" s="314">
        <v>0</v>
      </c>
      <c r="Q77" s="309"/>
      <c r="T77" s="315"/>
      <c r="U77" s="315"/>
    </row>
    <row r="78" spans="1:21" ht="12.75" x14ac:dyDescent="0.2">
      <c r="A78" s="312">
        <v>68</v>
      </c>
      <c r="B78" s="316" t="s">
        <v>110</v>
      </c>
      <c r="C78" s="259" t="s">
        <v>475</v>
      </c>
      <c r="D78" s="314">
        <f t="shared" si="7"/>
        <v>8090</v>
      </c>
      <c r="E78" s="314">
        <f t="shared" si="8"/>
        <v>0</v>
      </c>
      <c r="F78" s="314">
        <v>0</v>
      </c>
      <c r="G78" s="314">
        <v>0</v>
      </c>
      <c r="H78" s="314">
        <v>0</v>
      </c>
      <c r="I78" s="314">
        <v>0</v>
      </c>
      <c r="J78" s="314">
        <f t="shared" si="9"/>
        <v>8090</v>
      </c>
      <c r="K78" s="314">
        <v>0</v>
      </c>
      <c r="L78" s="314">
        <v>0</v>
      </c>
      <c r="M78" s="314">
        <v>0</v>
      </c>
      <c r="N78" s="314">
        <v>0</v>
      </c>
      <c r="O78" s="314">
        <v>8090</v>
      </c>
      <c r="P78" s="314">
        <v>0</v>
      </c>
      <c r="Q78" s="309"/>
      <c r="T78" s="315"/>
      <c r="U78" s="315"/>
    </row>
    <row r="79" spans="1:21" ht="12.75" x14ac:dyDescent="0.2">
      <c r="A79" s="312">
        <v>69</v>
      </c>
      <c r="B79" s="316" t="s">
        <v>111</v>
      </c>
      <c r="C79" s="259" t="s">
        <v>476</v>
      </c>
      <c r="D79" s="314">
        <f t="shared" si="7"/>
        <v>18155</v>
      </c>
      <c r="E79" s="314">
        <f t="shared" si="8"/>
        <v>0</v>
      </c>
      <c r="F79" s="314">
        <v>0</v>
      </c>
      <c r="G79" s="314">
        <v>0</v>
      </c>
      <c r="H79" s="314">
        <v>0</v>
      </c>
      <c r="I79" s="314">
        <v>0</v>
      </c>
      <c r="J79" s="314">
        <f t="shared" si="9"/>
        <v>18155</v>
      </c>
      <c r="K79" s="314">
        <v>7356</v>
      </c>
      <c r="L79" s="314">
        <v>0</v>
      </c>
      <c r="M79" s="314">
        <v>0</v>
      </c>
      <c r="N79" s="314">
        <v>0</v>
      </c>
      <c r="O79" s="314">
        <v>10799</v>
      </c>
      <c r="P79" s="314">
        <v>0</v>
      </c>
      <c r="Q79" s="309"/>
      <c r="T79" s="315"/>
      <c r="U79" s="315"/>
    </row>
    <row r="80" spans="1:21" ht="12.75" x14ac:dyDescent="0.2">
      <c r="A80" s="312">
        <v>70</v>
      </c>
      <c r="B80" s="258" t="s">
        <v>112</v>
      </c>
      <c r="C80" s="259" t="s">
        <v>113</v>
      </c>
      <c r="D80" s="314">
        <f t="shared" si="7"/>
        <v>7391</v>
      </c>
      <c r="E80" s="314">
        <f t="shared" si="8"/>
        <v>0</v>
      </c>
      <c r="F80" s="314">
        <v>0</v>
      </c>
      <c r="G80" s="314">
        <v>0</v>
      </c>
      <c r="H80" s="314">
        <v>0</v>
      </c>
      <c r="I80" s="314">
        <v>0</v>
      </c>
      <c r="J80" s="314">
        <f t="shared" si="9"/>
        <v>7391</v>
      </c>
      <c r="K80" s="314">
        <v>1600</v>
      </c>
      <c r="L80" s="314">
        <v>0</v>
      </c>
      <c r="M80" s="314">
        <v>0</v>
      </c>
      <c r="N80" s="314">
        <v>0</v>
      </c>
      <c r="O80" s="314">
        <v>5791</v>
      </c>
      <c r="P80" s="314">
        <v>0</v>
      </c>
      <c r="Q80" s="309"/>
      <c r="T80" s="315"/>
      <c r="U80" s="315"/>
    </row>
    <row r="81" spans="1:21" ht="12.75" x14ac:dyDescent="0.2">
      <c r="A81" s="312">
        <v>71</v>
      </c>
      <c r="B81" s="316" t="s">
        <v>114</v>
      </c>
      <c r="C81" s="313" t="s">
        <v>115</v>
      </c>
      <c r="D81" s="314">
        <f t="shared" si="7"/>
        <v>9090</v>
      </c>
      <c r="E81" s="314">
        <f t="shared" si="8"/>
        <v>0</v>
      </c>
      <c r="F81" s="314">
        <v>0</v>
      </c>
      <c r="G81" s="314">
        <v>0</v>
      </c>
      <c r="H81" s="314">
        <v>0</v>
      </c>
      <c r="I81" s="314">
        <v>0</v>
      </c>
      <c r="J81" s="314">
        <f t="shared" si="9"/>
        <v>9090</v>
      </c>
      <c r="K81" s="314">
        <v>3290</v>
      </c>
      <c r="L81" s="314">
        <v>0</v>
      </c>
      <c r="M81" s="314">
        <v>0</v>
      </c>
      <c r="N81" s="314">
        <v>0</v>
      </c>
      <c r="O81" s="314">
        <v>5800</v>
      </c>
      <c r="P81" s="314">
        <v>0</v>
      </c>
      <c r="Q81" s="309"/>
      <c r="T81" s="315"/>
      <c r="U81" s="315"/>
    </row>
    <row r="82" spans="1:21" ht="12.75" x14ac:dyDescent="0.2">
      <c r="A82" s="312">
        <v>72</v>
      </c>
      <c r="B82" s="258" t="s">
        <v>116</v>
      </c>
      <c r="C82" s="259" t="s">
        <v>117</v>
      </c>
      <c r="D82" s="314">
        <f t="shared" ref="D82:D158" si="10">E82+J82</f>
        <v>5717</v>
      </c>
      <c r="E82" s="314">
        <f t="shared" ref="E82:E158" si="11">F82+G82+H82+I82</f>
        <v>0</v>
      </c>
      <c r="F82" s="314">
        <v>0</v>
      </c>
      <c r="G82" s="314">
        <v>0</v>
      </c>
      <c r="H82" s="314">
        <v>0</v>
      </c>
      <c r="I82" s="314">
        <v>0</v>
      </c>
      <c r="J82" s="314">
        <f t="shared" ref="J82:J158" si="12">O82+P82+N82+M82+L82+K82</f>
        <v>5717</v>
      </c>
      <c r="K82" s="314">
        <v>1637</v>
      </c>
      <c r="L82" s="314">
        <v>0</v>
      </c>
      <c r="M82" s="314">
        <v>0</v>
      </c>
      <c r="N82" s="314">
        <v>0</v>
      </c>
      <c r="O82" s="314">
        <v>4080</v>
      </c>
      <c r="P82" s="314">
        <v>0</v>
      </c>
      <c r="Q82" s="309"/>
      <c r="T82" s="315"/>
      <c r="U82" s="315"/>
    </row>
    <row r="83" spans="1:21" ht="12.75" x14ac:dyDescent="0.2">
      <c r="A83" s="312">
        <v>73</v>
      </c>
      <c r="B83" s="316" t="s">
        <v>118</v>
      </c>
      <c r="C83" s="259" t="s">
        <v>477</v>
      </c>
      <c r="D83" s="314">
        <f t="shared" si="10"/>
        <v>20030</v>
      </c>
      <c r="E83" s="314">
        <f t="shared" si="11"/>
        <v>0</v>
      </c>
      <c r="F83" s="314">
        <v>0</v>
      </c>
      <c r="G83" s="314">
        <v>0</v>
      </c>
      <c r="H83" s="314">
        <v>0</v>
      </c>
      <c r="I83" s="314">
        <v>0</v>
      </c>
      <c r="J83" s="314">
        <f t="shared" si="12"/>
        <v>20030</v>
      </c>
      <c r="K83" s="314">
        <v>8176</v>
      </c>
      <c r="L83" s="314">
        <v>0</v>
      </c>
      <c r="M83" s="314">
        <v>0</v>
      </c>
      <c r="N83" s="314">
        <v>0</v>
      </c>
      <c r="O83" s="314">
        <v>11854</v>
      </c>
      <c r="P83" s="314">
        <v>0</v>
      </c>
      <c r="Q83" s="309"/>
      <c r="T83" s="315"/>
      <c r="U83" s="315"/>
    </row>
    <row r="84" spans="1:21" ht="12.75" x14ac:dyDescent="0.2">
      <c r="A84" s="312">
        <v>74</v>
      </c>
      <c r="B84" s="258" t="s">
        <v>119</v>
      </c>
      <c r="C84" s="259" t="s">
        <v>120</v>
      </c>
      <c r="D84" s="314">
        <f t="shared" si="10"/>
        <v>8351</v>
      </c>
      <c r="E84" s="314">
        <f t="shared" si="11"/>
        <v>0</v>
      </c>
      <c r="F84" s="314">
        <v>0</v>
      </c>
      <c r="G84" s="314">
        <v>0</v>
      </c>
      <c r="H84" s="314">
        <v>0</v>
      </c>
      <c r="I84" s="314">
        <v>0</v>
      </c>
      <c r="J84" s="314">
        <f t="shared" si="12"/>
        <v>8351</v>
      </c>
      <c r="K84" s="314">
        <v>1351</v>
      </c>
      <c r="L84" s="314">
        <v>0</v>
      </c>
      <c r="M84" s="314">
        <v>0</v>
      </c>
      <c r="N84" s="314">
        <v>0</v>
      </c>
      <c r="O84" s="314">
        <v>7000</v>
      </c>
      <c r="P84" s="314">
        <v>0</v>
      </c>
      <c r="Q84" s="309"/>
      <c r="T84" s="315"/>
      <c r="U84" s="315"/>
    </row>
    <row r="85" spans="1:21" ht="12.75" x14ac:dyDescent="0.2">
      <c r="A85" s="312">
        <v>75</v>
      </c>
      <c r="B85" s="258" t="s">
        <v>121</v>
      </c>
      <c r="C85" s="259" t="s">
        <v>122</v>
      </c>
      <c r="D85" s="314">
        <f t="shared" si="10"/>
        <v>8814</v>
      </c>
      <c r="E85" s="314">
        <f t="shared" si="11"/>
        <v>0</v>
      </c>
      <c r="F85" s="314">
        <v>0</v>
      </c>
      <c r="G85" s="314">
        <v>0</v>
      </c>
      <c r="H85" s="314">
        <v>0</v>
      </c>
      <c r="I85" s="314">
        <v>0</v>
      </c>
      <c r="J85" s="314">
        <f t="shared" si="12"/>
        <v>8814</v>
      </c>
      <c r="K85" s="314">
        <v>2070</v>
      </c>
      <c r="L85" s="314">
        <v>0</v>
      </c>
      <c r="M85" s="314">
        <v>0</v>
      </c>
      <c r="N85" s="314">
        <v>0</v>
      </c>
      <c r="O85" s="314">
        <v>6744</v>
      </c>
      <c r="P85" s="314">
        <v>0</v>
      </c>
      <c r="Q85" s="309"/>
      <c r="T85" s="315"/>
      <c r="U85" s="315"/>
    </row>
    <row r="86" spans="1:21" ht="25.5" x14ac:dyDescent="0.2">
      <c r="A86" s="312">
        <v>76</v>
      </c>
      <c r="B86" s="323" t="s">
        <v>347</v>
      </c>
      <c r="C86" s="322" t="s">
        <v>478</v>
      </c>
      <c r="D86" s="314">
        <f t="shared" si="10"/>
        <v>328</v>
      </c>
      <c r="E86" s="314">
        <f t="shared" si="11"/>
        <v>328</v>
      </c>
      <c r="F86" s="314">
        <v>0</v>
      </c>
      <c r="G86" s="314">
        <v>0</v>
      </c>
      <c r="H86" s="314">
        <v>328</v>
      </c>
      <c r="I86" s="314">
        <v>0</v>
      </c>
      <c r="J86" s="314">
        <f t="shared" si="12"/>
        <v>0</v>
      </c>
      <c r="K86" s="314">
        <v>0</v>
      </c>
      <c r="L86" s="314">
        <v>0</v>
      </c>
      <c r="M86" s="314">
        <v>0</v>
      </c>
      <c r="N86" s="314">
        <v>0</v>
      </c>
      <c r="O86" s="314">
        <v>0</v>
      </c>
      <c r="P86" s="314">
        <v>0</v>
      </c>
      <c r="Q86" s="309"/>
      <c r="T86" s="315"/>
      <c r="U86" s="315"/>
    </row>
    <row r="87" spans="1:21" ht="25.5" x14ac:dyDescent="0.2">
      <c r="A87" s="312">
        <v>77</v>
      </c>
      <c r="B87" s="282" t="s">
        <v>349</v>
      </c>
      <c r="C87" s="259" t="s">
        <v>479</v>
      </c>
      <c r="D87" s="314">
        <f t="shared" si="10"/>
        <v>95</v>
      </c>
      <c r="E87" s="314">
        <f t="shared" si="11"/>
        <v>95</v>
      </c>
      <c r="F87" s="314">
        <v>0</v>
      </c>
      <c r="G87" s="314">
        <v>0</v>
      </c>
      <c r="H87" s="314">
        <v>95</v>
      </c>
      <c r="I87" s="314">
        <v>0</v>
      </c>
      <c r="J87" s="314">
        <f t="shared" si="12"/>
        <v>0</v>
      </c>
      <c r="K87" s="314">
        <v>0</v>
      </c>
      <c r="L87" s="314">
        <v>0</v>
      </c>
      <c r="M87" s="314">
        <v>0</v>
      </c>
      <c r="N87" s="314">
        <v>0</v>
      </c>
      <c r="O87" s="314">
        <v>0</v>
      </c>
      <c r="P87" s="314">
        <v>0</v>
      </c>
      <c r="Q87" s="309"/>
      <c r="T87" s="315"/>
      <c r="U87" s="315"/>
    </row>
    <row r="88" spans="1:21" ht="25.5" x14ac:dyDescent="0.2">
      <c r="A88" s="312">
        <v>78</v>
      </c>
      <c r="B88" s="316" t="s">
        <v>351</v>
      </c>
      <c r="C88" s="259" t="s">
        <v>480</v>
      </c>
      <c r="D88" s="314">
        <f t="shared" si="10"/>
        <v>96</v>
      </c>
      <c r="E88" s="314">
        <f t="shared" si="11"/>
        <v>96</v>
      </c>
      <c r="F88" s="314">
        <v>0</v>
      </c>
      <c r="G88" s="314">
        <v>0</v>
      </c>
      <c r="H88" s="314">
        <v>96</v>
      </c>
      <c r="I88" s="314">
        <v>0</v>
      </c>
      <c r="J88" s="314">
        <f t="shared" si="12"/>
        <v>0</v>
      </c>
      <c r="K88" s="314">
        <v>0</v>
      </c>
      <c r="L88" s="314">
        <v>0</v>
      </c>
      <c r="M88" s="314">
        <v>0</v>
      </c>
      <c r="N88" s="314">
        <v>0</v>
      </c>
      <c r="O88" s="314">
        <v>0</v>
      </c>
      <c r="P88" s="314">
        <v>0</v>
      </c>
      <c r="Q88" s="309"/>
      <c r="T88" s="315"/>
      <c r="U88" s="315"/>
    </row>
    <row r="89" spans="1:21" ht="25.5" x14ac:dyDescent="0.2">
      <c r="A89" s="312">
        <v>79</v>
      </c>
      <c r="B89" s="316" t="s">
        <v>353</v>
      </c>
      <c r="C89" s="259" t="s">
        <v>481</v>
      </c>
      <c r="D89" s="314">
        <f t="shared" si="10"/>
        <v>270</v>
      </c>
      <c r="E89" s="314">
        <f t="shared" si="11"/>
        <v>270</v>
      </c>
      <c r="F89" s="314">
        <v>0</v>
      </c>
      <c r="G89" s="314">
        <v>0</v>
      </c>
      <c r="H89" s="314">
        <v>270</v>
      </c>
      <c r="I89" s="314">
        <v>0</v>
      </c>
      <c r="J89" s="314">
        <f t="shared" si="12"/>
        <v>0</v>
      </c>
      <c r="K89" s="314">
        <v>0</v>
      </c>
      <c r="L89" s="314">
        <v>0</v>
      </c>
      <c r="M89" s="314">
        <v>0</v>
      </c>
      <c r="N89" s="314">
        <v>0</v>
      </c>
      <c r="O89" s="314">
        <v>0</v>
      </c>
      <c r="P89" s="314">
        <v>0</v>
      </c>
      <c r="Q89" s="309"/>
      <c r="T89" s="315"/>
      <c r="U89" s="315"/>
    </row>
    <row r="90" spans="1:21" ht="25.5" x14ac:dyDescent="0.2">
      <c r="A90" s="312">
        <v>80</v>
      </c>
      <c r="B90" s="282" t="s">
        <v>355</v>
      </c>
      <c r="C90" s="259" t="s">
        <v>482</v>
      </c>
      <c r="D90" s="314">
        <f t="shared" si="10"/>
        <v>584</v>
      </c>
      <c r="E90" s="314">
        <f t="shared" si="11"/>
        <v>584</v>
      </c>
      <c r="F90" s="314">
        <v>0</v>
      </c>
      <c r="G90" s="314">
        <v>0</v>
      </c>
      <c r="H90" s="314">
        <v>303</v>
      </c>
      <c r="I90" s="314">
        <v>281</v>
      </c>
      <c r="J90" s="314">
        <f t="shared" si="12"/>
        <v>0</v>
      </c>
      <c r="K90" s="314">
        <v>0</v>
      </c>
      <c r="L90" s="314">
        <v>0</v>
      </c>
      <c r="M90" s="314">
        <v>0</v>
      </c>
      <c r="N90" s="314">
        <v>0</v>
      </c>
      <c r="O90" s="314">
        <v>0</v>
      </c>
      <c r="P90" s="314">
        <v>0</v>
      </c>
      <c r="Q90" s="309"/>
      <c r="T90" s="315"/>
      <c r="U90" s="315"/>
    </row>
    <row r="91" spans="1:21" ht="25.5" x14ac:dyDescent="0.2">
      <c r="A91" s="312">
        <v>81</v>
      </c>
      <c r="B91" s="282" t="s">
        <v>357</v>
      </c>
      <c r="C91" s="259" t="s">
        <v>483</v>
      </c>
      <c r="D91" s="314">
        <f t="shared" si="10"/>
        <v>140</v>
      </c>
      <c r="E91" s="314">
        <f t="shared" si="11"/>
        <v>140</v>
      </c>
      <c r="F91" s="314">
        <v>0</v>
      </c>
      <c r="G91" s="314">
        <v>0</v>
      </c>
      <c r="H91" s="314">
        <v>140</v>
      </c>
      <c r="I91" s="314">
        <v>0</v>
      </c>
      <c r="J91" s="314">
        <f t="shared" si="12"/>
        <v>0</v>
      </c>
      <c r="K91" s="314">
        <v>0</v>
      </c>
      <c r="L91" s="314">
        <v>0</v>
      </c>
      <c r="M91" s="314">
        <v>0</v>
      </c>
      <c r="N91" s="314">
        <v>0</v>
      </c>
      <c r="O91" s="314">
        <v>0</v>
      </c>
      <c r="P91" s="314">
        <v>0</v>
      </c>
      <c r="Q91" s="309"/>
      <c r="T91" s="315"/>
      <c r="U91" s="315"/>
    </row>
    <row r="92" spans="1:21" ht="25.5" x14ac:dyDescent="0.2">
      <c r="A92" s="312">
        <v>82</v>
      </c>
      <c r="B92" s="282" t="s">
        <v>359</v>
      </c>
      <c r="C92" s="259" t="s">
        <v>484</v>
      </c>
      <c r="D92" s="314">
        <f t="shared" si="10"/>
        <v>0</v>
      </c>
      <c r="E92" s="314">
        <f t="shared" si="11"/>
        <v>0</v>
      </c>
      <c r="F92" s="314">
        <v>0</v>
      </c>
      <c r="G92" s="314">
        <v>0</v>
      </c>
      <c r="H92" s="314">
        <v>0</v>
      </c>
      <c r="I92" s="314">
        <v>0</v>
      </c>
      <c r="J92" s="314">
        <f t="shared" si="12"/>
        <v>0</v>
      </c>
      <c r="K92" s="314">
        <v>0</v>
      </c>
      <c r="L92" s="314">
        <v>0</v>
      </c>
      <c r="M92" s="314">
        <v>0</v>
      </c>
      <c r="N92" s="314">
        <v>0</v>
      </c>
      <c r="O92" s="314">
        <v>0</v>
      </c>
      <c r="P92" s="314">
        <v>0</v>
      </c>
      <c r="Q92" s="309"/>
      <c r="T92" s="315"/>
      <c r="U92" s="315"/>
    </row>
    <row r="93" spans="1:21" ht="25.5" x14ac:dyDescent="0.2">
      <c r="A93" s="312">
        <v>83</v>
      </c>
      <c r="B93" s="258" t="s">
        <v>123</v>
      </c>
      <c r="C93" s="259" t="s">
        <v>124</v>
      </c>
      <c r="D93" s="314">
        <f t="shared" si="10"/>
        <v>52645</v>
      </c>
      <c r="E93" s="314">
        <f t="shared" si="11"/>
        <v>0</v>
      </c>
      <c r="F93" s="314">
        <v>0</v>
      </c>
      <c r="G93" s="314">
        <v>0</v>
      </c>
      <c r="H93" s="314">
        <v>0</v>
      </c>
      <c r="I93" s="314">
        <v>0</v>
      </c>
      <c r="J93" s="314">
        <f t="shared" si="12"/>
        <v>52645</v>
      </c>
      <c r="K93" s="314">
        <v>8429</v>
      </c>
      <c r="L93" s="314">
        <v>120</v>
      </c>
      <c r="M93" s="314">
        <v>0</v>
      </c>
      <c r="N93" s="314">
        <v>380</v>
      </c>
      <c r="O93" s="314">
        <v>16072</v>
      </c>
      <c r="P93" s="314">
        <v>27644</v>
      </c>
      <c r="Q93" s="309"/>
      <c r="T93" s="315"/>
      <c r="U93" s="315"/>
    </row>
    <row r="94" spans="1:21" ht="12.75" x14ac:dyDescent="0.2">
      <c r="A94" s="312">
        <v>84</v>
      </c>
      <c r="B94" s="282" t="s">
        <v>125</v>
      </c>
      <c r="C94" s="259" t="s">
        <v>485</v>
      </c>
      <c r="D94" s="314">
        <f t="shared" si="10"/>
        <v>7141</v>
      </c>
      <c r="E94" s="314">
        <f t="shared" si="11"/>
        <v>0</v>
      </c>
      <c r="F94" s="314">
        <v>0</v>
      </c>
      <c r="G94" s="314">
        <v>0</v>
      </c>
      <c r="H94" s="314">
        <v>0</v>
      </c>
      <c r="I94" s="314">
        <v>0</v>
      </c>
      <c r="J94" s="314">
        <f t="shared" si="12"/>
        <v>7141</v>
      </c>
      <c r="K94" s="314">
        <v>3760</v>
      </c>
      <c r="L94" s="314">
        <v>0</v>
      </c>
      <c r="M94" s="314">
        <v>0</v>
      </c>
      <c r="N94" s="314">
        <v>0</v>
      </c>
      <c r="O94" s="314">
        <v>3381</v>
      </c>
      <c r="P94" s="314">
        <v>0</v>
      </c>
      <c r="Q94" s="309"/>
      <c r="T94" s="315"/>
      <c r="U94" s="315"/>
    </row>
    <row r="95" spans="1:21" ht="12.75" x14ac:dyDescent="0.2">
      <c r="A95" s="312">
        <v>85</v>
      </c>
      <c r="B95" s="258" t="s">
        <v>126</v>
      </c>
      <c r="C95" s="259" t="s">
        <v>127</v>
      </c>
      <c r="D95" s="314">
        <f t="shared" si="10"/>
        <v>14350</v>
      </c>
      <c r="E95" s="314">
        <f t="shared" si="11"/>
        <v>0</v>
      </c>
      <c r="F95" s="314">
        <v>0</v>
      </c>
      <c r="G95" s="314">
        <v>0</v>
      </c>
      <c r="H95" s="314">
        <v>0</v>
      </c>
      <c r="I95" s="314">
        <v>0</v>
      </c>
      <c r="J95" s="314">
        <f t="shared" si="12"/>
        <v>14350</v>
      </c>
      <c r="K95" s="314">
        <v>2930</v>
      </c>
      <c r="L95" s="314">
        <v>0</v>
      </c>
      <c r="M95" s="314">
        <v>1750</v>
      </c>
      <c r="N95" s="314">
        <v>0</v>
      </c>
      <c r="O95" s="314">
        <v>9670</v>
      </c>
      <c r="P95" s="314">
        <v>0</v>
      </c>
      <c r="Q95" s="309"/>
      <c r="T95" s="315"/>
      <c r="U95" s="315"/>
    </row>
    <row r="96" spans="1:21" ht="12.75" x14ac:dyDescent="0.2">
      <c r="A96" s="312">
        <v>86</v>
      </c>
      <c r="B96" s="317" t="s">
        <v>128</v>
      </c>
      <c r="C96" s="318" t="s">
        <v>129</v>
      </c>
      <c r="D96" s="314">
        <f t="shared" si="10"/>
        <v>8600</v>
      </c>
      <c r="E96" s="314">
        <f t="shared" si="11"/>
        <v>0</v>
      </c>
      <c r="F96" s="314">
        <v>0</v>
      </c>
      <c r="G96" s="314">
        <v>0</v>
      </c>
      <c r="H96" s="314">
        <v>0</v>
      </c>
      <c r="I96" s="314">
        <v>0</v>
      </c>
      <c r="J96" s="314">
        <f t="shared" si="12"/>
        <v>8600</v>
      </c>
      <c r="K96" s="314">
        <v>760</v>
      </c>
      <c r="L96" s="314">
        <v>0</v>
      </c>
      <c r="M96" s="314">
        <v>735</v>
      </c>
      <c r="N96" s="314">
        <v>0</v>
      </c>
      <c r="O96" s="314">
        <v>7105</v>
      </c>
      <c r="P96" s="314">
        <v>0</v>
      </c>
      <c r="Q96" s="309"/>
      <c r="T96" s="315"/>
      <c r="U96" s="315"/>
    </row>
    <row r="97" spans="1:21" ht="12.75" x14ac:dyDescent="0.2">
      <c r="A97" s="312">
        <v>87</v>
      </c>
      <c r="B97" s="282" t="s">
        <v>130</v>
      </c>
      <c r="C97" s="259" t="s">
        <v>486</v>
      </c>
      <c r="D97" s="314">
        <f t="shared" si="10"/>
        <v>2152</v>
      </c>
      <c r="E97" s="314">
        <f t="shared" si="11"/>
        <v>0</v>
      </c>
      <c r="F97" s="314">
        <v>0</v>
      </c>
      <c r="G97" s="314">
        <v>0</v>
      </c>
      <c r="H97" s="314">
        <v>0</v>
      </c>
      <c r="I97" s="314">
        <v>0</v>
      </c>
      <c r="J97" s="314">
        <f t="shared" si="12"/>
        <v>2152</v>
      </c>
      <c r="K97" s="314">
        <v>103</v>
      </c>
      <c r="L97" s="314">
        <v>0</v>
      </c>
      <c r="M97" s="314">
        <v>0</v>
      </c>
      <c r="N97" s="314">
        <v>0</v>
      </c>
      <c r="O97" s="314">
        <v>2049</v>
      </c>
      <c r="P97" s="314">
        <v>0</v>
      </c>
      <c r="Q97" s="309"/>
      <c r="T97" s="315"/>
      <c r="U97" s="315"/>
    </row>
    <row r="98" spans="1:21" ht="12.75" x14ac:dyDescent="0.2">
      <c r="A98" s="312">
        <v>88</v>
      </c>
      <c r="B98" s="282" t="s">
        <v>131</v>
      </c>
      <c r="C98" s="259" t="s">
        <v>132</v>
      </c>
      <c r="D98" s="314">
        <f t="shared" si="10"/>
        <v>51563</v>
      </c>
      <c r="E98" s="314">
        <f t="shared" si="11"/>
        <v>0</v>
      </c>
      <c r="F98" s="314">
        <v>0</v>
      </c>
      <c r="G98" s="314">
        <v>0</v>
      </c>
      <c r="H98" s="314">
        <v>0</v>
      </c>
      <c r="I98" s="314">
        <v>0</v>
      </c>
      <c r="J98" s="314">
        <f t="shared" si="12"/>
        <v>51563</v>
      </c>
      <c r="K98" s="314">
        <v>16143</v>
      </c>
      <c r="L98" s="314">
        <v>0</v>
      </c>
      <c r="M98" s="314">
        <v>273</v>
      </c>
      <c r="N98" s="314">
        <v>0</v>
      </c>
      <c r="O98" s="314">
        <v>35147</v>
      </c>
      <c r="P98" s="314">
        <v>0</v>
      </c>
      <c r="Q98" s="309"/>
      <c r="T98" s="315"/>
      <c r="U98" s="315"/>
    </row>
    <row r="99" spans="1:21" ht="12.75" x14ac:dyDescent="0.2">
      <c r="A99" s="312">
        <v>89</v>
      </c>
      <c r="B99" s="317" t="s">
        <v>133</v>
      </c>
      <c r="C99" s="318" t="s">
        <v>134</v>
      </c>
      <c r="D99" s="314">
        <f t="shared" si="10"/>
        <v>79679</v>
      </c>
      <c r="E99" s="314">
        <f t="shared" si="11"/>
        <v>0</v>
      </c>
      <c r="F99" s="314">
        <v>0</v>
      </c>
      <c r="G99" s="314">
        <v>0</v>
      </c>
      <c r="H99" s="314">
        <v>0</v>
      </c>
      <c r="I99" s="314">
        <v>0</v>
      </c>
      <c r="J99" s="314">
        <f t="shared" si="12"/>
        <v>79679</v>
      </c>
      <c r="K99" s="314">
        <v>0</v>
      </c>
      <c r="L99" s="314">
        <v>2225</v>
      </c>
      <c r="M99" s="314">
        <v>0</v>
      </c>
      <c r="N99" s="314">
        <v>0</v>
      </c>
      <c r="O99" s="314">
        <v>0</v>
      </c>
      <c r="P99" s="314">
        <v>77454</v>
      </c>
      <c r="Q99" s="309"/>
      <c r="T99" s="315"/>
      <c r="U99" s="315"/>
    </row>
    <row r="100" spans="1:21" ht="12.75" x14ac:dyDescent="0.2">
      <c r="A100" s="312">
        <v>90</v>
      </c>
      <c r="B100" s="282" t="s">
        <v>9</v>
      </c>
      <c r="C100" s="259" t="s">
        <v>487</v>
      </c>
      <c r="D100" s="314">
        <f t="shared" si="10"/>
        <v>17966</v>
      </c>
      <c r="E100" s="314">
        <f t="shared" si="11"/>
        <v>0</v>
      </c>
      <c r="F100" s="314">
        <v>0</v>
      </c>
      <c r="G100" s="314">
        <v>0</v>
      </c>
      <c r="H100" s="314">
        <v>0</v>
      </c>
      <c r="I100" s="314">
        <v>0</v>
      </c>
      <c r="J100" s="314">
        <f t="shared" si="12"/>
        <v>17966</v>
      </c>
      <c r="K100" s="314">
        <v>4068</v>
      </c>
      <c r="L100" s="314">
        <v>0</v>
      </c>
      <c r="M100" s="314">
        <v>635</v>
      </c>
      <c r="N100" s="314">
        <v>0</v>
      </c>
      <c r="O100" s="314">
        <v>13263</v>
      </c>
      <c r="P100" s="314">
        <v>0</v>
      </c>
      <c r="Q100" s="309"/>
      <c r="T100" s="315"/>
      <c r="U100" s="315"/>
    </row>
    <row r="101" spans="1:21" ht="12.75" x14ac:dyDescent="0.2">
      <c r="A101" s="312">
        <v>91</v>
      </c>
      <c r="B101" s="317" t="s">
        <v>135</v>
      </c>
      <c r="C101" s="318" t="s">
        <v>136</v>
      </c>
      <c r="D101" s="314">
        <f t="shared" si="10"/>
        <v>21951</v>
      </c>
      <c r="E101" s="314">
        <f t="shared" si="11"/>
        <v>21951</v>
      </c>
      <c r="F101" s="314">
        <v>20606</v>
      </c>
      <c r="G101" s="314">
        <v>0</v>
      </c>
      <c r="H101" s="314">
        <v>1345</v>
      </c>
      <c r="I101" s="314">
        <v>0</v>
      </c>
      <c r="J101" s="314">
        <f t="shared" si="12"/>
        <v>0</v>
      </c>
      <c r="K101" s="314">
        <v>0</v>
      </c>
      <c r="L101" s="314">
        <v>0</v>
      </c>
      <c r="M101" s="314">
        <v>0</v>
      </c>
      <c r="N101" s="314">
        <v>0</v>
      </c>
      <c r="O101" s="314">
        <v>0</v>
      </c>
      <c r="P101" s="314">
        <v>0</v>
      </c>
      <c r="Q101" s="309"/>
      <c r="T101" s="315"/>
      <c r="U101" s="315"/>
    </row>
    <row r="102" spans="1:21" x14ac:dyDescent="0.2">
      <c r="A102" s="312">
        <v>92</v>
      </c>
      <c r="B102" s="246" t="s">
        <v>488</v>
      </c>
      <c r="C102" s="238" t="s">
        <v>489</v>
      </c>
      <c r="D102" s="314">
        <f t="shared" si="10"/>
        <v>0</v>
      </c>
      <c r="E102" s="314">
        <f t="shared" si="11"/>
        <v>0</v>
      </c>
      <c r="F102" s="314">
        <v>0</v>
      </c>
      <c r="G102" s="314">
        <v>0</v>
      </c>
      <c r="H102" s="314">
        <v>0</v>
      </c>
      <c r="I102" s="314">
        <v>0</v>
      </c>
      <c r="J102" s="314">
        <f t="shared" si="12"/>
        <v>0</v>
      </c>
      <c r="K102" s="314">
        <v>0</v>
      </c>
      <c r="L102" s="314">
        <v>0</v>
      </c>
      <c r="M102" s="314">
        <v>0</v>
      </c>
      <c r="N102" s="314">
        <v>0</v>
      </c>
      <c r="O102" s="314">
        <v>0</v>
      </c>
      <c r="P102" s="314">
        <v>0</v>
      </c>
      <c r="Q102" s="309"/>
      <c r="T102" s="315"/>
      <c r="U102" s="315"/>
    </row>
    <row r="103" spans="1:21" ht="25.5" x14ac:dyDescent="0.2">
      <c r="A103" s="312">
        <v>93</v>
      </c>
      <c r="B103" s="258" t="s">
        <v>137</v>
      </c>
      <c r="C103" s="259" t="s">
        <v>138</v>
      </c>
      <c r="D103" s="314">
        <f t="shared" si="10"/>
        <v>1435</v>
      </c>
      <c r="E103" s="314">
        <f t="shared" si="11"/>
        <v>0</v>
      </c>
      <c r="F103" s="314">
        <v>0</v>
      </c>
      <c r="G103" s="314">
        <v>0</v>
      </c>
      <c r="H103" s="314">
        <v>0</v>
      </c>
      <c r="I103" s="314">
        <v>0</v>
      </c>
      <c r="J103" s="314">
        <f t="shared" si="12"/>
        <v>1435</v>
      </c>
      <c r="K103" s="314">
        <v>0</v>
      </c>
      <c r="L103" s="314">
        <v>0</v>
      </c>
      <c r="M103" s="314">
        <v>0</v>
      </c>
      <c r="N103" s="314">
        <v>0</v>
      </c>
      <c r="O103" s="314">
        <v>1435</v>
      </c>
      <c r="P103" s="314">
        <v>0</v>
      </c>
      <c r="Q103" s="309"/>
      <c r="T103" s="315"/>
      <c r="U103" s="315"/>
    </row>
    <row r="104" spans="1:21" ht="25.5" x14ac:dyDescent="0.2">
      <c r="A104" s="312">
        <v>94</v>
      </c>
      <c r="B104" s="316" t="s">
        <v>369</v>
      </c>
      <c r="C104" s="313" t="s">
        <v>490</v>
      </c>
      <c r="D104" s="314">
        <f t="shared" si="10"/>
        <v>0</v>
      </c>
      <c r="E104" s="314">
        <f t="shared" si="11"/>
        <v>0</v>
      </c>
      <c r="F104" s="314">
        <v>0</v>
      </c>
      <c r="G104" s="314">
        <v>0</v>
      </c>
      <c r="H104" s="314">
        <v>0</v>
      </c>
      <c r="I104" s="314">
        <v>0</v>
      </c>
      <c r="J104" s="314">
        <f t="shared" si="12"/>
        <v>0</v>
      </c>
      <c r="K104" s="314">
        <v>0</v>
      </c>
      <c r="L104" s="314">
        <v>0</v>
      </c>
      <c r="M104" s="314">
        <v>0</v>
      </c>
      <c r="N104" s="314">
        <v>0</v>
      </c>
      <c r="O104" s="314">
        <v>0</v>
      </c>
      <c r="P104" s="314">
        <v>0</v>
      </c>
      <c r="Q104" s="309"/>
      <c r="T104" s="315"/>
      <c r="U104" s="315"/>
    </row>
    <row r="105" spans="1:21" ht="12.75" x14ac:dyDescent="0.2">
      <c r="A105" s="312">
        <v>95</v>
      </c>
      <c r="B105" s="316" t="s">
        <v>139</v>
      </c>
      <c r="C105" s="318" t="s">
        <v>140</v>
      </c>
      <c r="D105" s="314">
        <f t="shared" si="10"/>
        <v>3353</v>
      </c>
      <c r="E105" s="314">
        <f t="shared" si="11"/>
        <v>0</v>
      </c>
      <c r="F105" s="314">
        <v>0</v>
      </c>
      <c r="G105" s="314">
        <v>0</v>
      </c>
      <c r="H105" s="314">
        <v>0</v>
      </c>
      <c r="I105" s="314">
        <v>0</v>
      </c>
      <c r="J105" s="314">
        <f t="shared" si="12"/>
        <v>3353</v>
      </c>
      <c r="K105" s="314">
        <v>72</v>
      </c>
      <c r="L105" s="314">
        <v>0</v>
      </c>
      <c r="M105" s="314">
        <v>36</v>
      </c>
      <c r="N105" s="314">
        <v>0</v>
      </c>
      <c r="O105" s="314">
        <v>3245</v>
      </c>
      <c r="P105" s="314">
        <v>0</v>
      </c>
      <c r="Q105" s="309"/>
      <c r="T105" s="315"/>
      <c r="U105" s="315"/>
    </row>
    <row r="106" spans="1:21" ht="12.75" x14ac:dyDescent="0.2">
      <c r="A106" s="312">
        <v>96</v>
      </c>
      <c r="B106" s="258" t="s">
        <v>141</v>
      </c>
      <c r="C106" s="259" t="s">
        <v>142</v>
      </c>
      <c r="D106" s="314">
        <f t="shared" si="10"/>
        <v>9844</v>
      </c>
      <c r="E106" s="314">
        <f t="shared" si="11"/>
        <v>0</v>
      </c>
      <c r="F106" s="314">
        <v>0</v>
      </c>
      <c r="G106" s="314">
        <v>0</v>
      </c>
      <c r="H106" s="314">
        <v>0</v>
      </c>
      <c r="I106" s="314">
        <v>0</v>
      </c>
      <c r="J106" s="314">
        <f t="shared" si="12"/>
        <v>9844</v>
      </c>
      <c r="K106" s="314">
        <v>280</v>
      </c>
      <c r="L106" s="314">
        <v>0</v>
      </c>
      <c r="M106" s="314">
        <v>490</v>
      </c>
      <c r="N106" s="314">
        <v>0</v>
      </c>
      <c r="O106" s="314">
        <v>9074</v>
      </c>
      <c r="P106" s="314">
        <v>0</v>
      </c>
      <c r="Q106" s="309"/>
      <c r="T106" s="315"/>
      <c r="U106" s="315"/>
    </row>
    <row r="107" spans="1:21" ht="12.75" x14ac:dyDescent="0.2">
      <c r="A107" s="312">
        <v>97</v>
      </c>
      <c r="B107" s="316" t="s">
        <v>143</v>
      </c>
      <c r="C107" s="324" t="s">
        <v>144</v>
      </c>
      <c r="D107" s="314">
        <f t="shared" si="10"/>
        <v>6608</v>
      </c>
      <c r="E107" s="314">
        <f t="shared" si="11"/>
        <v>0</v>
      </c>
      <c r="F107" s="314">
        <v>0</v>
      </c>
      <c r="G107" s="314">
        <v>0</v>
      </c>
      <c r="H107" s="314">
        <v>0</v>
      </c>
      <c r="I107" s="314">
        <v>0</v>
      </c>
      <c r="J107" s="314">
        <f t="shared" si="12"/>
        <v>6608</v>
      </c>
      <c r="K107" s="314">
        <v>800</v>
      </c>
      <c r="L107" s="314">
        <v>150</v>
      </c>
      <c r="M107" s="314">
        <v>731</v>
      </c>
      <c r="N107" s="314">
        <v>500</v>
      </c>
      <c r="O107" s="314">
        <v>3605</v>
      </c>
      <c r="P107" s="314">
        <v>822</v>
      </c>
      <c r="Q107" s="309"/>
      <c r="T107" s="315"/>
      <c r="U107" s="315"/>
    </row>
    <row r="108" spans="1:21" ht="12.75" x14ac:dyDescent="0.2">
      <c r="A108" s="312">
        <v>98</v>
      </c>
      <c r="B108" s="258" t="s">
        <v>145</v>
      </c>
      <c r="C108" s="259" t="s">
        <v>146</v>
      </c>
      <c r="D108" s="314">
        <f t="shared" si="10"/>
        <v>12533</v>
      </c>
      <c r="E108" s="314">
        <f t="shared" si="11"/>
        <v>0</v>
      </c>
      <c r="F108" s="314">
        <v>0</v>
      </c>
      <c r="G108" s="314">
        <v>0</v>
      </c>
      <c r="H108" s="314">
        <v>0</v>
      </c>
      <c r="I108" s="314">
        <v>0</v>
      </c>
      <c r="J108" s="314">
        <f t="shared" si="12"/>
        <v>12533</v>
      </c>
      <c r="K108" s="314">
        <v>1540</v>
      </c>
      <c r="L108" s="314">
        <v>608</v>
      </c>
      <c r="M108" s="314">
        <v>213</v>
      </c>
      <c r="N108" s="314">
        <v>0</v>
      </c>
      <c r="O108" s="314">
        <v>5613</v>
      </c>
      <c r="P108" s="314">
        <v>4559</v>
      </c>
      <c r="Q108" s="309"/>
      <c r="T108" s="315"/>
      <c r="U108" s="315"/>
    </row>
    <row r="109" spans="1:21" ht="12.75" x14ac:dyDescent="0.2">
      <c r="A109" s="312">
        <v>99</v>
      </c>
      <c r="B109" s="258" t="s">
        <v>147</v>
      </c>
      <c r="C109" s="259" t="s">
        <v>148</v>
      </c>
      <c r="D109" s="314">
        <f t="shared" si="10"/>
        <v>26885</v>
      </c>
      <c r="E109" s="314">
        <f t="shared" si="11"/>
        <v>0</v>
      </c>
      <c r="F109" s="314">
        <v>0</v>
      </c>
      <c r="G109" s="314">
        <v>0</v>
      </c>
      <c r="H109" s="314">
        <v>0</v>
      </c>
      <c r="I109" s="314">
        <v>0</v>
      </c>
      <c r="J109" s="314">
        <f t="shared" si="12"/>
        <v>26885</v>
      </c>
      <c r="K109" s="314">
        <v>4791</v>
      </c>
      <c r="L109" s="314">
        <v>1900</v>
      </c>
      <c r="M109" s="314">
        <v>872</v>
      </c>
      <c r="N109" s="314">
        <v>0</v>
      </c>
      <c r="O109" s="314">
        <v>9949</v>
      </c>
      <c r="P109" s="314">
        <v>9373</v>
      </c>
      <c r="Q109" s="309"/>
      <c r="T109" s="315"/>
      <c r="U109" s="315"/>
    </row>
    <row r="110" spans="1:21" ht="12.75" x14ac:dyDescent="0.2">
      <c r="A110" s="312">
        <v>100</v>
      </c>
      <c r="B110" s="316" t="s">
        <v>149</v>
      </c>
      <c r="C110" s="318" t="s">
        <v>150</v>
      </c>
      <c r="D110" s="314">
        <f t="shared" si="10"/>
        <v>10199</v>
      </c>
      <c r="E110" s="314">
        <f t="shared" si="11"/>
        <v>0</v>
      </c>
      <c r="F110" s="314">
        <v>0</v>
      </c>
      <c r="G110" s="314">
        <v>0</v>
      </c>
      <c r="H110" s="314">
        <v>0</v>
      </c>
      <c r="I110" s="314">
        <v>0</v>
      </c>
      <c r="J110" s="314">
        <f t="shared" si="12"/>
        <v>10199</v>
      </c>
      <c r="K110" s="314">
        <v>1210</v>
      </c>
      <c r="L110" s="314">
        <v>195</v>
      </c>
      <c r="M110" s="314">
        <v>467</v>
      </c>
      <c r="N110" s="314">
        <v>100</v>
      </c>
      <c r="O110" s="314">
        <v>6392</v>
      </c>
      <c r="P110" s="314">
        <v>1835</v>
      </c>
      <c r="Q110" s="309"/>
      <c r="T110" s="315"/>
      <c r="U110" s="315"/>
    </row>
    <row r="111" spans="1:21" ht="12.75" x14ac:dyDescent="0.2">
      <c r="A111" s="312">
        <v>101</v>
      </c>
      <c r="B111" s="316" t="s">
        <v>151</v>
      </c>
      <c r="C111" s="313" t="s">
        <v>152</v>
      </c>
      <c r="D111" s="314">
        <f t="shared" si="10"/>
        <v>12611</v>
      </c>
      <c r="E111" s="314">
        <f t="shared" si="11"/>
        <v>0</v>
      </c>
      <c r="F111" s="314">
        <v>0</v>
      </c>
      <c r="G111" s="314">
        <v>0</v>
      </c>
      <c r="H111" s="314">
        <v>0</v>
      </c>
      <c r="I111" s="314">
        <v>0</v>
      </c>
      <c r="J111" s="314">
        <f t="shared" si="12"/>
        <v>12611</v>
      </c>
      <c r="K111" s="314">
        <v>3042</v>
      </c>
      <c r="L111" s="314">
        <v>332</v>
      </c>
      <c r="M111" s="314">
        <v>1048</v>
      </c>
      <c r="N111" s="314">
        <v>0</v>
      </c>
      <c r="O111" s="314">
        <v>1603</v>
      </c>
      <c r="P111" s="314">
        <v>6586</v>
      </c>
      <c r="Q111" s="309"/>
      <c r="T111" s="315"/>
      <c r="U111" s="315"/>
    </row>
    <row r="112" spans="1:21" ht="12.75" x14ac:dyDescent="0.2">
      <c r="A112" s="312">
        <v>102</v>
      </c>
      <c r="B112" s="282" t="s">
        <v>153</v>
      </c>
      <c r="C112" s="313" t="s">
        <v>154</v>
      </c>
      <c r="D112" s="314">
        <f t="shared" si="10"/>
        <v>31367</v>
      </c>
      <c r="E112" s="314">
        <f t="shared" si="11"/>
        <v>0</v>
      </c>
      <c r="F112" s="314">
        <v>0</v>
      </c>
      <c r="G112" s="314">
        <v>0</v>
      </c>
      <c r="H112" s="314">
        <v>0</v>
      </c>
      <c r="I112" s="314">
        <v>0</v>
      </c>
      <c r="J112" s="314">
        <f t="shared" si="12"/>
        <v>31367</v>
      </c>
      <c r="K112" s="314">
        <v>1300</v>
      </c>
      <c r="L112" s="314">
        <v>200</v>
      </c>
      <c r="M112" s="314">
        <v>529</v>
      </c>
      <c r="N112" s="314">
        <v>400</v>
      </c>
      <c r="O112" s="314">
        <v>15189</v>
      </c>
      <c r="P112" s="314">
        <v>13749</v>
      </c>
      <c r="Q112" s="309"/>
      <c r="T112" s="315"/>
      <c r="U112" s="315"/>
    </row>
    <row r="113" spans="1:21" ht="12.75" x14ac:dyDescent="0.2">
      <c r="A113" s="312">
        <v>103</v>
      </c>
      <c r="B113" s="282" t="s">
        <v>155</v>
      </c>
      <c r="C113" s="313" t="s">
        <v>156</v>
      </c>
      <c r="D113" s="314">
        <f t="shared" si="10"/>
        <v>33336</v>
      </c>
      <c r="E113" s="314">
        <f t="shared" si="11"/>
        <v>0</v>
      </c>
      <c r="F113" s="314">
        <v>0</v>
      </c>
      <c r="G113" s="314">
        <v>0</v>
      </c>
      <c r="H113" s="314">
        <v>0</v>
      </c>
      <c r="I113" s="314">
        <v>0</v>
      </c>
      <c r="J113" s="314">
        <f t="shared" si="12"/>
        <v>33336</v>
      </c>
      <c r="K113" s="314">
        <v>11610</v>
      </c>
      <c r="L113" s="314">
        <v>1744</v>
      </c>
      <c r="M113" s="314">
        <v>0</v>
      </c>
      <c r="N113" s="314">
        <v>1600</v>
      </c>
      <c r="O113" s="314">
        <v>8104</v>
      </c>
      <c r="P113" s="314">
        <v>10278</v>
      </c>
      <c r="Q113" s="309"/>
      <c r="T113" s="315"/>
      <c r="U113" s="315"/>
    </row>
    <row r="114" spans="1:21" ht="12.75" x14ac:dyDescent="0.2">
      <c r="A114" s="312">
        <v>104</v>
      </c>
      <c r="B114" s="258" t="s">
        <v>157</v>
      </c>
      <c r="C114" s="259" t="s">
        <v>158</v>
      </c>
      <c r="D114" s="314">
        <f t="shared" si="10"/>
        <v>11688</v>
      </c>
      <c r="E114" s="314">
        <f t="shared" si="11"/>
        <v>0</v>
      </c>
      <c r="F114" s="314">
        <v>0</v>
      </c>
      <c r="G114" s="314">
        <v>0</v>
      </c>
      <c r="H114" s="314">
        <v>0</v>
      </c>
      <c r="I114" s="314">
        <v>0</v>
      </c>
      <c r="J114" s="314">
        <f t="shared" si="12"/>
        <v>11688</v>
      </c>
      <c r="K114" s="314">
        <v>606</v>
      </c>
      <c r="L114" s="314">
        <v>0</v>
      </c>
      <c r="M114" s="314">
        <v>416</v>
      </c>
      <c r="N114" s="314">
        <v>0</v>
      </c>
      <c r="O114" s="314">
        <v>9543</v>
      </c>
      <c r="P114" s="314">
        <v>1123</v>
      </c>
      <c r="Q114" s="309"/>
      <c r="T114" s="315"/>
      <c r="U114" s="315"/>
    </row>
    <row r="115" spans="1:21" ht="12.75" x14ac:dyDescent="0.2">
      <c r="A115" s="312">
        <v>105</v>
      </c>
      <c r="B115" s="317" t="s">
        <v>159</v>
      </c>
      <c r="C115" s="318" t="s">
        <v>160</v>
      </c>
      <c r="D115" s="314">
        <f t="shared" si="10"/>
        <v>14240</v>
      </c>
      <c r="E115" s="314">
        <f t="shared" si="11"/>
        <v>0</v>
      </c>
      <c r="F115" s="314">
        <v>0</v>
      </c>
      <c r="G115" s="314">
        <v>0</v>
      </c>
      <c r="H115" s="314">
        <v>0</v>
      </c>
      <c r="I115" s="314">
        <v>0</v>
      </c>
      <c r="J115" s="314">
        <f t="shared" si="12"/>
        <v>14240</v>
      </c>
      <c r="K115" s="314">
        <v>3151</v>
      </c>
      <c r="L115" s="314">
        <v>232</v>
      </c>
      <c r="M115" s="314">
        <v>69</v>
      </c>
      <c r="N115" s="314">
        <v>99</v>
      </c>
      <c r="O115" s="314">
        <v>5792</v>
      </c>
      <c r="P115" s="314">
        <v>4897</v>
      </c>
      <c r="Q115" s="309"/>
      <c r="T115" s="315"/>
      <c r="U115" s="315"/>
    </row>
    <row r="116" spans="1:21" ht="12.75" x14ac:dyDescent="0.2">
      <c r="A116" s="312">
        <v>106</v>
      </c>
      <c r="B116" s="282" t="s">
        <v>161</v>
      </c>
      <c r="C116" s="313" t="s">
        <v>162</v>
      </c>
      <c r="D116" s="314">
        <f t="shared" si="10"/>
        <v>13715</v>
      </c>
      <c r="E116" s="314">
        <f t="shared" si="11"/>
        <v>0</v>
      </c>
      <c r="F116" s="314">
        <v>0</v>
      </c>
      <c r="G116" s="314">
        <v>0</v>
      </c>
      <c r="H116" s="314">
        <v>0</v>
      </c>
      <c r="I116" s="314">
        <v>0</v>
      </c>
      <c r="J116" s="314">
        <f t="shared" si="12"/>
        <v>13715</v>
      </c>
      <c r="K116" s="314">
        <v>1860</v>
      </c>
      <c r="L116" s="314">
        <v>700</v>
      </c>
      <c r="M116" s="314">
        <v>208</v>
      </c>
      <c r="N116" s="314">
        <v>60</v>
      </c>
      <c r="O116" s="314">
        <v>6655</v>
      </c>
      <c r="P116" s="314">
        <v>4232</v>
      </c>
      <c r="Q116" s="309"/>
      <c r="T116" s="315"/>
      <c r="U116" s="315"/>
    </row>
    <row r="117" spans="1:21" ht="12.75" x14ac:dyDescent="0.2">
      <c r="A117" s="312">
        <v>107</v>
      </c>
      <c r="B117" s="316" t="s">
        <v>163</v>
      </c>
      <c r="C117" s="313" t="s">
        <v>164</v>
      </c>
      <c r="D117" s="314">
        <f t="shared" si="10"/>
        <v>14988</v>
      </c>
      <c r="E117" s="314">
        <f t="shared" si="11"/>
        <v>0</v>
      </c>
      <c r="F117" s="314">
        <v>0</v>
      </c>
      <c r="G117" s="314">
        <v>0</v>
      </c>
      <c r="H117" s="314">
        <v>0</v>
      </c>
      <c r="I117" s="314">
        <v>0</v>
      </c>
      <c r="J117" s="314">
        <f t="shared" si="12"/>
        <v>14988</v>
      </c>
      <c r="K117" s="314">
        <v>1080</v>
      </c>
      <c r="L117" s="314">
        <v>140</v>
      </c>
      <c r="M117" s="314">
        <v>82</v>
      </c>
      <c r="N117" s="314">
        <v>0</v>
      </c>
      <c r="O117" s="314">
        <v>3150</v>
      </c>
      <c r="P117" s="314">
        <v>10536</v>
      </c>
      <c r="Q117" s="309"/>
      <c r="T117" s="315"/>
      <c r="U117" s="315"/>
    </row>
    <row r="118" spans="1:21" ht="12.75" x14ac:dyDescent="0.2">
      <c r="A118" s="312">
        <v>108</v>
      </c>
      <c r="B118" s="258" t="s">
        <v>165</v>
      </c>
      <c r="C118" s="259" t="s">
        <v>166</v>
      </c>
      <c r="D118" s="314">
        <f t="shared" si="10"/>
        <v>11088</v>
      </c>
      <c r="E118" s="314">
        <f t="shared" si="11"/>
        <v>0</v>
      </c>
      <c r="F118" s="314">
        <v>0</v>
      </c>
      <c r="G118" s="314">
        <v>0</v>
      </c>
      <c r="H118" s="314">
        <v>0</v>
      </c>
      <c r="I118" s="314">
        <v>0</v>
      </c>
      <c r="J118" s="314">
        <f t="shared" si="12"/>
        <v>11088</v>
      </c>
      <c r="K118" s="314">
        <v>2969</v>
      </c>
      <c r="L118" s="314">
        <v>634</v>
      </c>
      <c r="M118" s="314">
        <v>1175</v>
      </c>
      <c r="N118" s="314">
        <v>0</v>
      </c>
      <c r="O118" s="314">
        <v>4624</v>
      </c>
      <c r="P118" s="314">
        <v>1686</v>
      </c>
      <c r="Q118" s="309"/>
      <c r="T118" s="315"/>
      <c r="U118" s="315"/>
    </row>
    <row r="119" spans="1:21" ht="12.75" x14ac:dyDescent="0.2">
      <c r="A119" s="312">
        <v>109</v>
      </c>
      <c r="B119" s="258" t="s">
        <v>167</v>
      </c>
      <c r="C119" s="259" t="s">
        <v>168</v>
      </c>
      <c r="D119" s="314">
        <f t="shared" si="10"/>
        <v>8584</v>
      </c>
      <c r="E119" s="314">
        <f t="shared" si="11"/>
        <v>0</v>
      </c>
      <c r="F119" s="314">
        <v>0</v>
      </c>
      <c r="G119" s="314">
        <v>0</v>
      </c>
      <c r="H119" s="314">
        <v>0</v>
      </c>
      <c r="I119" s="314">
        <v>0</v>
      </c>
      <c r="J119" s="314">
        <f t="shared" si="12"/>
        <v>8584</v>
      </c>
      <c r="K119" s="314">
        <v>1110</v>
      </c>
      <c r="L119" s="314">
        <v>0</v>
      </c>
      <c r="M119" s="314">
        <v>1233</v>
      </c>
      <c r="N119" s="314">
        <v>440</v>
      </c>
      <c r="O119" s="314">
        <v>1650</v>
      </c>
      <c r="P119" s="314">
        <v>4151</v>
      </c>
      <c r="Q119" s="309"/>
      <c r="T119" s="315"/>
      <c r="U119" s="315"/>
    </row>
    <row r="120" spans="1:21" ht="12.75" x14ac:dyDescent="0.2">
      <c r="A120" s="312">
        <v>110</v>
      </c>
      <c r="B120" s="282" t="s">
        <v>169</v>
      </c>
      <c r="C120" s="313" t="s">
        <v>170</v>
      </c>
      <c r="D120" s="314">
        <f t="shared" si="10"/>
        <v>16690</v>
      </c>
      <c r="E120" s="314">
        <f t="shared" si="11"/>
        <v>0</v>
      </c>
      <c r="F120" s="314">
        <v>0</v>
      </c>
      <c r="G120" s="314">
        <v>0</v>
      </c>
      <c r="H120" s="314">
        <v>0</v>
      </c>
      <c r="I120" s="314">
        <v>0</v>
      </c>
      <c r="J120" s="314">
        <f t="shared" si="12"/>
        <v>16690</v>
      </c>
      <c r="K120" s="314">
        <v>6278</v>
      </c>
      <c r="L120" s="314">
        <v>152</v>
      </c>
      <c r="M120" s="314">
        <v>1159</v>
      </c>
      <c r="N120" s="314">
        <v>0</v>
      </c>
      <c r="O120" s="314">
        <v>8060</v>
      </c>
      <c r="P120" s="314">
        <v>1041</v>
      </c>
      <c r="Q120" s="309"/>
      <c r="T120" s="315"/>
      <c r="U120" s="315"/>
    </row>
    <row r="121" spans="1:21" ht="12.75" x14ac:dyDescent="0.2">
      <c r="A121" s="312">
        <v>111</v>
      </c>
      <c r="B121" s="316" t="s">
        <v>171</v>
      </c>
      <c r="C121" s="313" t="s">
        <v>491</v>
      </c>
      <c r="D121" s="314">
        <f t="shared" si="10"/>
        <v>11253</v>
      </c>
      <c r="E121" s="314">
        <f t="shared" si="11"/>
        <v>0</v>
      </c>
      <c r="F121" s="314">
        <v>0</v>
      </c>
      <c r="G121" s="314">
        <v>0</v>
      </c>
      <c r="H121" s="314">
        <v>0</v>
      </c>
      <c r="I121" s="314">
        <v>0</v>
      </c>
      <c r="J121" s="314">
        <f t="shared" si="12"/>
        <v>11253</v>
      </c>
      <c r="K121" s="314">
        <v>1030</v>
      </c>
      <c r="L121" s="314">
        <v>160</v>
      </c>
      <c r="M121" s="314">
        <v>655</v>
      </c>
      <c r="N121" s="314">
        <v>250</v>
      </c>
      <c r="O121" s="314">
        <v>5355</v>
      </c>
      <c r="P121" s="314">
        <v>3803</v>
      </c>
      <c r="Q121" s="309"/>
      <c r="T121" s="315"/>
      <c r="U121" s="315"/>
    </row>
    <row r="122" spans="1:21" ht="12.75" x14ac:dyDescent="0.2">
      <c r="A122" s="312">
        <v>112</v>
      </c>
      <c r="B122" s="282" t="s">
        <v>373</v>
      </c>
      <c r="C122" s="259" t="s">
        <v>492</v>
      </c>
      <c r="D122" s="314">
        <f t="shared" si="10"/>
        <v>0</v>
      </c>
      <c r="E122" s="314">
        <f t="shared" si="11"/>
        <v>0</v>
      </c>
      <c r="F122" s="314">
        <v>0</v>
      </c>
      <c r="G122" s="314">
        <v>0</v>
      </c>
      <c r="H122" s="314">
        <v>0</v>
      </c>
      <c r="I122" s="314">
        <v>0</v>
      </c>
      <c r="J122" s="314">
        <f t="shared" si="12"/>
        <v>0</v>
      </c>
      <c r="K122" s="314">
        <v>0</v>
      </c>
      <c r="L122" s="314">
        <v>0</v>
      </c>
      <c r="M122" s="314">
        <v>0</v>
      </c>
      <c r="N122" s="314">
        <v>0</v>
      </c>
      <c r="O122" s="314">
        <v>0</v>
      </c>
      <c r="P122" s="314">
        <v>0</v>
      </c>
      <c r="Q122" s="309"/>
      <c r="T122" s="315"/>
      <c r="U122" s="315"/>
    </row>
    <row r="123" spans="1:21" x14ac:dyDescent="0.2">
      <c r="A123" s="312">
        <v>113</v>
      </c>
      <c r="B123" s="293" t="s">
        <v>493</v>
      </c>
      <c r="C123" s="234" t="s">
        <v>494</v>
      </c>
      <c r="D123" s="314">
        <f t="shared" si="10"/>
        <v>0</v>
      </c>
      <c r="E123" s="314">
        <f t="shared" si="11"/>
        <v>0</v>
      </c>
      <c r="F123" s="314">
        <v>0</v>
      </c>
      <c r="G123" s="314">
        <v>0</v>
      </c>
      <c r="H123" s="314">
        <v>0</v>
      </c>
      <c r="I123" s="314">
        <v>0</v>
      </c>
      <c r="J123" s="314">
        <f t="shared" si="12"/>
        <v>0</v>
      </c>
      <c r="K123" s="314">
        <v>0</v>
      </c>
      <c r="L123" s="314">
        <v>0</v>
      </c>
      <c r="M123" s="314">
        <v>0</v>
      </c>
      <c r="N123" s="314">
        <v>0</v>
      </c>
      <c r="O123" s="314">
        <v>0</v>
      </c>
      <c r="P123" s="314">
        <v>0</v>
      </c>
      <c r="Q123" s="309"/>
      <c r="T123" s="315"/>
      <c r="U123" s="315"/>
    </row>
    <row r="124" spans="1:21" ht="12.75" x14ac:dyDescent="0.2">
      <c r="A124" s="312">
        <v>114</v>
      </c>
      <c r="B124" s="258" t="s">
        <v>375</v>
      </c>
      <c r="C124" s="259" t="s">
        <v>495</v>
      </c>
      <c r="D124" s="314">
        <f t="shared" si="10"/>
        <v>0</v>
      </c>
      <c r="E124" s="314">
        <f t="shared" si="11"/>
        <v>0</v>
      </c>
      <c r="F124" s="314">
        <v>0</v>
      </c>
      <c r="G124" s="314">
        <v>0</v>
      </c>
      <c r="H124" s="314">
        <v>0</v>
      </c>
      <c r="I124" s="314">
        <v>0</v>
      </c>
      <c r="J124" s="314">
        <f t="shared" si="12"/>
        <v>0</v>
      </c>
      <c r="K124" s="314">
        <v>0</v>
      </c>
      <c r="L124" s="314">
        <v>0</v>
      </c>
      <c r="M124" s="314">
        <v>0</v>
      </c>
      <c r="N124" s="314">
        <v>0</v>
      </c>
      <c r="O124" s="314">
        <v>0</v>
      </c>
      <c r="P124" s="314">
        <v>0</v>
      </c>
      <c r="Q124" s="309"/>
      <c r="T124" s="315"/>
      <c r="U124" s="315"/>
    </row>
    <row r="125" spans="1:21" ht="12.75" x14ac:dyDescent="0.2">
      <c r="A125" s="312">
        <v>115</v>
      </c>
      <c r="B125" s="258" t="s">
        <v>377</v>
      </c>
      <c r="C125" s="259" t="s">
        <v>496</v>
      </c>
      <c r="D125" s="314">
        <f t="shared" si="10"/>
        <v>0</v>
      </c>
      <c r="E125" s="314">
        <f t="shared" si="11"/>
        <v>0</v>
      </c>
      <c r="F125" s="314">
        <v>0</v>
      </c>
      <c r="G125" s="314">
        <v>0</v>
      </c>
      <c r="H125" s="314">
        <v>0</v>
      </c>
      <c r="I125" s="314">
        <v>0</v>
      </c>
      <c r="J125" s="314">
        <f t="shared" si="12"/>
        <v>0</v>
      </c>
      <c r="K125" s="314">
        <v>0</v>
      </c>
      <c r="L125" s="314">
        <v>0</v>
      </c>
      <c r="M125" s="314">
        <v>0</v>
      </c>
      <c r="N125" s="314">
        <v>0</v>
      </c>
      <c r="O125" s="314">
        <v>0</v>
      </c>
      <c r="P125" s="314">
        <v>0</v>
      </c>
      <c r="Q125" s="309"/>
      <c r="T125" s="315"/>
      <c r="U125" s="315"/>
    </row>
    <row r="126" spans="1:21" x14ac:dyDescent="0.2">
      <c r="A126" s="312">
        <v>116</v>
      </c>
      <c r="B126" s="248" t="s">
        <v>497</v>
      </c>
      <c r="C126" s="238" t="s">
        <v>498</v>
      </c>
      <c r="D126" s="314">
        <f t="shared" si="10"/>
        <v>0</v>
      </c>
      <c r="E126" s="314">
        <f t="shared" si="11"/>
        <v>0</v>
      </c>
      <c r="F126" s="314">
        <v>0</v>
      </c>
      <c r="G126" s="314">
        <v>0</v>
      </c>
      <c r="H126" s="314">
        <v>0</v>
      </c>
      <c r="I126" s="314">
        <v>0</v>
      </c>
      <c r="J126" s="314">
        <f t="shared" si="12"/>
        <v>0</v>
      </c>
      <c r="K126" s="314">
        <v>0</v>
      </c>
      <c r="L126" s="314">
        <v>0</v>
      </c>
      <c r="M126" s="314">
        <v>0</v>
      </c>
      <c r="N126" s="314">
        <v>0</v>
      </c>
      <c r="O126" s="314">
        <v>0</v>
      </c>
      <c r="P126" s="314">
        <v>0</v>
      </c>
      <c r="Q126" s="309"/>
      <c r="T126" s="315"/>
      <c r="U126" s="315"/>
    </row>
    <row r="127" spans="1:21" ht="24" x14ac:dyDescent="0.2">
      <c r="A127" s="312">
        <v>117</v>
      </c>
      <c r="B127" s="248" t="s">
        <v>379</v>
      </c>
      <c r="C127" s="238" t="s">
        <v>499</v>
      </c>
      <c r="D127" s="314">
        <f t="shared" si="10"/>
        <v>0</v>
      </c>
      <c r="E127" s="314">
        <f t="shared" si="11"/>
        <v>0</v>
      </c>
      <c r="F127" s="314">
        <v>0</v>
      </c>
      <c r="G127" s="314">
        <v>0</v>
      </c>
      <c r="H127" s="314">
        <v>0</v>
      </c>
      <c r="I127" s="314">
        <v>0</v>
      </c>
      <c r="J127" s="314">
        <f t="shared" si="12"/>
        <v>0</v>
      </c>
      <c r="K127" s="314">
        <v>0</v>
      </c>
      <c r="L127" s="314">
        <v>0</v>
      </c>
      <c r="M127" s="314">
        <v>0</v>
      </c>
      <c r="N127" s="314">
        <v>0</v>
      </c>
      <c r="O127" s="314">
        <v>0</v>
      </c>
      <c r="P127" s="314">
        <v>0</v>
      </c>
      <c r="Q127" s="309"/>
      <c r="T127" s="315"/>
      <c r="U127" s="315"/>
    </row>
    <row r="128" spans="1:21" x14ac:dyDescent="0.2">
      <c r="A128" s="312">
        <v>118</v>
      </c>
      <c r="B128" s="248" t="s">
        <v>172</v>
      </c>
      <c r="C128" s="238" t="s">
        <v>173</v>
      </c>
      <c r="D128" s="314">
        <f t="shared" si="10"/>
        <v>0</v>
      </c>
      <c r="E128" s="314">
        <f t="shared" si="11"/>
        <v>0</v>
      </c>
      <c r="F128" s="314">
        <v>0</v>
      </c>
      <c r="G128" s="314">
        <v>0</v>
      </c>
      <c r="H128" s="314">
        <v>0</v>
      </c>
      <c r="I128" s="314">
        <v>0</v>
      </c>
      <c r="J128" s="314">
        <f t="shared" si="12"/>
        <v>0</v>
      </c>
      <c r="K128" s="314">
        <v>0</v>
      </c>
      <c r="L128" s="314">
        <v>0</v>
      </c>
      <c r="M128" s="314">
        <v>0</v>
      </c>
      <c r="N128" s="314">
        <v>0</v>
      </c>
      <c r="O128" s="314">
        <v>0</v>
      </c>
      <c r="P128" s="314">
        <v>0</v>
      </c>
      <c r="Q128" s="309"/>
      <c r="T128" s="315"/>
      <c r="U128" s="315"/>
    </row>
    <row r="129" spans="1:21" ht="12.75" x14ac:dyDescent="0.2">
      <c r="A129" s="312">
        <v>119</v>
      </c>
      <c r="B129" s="258" t="s">
        <v>381</v>
      </c>
      <c r="C129" s="259" t="s">
        <v>500</v>
      </c>
      <c r="D129" s="314">
        <f t="shared" si="10"/>
        <v>0</v>
      </c>
      <c r="E129" s="314">
        <f t="shared" si="11"/>
        <v>0</v>
      </c>
      <c r="F129" s="314">
        <v>0</v>
      </c>
      <c r="G129" s="314">
        <v>0</v>
      </c>
      <c r="H129" s="325">
        <v>0</v>
      </c>
      <c r="I129" s="325">
        <v>0</v>
      </c>
      <c r="J129" s="314">
        <f t="shared" si="12"/>
        <v>0</v>
      </c>
      <c r="K129" s="314">
        <v>0</v>
      </c>
      <c r="L129" s="314">
        <v>0</v>
      </c>
      <c r="M129" s="314">
        <v>0</v>
      </c>
      <c r="N129" s="314">
        <v>0</v>
      </c>
      <c r="O129" s="325">
        <v>0</v>
      </c>
      <c r="P129" s="325">
        <v>0</v>
      </c>
      <c r="Q129" s="309"/>
      <c r="T129" s="315"/>
      <c r="U129" s="315"/>
    </row>
    <row r="130" spans="1:21" x14ac:dyDescent="0.2">
      <c r="A130" s="312">
        <v>120</v>
      </c>
      <c r="B130" s="250" t="s">
        <v>174</v>
      </c>
      <c r="C130" s="251" t="s">
        <v>175</v>
      </c>
      <c r="D130" s="314">
        <f t="shared" si="10"/>
        <v>0</v>
      </c>
      <c r="E130" s="314">
        <f t="shared" si="11"/>
        <v>0</v>
      </c>
      <c r="F130" s="314">
        <v>0</v>
      </c>
      <c r="G130" s="314">
        <v>0</v>
      </c>
      <c r="H130" s="325">
        <v>0</v>
      </c>
      <c r="I130" s="325">
        <v>0</v>
      </c>
      <c r="J130" s="314">
        <f t="shared" si="12"/>
        <v>0</v>
      </c>
      <c r="K130" s="314">
        <v>0</v>
      </c>
      <c r="L130" s="314">
        <v>0</v>
      </c>
      <c r="M130" s="314">
        <v>0</v>
      </c>
      <c r="N130" s="314">
        <v>0</v>
      </c>
      <c r="O130" s="325">
        <v>0</v>
      </c>
      <c r="P130" s="325">
        <v>0</v>
      </c>
      <c r="Q130" s="309"/>
      <c r="T130" s="315"/>
      <c r="U130" s="315"/>
    </row>
    <row r="131" spans="1:21" ht="12.75" x14ac:dyDescent="0.2">
      <c r="A131" s="312">
        <v>121</v>
      </c>
      <c r="B131" s="282" t="s">
        <v>176</v>
      </c>
      <c r="C131" s="283" t="s">
        <v>526</v>
      </c>
      <c r="D131" s="314">
        <f t="shared" si="10"/>
        <v>0</v>
      </c>
      <c r="E131" s="314">
        <f t="shared" si="11"/>
        <v>0</v>
      </c>
      <c r="F131" s="314">
        <v>0</v>
      </c>
      <c r="G131" s="314">
        <v>0</v>
      </c>
      <c r="H131" s="325">
        <v>0</v>
      </c>
      <c r="I131" s="325">
        <v>0</v>
      </c>
      <c r="J131" s="314">
        <f t="shared" si="12"/>
        <v>0</v>
      </c>
      <c r="K131" s="314">
        <v>0</v>
      </c>
      <c r="L131" s="314">
        <v>0</v>
      </c>
      <c r="M131" s="314">
        <v>0</v>
      </c>
      <c r="N131" s="314">
        <v>0</v>
      </c>
      <c r="O131" s="325">
        <v>0</v>
      </c>
      <c r="P131" s="325">
        <v>0</v>
      </c>
      <c r="Q131" s="309"/>
      <c r="T131" s="315"/>
      <c r="U131" s="315"/>
    </row>
    <row r="132" spans="1:21" x14ac:dyDescent="0.2">
      <c r="A132" s="312">
        <v>122</v>
      </c>
      <c r="B132" s="248" t="s">
        <v>383</v>
      </c>
      <c r="C132" s="238" t="s">
        <v>501</v>
      </c>
      <c r="D132" s="314">
        <f t="shared" si="10"/>
        <v>0</v>
      </c>
      <c r="E132" s="314">
        <f t="shared" si="11"/>
        <v>0</v>
      </c>
      <c r="F132" s="314">
        <v>0</v>
      </c>
      <c r="G132" s="314">
        <v>0</v>
      </c>
      <c r="H132" s="325">
        <v>0</v>
      </c>
      <c r="I132" s="325">
        <v>0</v>
      </c>
      <c r="J132" s="314">
        <f t="shared" si="12"/>
        <v>0</v>
      </c>
      <c r="K132" s="314">
        <v>0</v>
      </c>
      <c r="L132" s="314">
        <v>0</v>
      </c>
      <c r="M132" s="314">
        <v>0</v>
      </c>
      <c r="N132" s="314">
        <v>0</v>
      </c>
      <c r="O132" s="325">
        <v>0</v>
      </c>
      <c r="P132" s="325">
        <v>0</v>
      </c>
      <c r="Q132" s="309"/>
      <c r="T132" s="315"/>
      <c r="U132" s="315"/>
    </row>
    <row r="133" spans="1:21" x14ac:dyDescent="0.2">
      <c r="A133" s="312">
        <v>123</v>
      </c>
      <c r="B133" s="237" t="s">
        <v>502</v>
      </c>
      <c r="C133" s="253" t="s">
        <v>503</v>
      </c>
      <c r="D133" s="314">
        <f t="shared" si="10"/>
        <v>0</v>
      </c>
      <c r="E133" s="314">
        <f t="shared" si="11"/>
        <v>0</v>
      </c>
      <c r="F133" s="314">
        <v>0</v>
      </c>
      <c r="G133" s="314">
        <v>0</v>
      </c>
      <c r="H133" s="325">
        <v>0</v>
      </c>
      <c r="I133" s="325">
        <v>0</v>
      </c>
      <c r="J133" s="314">
        <f t="shared" si="12"/>
        <v>0</v>
      </c>
      <c r="K133" s="314">
        <v>0</v>
      </c>
      <c r="L133" s="314">
        <v>0</v>
      </c>
      <c r="M133" s="314">
        <v>0</v>
      </c>
      <c r="N133" s="314">
        <v>0</v>
      </c>
      <c r="O133" s="325">
        <v>0</v>
      </c>
      <c r="P133" s="325">
        <v>0</v>
      </c>
      <c r="Q133" s="309"/>
      <c r="T133" s="315"/>
      <c r="U133" s="315"/>
    </row>
    <row r="134" spans="1:21" ht="24" x14ac:dyDescent="0.2">
      <c r="A134" s="312">
        <v>124</v>
      </c>
      <c r="B134" s="248" t="s">
        <v>504</v>
      </c>
      <c r="C134" s="238" t="s">
        <v>505</v>
      </c>
      <c r="D134" s="314">
        <f t="shared" si="10"/>
        <v>0</v>
      </c>
      <c r="E134" s="314">
        <f t="shared" si="11"/>
        <v>0</v>
      </c>
      <c r="F134" s="314">
        <v>0</v>
      </c>
      <c r="G134" s="314">
        <v>0</v>
      </c>
      <c r="H134" s="325">
        <v>0</v>
      </c>
      <c r="I134" s="325">
        <v>0</v>
      </c>
      <c r="J134" s="314">
        <f t="shared" si="12"/>
        <v>0</v>
      </c>
      <c r="K134" s="314">
        <v>0</v>
      </c>
      <c r="L134" s="314">
        <v>0</v>
      </c>
      <c r="M134" s="314">
        <v>0</v>
      </c>
      <c r="N134" s="314">
        <v>0</v>
      </c>
      <c r="O134" s="325">
        <v>0</v>
      </c>
      <c r="P134" s="325">
        <v>0</v>
      </c>
      <c r="Q134" s="309"/>
      <c r="T134" s="315"/>
      <c r="U134" s="315"/>
    </row>
    <row r="135" spans="1:21" ht="24" x14ac:dyDescent="0.2">
      <c r="A135" s="312">
        <v>125</v>
      </c>
      <c r="B135" s="248" t="s">
        <v>177</v>
      </c>
      <c r="C135" s="238" t="s">
        <v>178</v>
      </c>
      <c r="D135" s="314">
        <f t="shared" si="10"/>
        <v>0</v>
      </c>
      <c r="E135" s="314">
        <f t="shared" si="11"/>
        <v>0</v>
      </c>
      <c r="F135" s="314">
        <v>0</v>
      </c>
      <c r="G135" s="314">
        <v>0</v>
      </c>
      <c r="H135" s="325">
        <v>0</v>
      </c>
      <c r="I135" s="325">
        <v>0</v>
      </c>
      <c r="J135" s="314">
        <f t="shared" si="12"/>
        <v>0</v>
      </c>
      <c r="K135" s="314">
        <v>0</v>
      </c>
      <c r="L135" s="314">
        <v>0</v>
      </c>
      <c r="M135" s="314">
        <v>0</v>
      </c>
      <c r="N135" s="314">
        <v>0</v>
      </c>
      <c r="O135" s="325">
        <v>0</v>
      </c>
      <c r="P135" s="325">
        <v>0</v>
      </c>
      <c r="Q135" s="309"/>
      <c r="T135" s="315"/>
      <c r="U135" s="315"/>
    </row>
    <row r="136" spans="1:21" ht="12.75" x14ac:dyDescent="0.2">
      <c r="A136" s="312">
        <v>126</v>
      </c>
      <c r="B136" s="316" t="s">
        <v>179</v>
      </c>
      <c r="C136" s="259" t="s">
        <v>506</v>
      </c>
      <c r="D136" s="314">
        <f t="shared" si="10"/>
        <v>0</v>
      </c>
      <c r="E136" s="314">
        <f t="shared" si="11"/>
        <v>0</v>
      </c>
      <c r="F136" s="314">
        <v>0</v>
      </c>
      <c r="G136" s="314">
        <v>0</v>
      </c>
      <c r="H136" s="325">
        <v>0</v>
      </c>
      <c r="I136" s="325">
        <v>0</v>
      </c>
      <c r="J136" s="314">
        <f t="shared" si="12"/>
        <v>0</v>
      </c>
      <c r="K136" s="314">
        <v>0</v>
      </c>
      <c r="L136" s="314">
        <v>0</v>
      </c>
      <c r="M136" s="314">
        <v>0</v>
      </c>
      <c r="N136" s="314">
        <v>0</v>
      </c>
      <c r="O136" s="325">
        <v>0</v>
      </c>
      <c r="P136" s="325">
        <v>0</v>
      </c>
      <c r="Q136" s="309"/>
      <c r="T136" s="315"/>
      <c r="U136" s="315"/>
    </row>
    <row r="137" spans="1:21" x14ac:dyDescent="0.2">
      <c r="A137" s="312">
        <v>127</v>
      </c>
      <c r="B137" s="254" t="s">
        <v>507</v>
      </c>
      <c r="C137" s="255" t="s">
        <v>508</v>
      </c>
      <c r="D137" s="314">
        <f t="shared" si="10"/>
        <v>0</v>
      </c>
      <c r="E137" s="314">
        <f t="shared" si="11"/>
        <v>0</v>
      </c>
      <c r="F137" s="314">
        <v>0</v>
      </c>
      <c r="G137" s="314">
        <v>0</v>
      </c>
      <c r="H137" s="325">
        <v>0</v>
      </c>
      <c r="I137" s="325">
        <v>0</v>
      </c>
      <c r="J137" s="314">
        <f t="shared" si="12"/>
        <v>0</v>
      </c>
      <c r="K137" s="314">
        <v>0</v>
      </c>
      <c r="L137" s="314">
        <v>0</v>
      </c>
      <c r="M137" s="314">
        <v>0</v>
      </c>
      <c r="N137" s="314">
        <v>0</v>
      </c>
      <c r="O137" s="325">
        <v>0</v>
      </c>
      <c r="P137" s="325">
        <v>0</v>
      </c>
      <c r="Q137" s="309"/>
      <c r="T137" s="315"/>
      <c r="U137" s="315"/>
    </row>
    <row r="138" spans="1:21" x14ac:dyDescent="0.2">
      <c r="A138" s="312">
        <v>128</v>
      </c>
      <c r="B138" s="248" t="s">
        <v>509</v>
      </c>
      <c r="C138" s="238" t="s">
        <v>510</v>
      </c>
      <c r="D138" s="314">
        <f t="shared" si="10"/>
        <v>0</v>
      </c>
      <c r="E138" s="314">
        <f t="shared" si="11"/>
        <v>0</v>
      </c>
      <c r="F138" s="314">
        <v>0</v>
      </c>
      <c r="G138" s="314">
        <v>0</v>
      </c>
      <c r="H138" s="325">
        <v>0</v>
      </c>
      <c r="I138" s="325">
        <v>0</v>
      </c>
      <c r="J138" s="314">
        <f t="shared" si="12"/>
        <v>0</v>
      </c>
      <c r="K138" s="314">
        <v>0</v>
      </c>
      <c r="L138" s="314">
        <v>0</v>
      </c>
      <c r="M138" s="314">
        <v>0</v>
      </c>
      <c r="N138" s="314">
        <v>0</v>
      </c>
      <c r="O138" s="325">
        <v>0</v>
      </c>
      <c r="P138" s="325">
        <v>0</v>
      </c>
      <c r="Q138" s="309"/>
      <c r="T138" s="315"/>
      <c r="U138" s="315"/>
    </row>
    <row r="139" spans="1:21" ht="12.75" x14ac:dyDescent="0.2">
      <c r="A139" s="312">
        <v>129</v>
      </c>
      <c r="B139" s="282" t="s">
        <v>386</v>
      </c>
      <c r="C139" s="313" t="s">
        <v>511</v>
      </c>
      <c r="D139" s="314">
        <f t="shared" si="10"/>
        <v>0</v>
      </c>
      <c r="E139" s="314">
        <f t="shared" si="11"/>
        <v>0</v>
      </c>
      <c r="F139" s="314">
        <v>0</v>
      </c>
      <c r="G139" s="314">
        <v>0</v>
      </c>
      <c r="H139" s="325">
        <v>0</v>
      </c>
      <c r="I139" s="325">
        <v>0</v>
      </c>
      <c r="J139" s="314">
        <f t="shared" si="12"/>
        <v>0</v>
      </c>
      <c r="K139" s="314">
        <v>0</v>
      </c>
      <c r="L139" s="314">
        <v>0</v>
      </c>
      <c r="M139" s="314">
        <v>0</v>
      </c>
      <c r="N139" s="314">
        <v>0</v>
      </c>
      <c r="O139" s="325">
        <v>0</v>
      </c>
      <c r="P139" s="325">
        <v>0</v>
      </c>
      <c r="Q139" s="309"/>
      <c r="T139" s="315"/>
      <c r="U139" s="315"/>
    </row>
    <row r="140" spans="1:21" x14ac:dyDescent="0.2">
      <c r="A140" s="312">
        <v>130</v>
      </c>
      <c r="B140" s="246" t="s">
        <v>388</v>
      </c>
      <c r="C140" s="234" t="s">
        <v>512</v>
      </c>
      <c r="D140" s="314">
        <f t="shared" si="10"/>
        <v>0</v>
      </c>
      <c r="E140" s="314">
        <f t="shared" si="11"/>
        <v>0</v>
      </c>
      <c r="F140" s="314">
        <v>0</v>
      </c>
      <c r="G140" s="314">
        <v>0</v>
      </c>
      <c r="H140" s="325">
        <v>0</v>
      </c>
      <c r="I140" s="325">
        <v>0</v>
      </c>
      <c r="J140" s="314">
        <f t="shared" si="12"/>
        <v>0</v>
      </c>
      <c r="K140" s="314">
        <v>0</v>
      </c>
      <c r="L140" s="314">
        <v>0</v>
      </c>
      <c r="M140" s="314">
        <v>0</v>
      </c>
      <c r="N140" s="314">
        <v>0</v>
      </c>
      <c r="O140" s="325">
        <v>0</v>
      </c>
      <c r="P140" s="325">
        <v>0</v>
      </c>
      <c r="Q140" s="309"/>
      <c r="T140" s="315"/>
      <c r="U140" s="315"/>
    </row>
    <row r="141" spans="1:21" ht="12.75" x14ac:dyDescent="0.2">
      <c r="A141" s="312">
        <v>131</v>
      </c>
      <c r="B141" s="258" t="s">
        <v>390</v>
      </c>
      <c r="C141" s="259" t="s">
        <v>513</v>
      </c>
      <c r="D141" s="314">
        <f t="shared" si="10"/>
        <v>0</v>
      </c>
      <c r="E141" s="314">
        <f t="shared" si="11"/>
        <v>0</v>
      </c>
      <c r="F141" s="314">
        <v>0</v>
      </c>
      <c r="G141" s="314">
        <v>0</v>
      </c>
      <c r="H141" s="325">
        <v>0</v>
      </c>
      <c r="I141" s="325">
        <v>0</v>
      </c>
      <c r="J141" s="314">
        <f t="shared" si="12"/>
        <v>0</v>
      </c>
      <c r="K141" s="314">
        <v>0</v>
      </c>
      <c r="L141" s="314">
        <v>0</v>
      </c>
      <c r="M141" s="314">
        <v>0</v>
      </c>
      <c r="N141" s="314">
        <v>0</v>
      </c>
      <c r="O141" s="325">
        <v>0</v>
      </c>
      <c r="P141" s="325">
        <v>0</v>
      </c>
      <c r="Q141" s="309"/>
      <c r="T141" s="315"/>
      <c r="U141" s="315"/>
    </row>
    <row r="142" spans="1:21" x14ac:dyDescent="0.2">
      <c r="A142" s="312">
        <v>132</v>
      </c>
      <c r="B142" s="248" t="s">
        <v>514</v>
      </c>
      <c r="C142" s="238" t="s">
        <v>515</v>
      </c>
      <c r="D142" s="314">
        <f t="shared" si="10"/>
        <v>0</v>
      </c>
      <c r="E142" s="314">
        <f t="shared" si="11"/>
        <v>0</v>
      </c>
      <c r="F142" s="314">
        <v>0</v>
      </c>
      <c r="G142" s="314">
        <v>0</v>
      </c>
      <c r="H142" s="325">
        <v>0</v>
      </c>
      <c r="I142" s="325">
        <v>0</v>
      </c>
      <c r="J142" s="314">
        <f t="shared" si="12"/>
        <v>0</v>
      </c>
      <c r="K142" s="314">
        <v>0</v>
      </c>
      <c r="L142" s="314">
        <v>0</v>
      </c>
      <c r="M142" s="314">
        <v>0</v>
      </c>
      <c r="N142" s="314">
        <v>0</v>
      </c>
      <c r="O142" s="325">
        <v>0</v>
      </c>
      <c r="P142" s="325">
        <v>0</v>
      </c>
      <c r="Q142" s="309"/>
      <c r="T142" s="315"/>
      <c r="U142" s="315"/>
    </row>
    <row r="143" spans="1:21" ht="12.75" x14ac:dyDescent="0.2">
      <c r="A143" s="312">
        <v>133</v>
      </c>
      <c r="B143" s="258" t="s">
        <v>15</v>
      </c>
      <c r="C143" s="259" t="s">
        <v>180</v>
      </c>
      <c r="D143" s="314">
        <f t="shared" si="10"/>
        <v>0</v>
      </c>
      <c r="E143" s="314">
        <f t="shared" si="11"/>
        <v>0</v>
      </c>
      <c r="F143" s="314">
        <v>0</v>
      </c>
      <c r="G143" s="314">
        <v>0</v>
      </c>
      <c r="H143" s="325">
        <v>0</v>
      </c>
      <c r="I143" s="325">
        <v>0</v>
      </c>
      <c r="J143" s="314">
        <f t="shared" si="12"/>
        <v>0</v>
      </c>
      <c r="K143" s="314">
        <v>0</v>
      </c>
      <c r="L143" s="314">
        <v>0</v>
      </c>
      <c r="M143" s="314">
        <v>0</v>
      </c>
      <c r="N143" s="314">
        <v>0</v>
      </c>
      <c r="O143" s="325">
        <v>0</v>
      </c>
      <c r="P143" s="325">
        <v>0</v>
      </c>
      <c r="Q143" s="309"/>
      <c r="T143" s="315"/>
      <c r="U143" s="315"/>
    </row>
    <row r="144" spans="1:21" ht="12.75" x14ac:dyDescent="0.2">
      <c r="A144" s="312">
        <v>134</v>
      </c>
      <c r="B144" s="258" t="s">
        <v>181</v>
      </c>
      <c r="C144" s="259" t="s">
        <v>182</v>
      </c>
      <c r="D144" s="314">
        <f t="shared" si="10"/>
        <v>0</v>
      </c>
      <c r="E144" s="314">
        <f t="shared" si="11"/>
        <v>0</v>
      </c>
      <c r="F144" s="314">
        <v>0</v>
      </c>
      <c r="G144" s="314">
        <v>0</v>
      </c>
      <c r="H144" s="325">
        <v>0</v>
      </c>
      <c r="I144" s="325">
        <v>0</v>
      </c>
      <c r="J144" s="314">
        <f t="shared" si="12"/>
        <v>0</v>
      </c>
      <c r="K144" s="314">
        <v>0</v>
      </c>
      <c r="L144" s="314">
        <v>0</v>
      </c>
      <c r="M144" s="314">
        <v>0</v>
      </c>
      <c r="N144" s="314">
        <v>0</v>
      </c>
      <c r="O144" s="325">
        <v>0</v>
      </c>
      <c r="P144" s="325">
        <v>0</v>
      </c>
      <c r="Q144" s="309"/>
      <c r="T144" s="315"/>
      <c r="U144" s="315"/>
    </row>
    <row r="145" spans="1:21" ht="12.75" x14ac:dyDescent="0.2">
      <c r="A145" s="312">
        <v>135</v>
      </c>
      <c r="B145" s="258" t="s">
        <v>14</v>
      </c>
      <c r="C145" s="259" t="s">
        <v>13</v>
      </c>
      <c r="D145" s="314">
        <f t="shared" si="10"/>
        <v>0</v>
      </c>
      <c r="E145" s="314">
        <f t="shared" si="11"/>
        <v>0</v>
      </c>
      <c r="F145" s="314">
        <v>0</v>
      </c>
      <c r="G145" s="314">
        <v>0</v>
      </c>
      <c r="H145" s="325">
        <v>0</v>
      </c>
      <c r="I145" s="325">
        <v>0</v>
      </c>
      <c r="J145" s="314">
        <f t="shared" si="12"/>
        <v>0</v>
      </c>
      <c r="K145" s="314">
        <v>0</v>
      </c>
      <c r="L145" s="314">
        <v>0</v>
      </c>
      <c r="M145" s="314">
        <v>0</v>
      </c>
      <c r="N145" s="314">
        <v>0</v>
      </c>
      <c r="O145" s="325">
        <v>0</v>
      </c>
      <c r="P145" s="325">
        <v>0</v>
      </c>
      <c r="Q145" s="309"/>
      <c r="T145" s="315"/>
      <c r="U145" s="315"/>
    </row>
    <row r="146" spans="1:21" ht="12.75" x14ac:dyDescent="0.2">
      <c r="A146" s="312">
        <v>136</v>
      </c>
      <c r="B146" s="282" t="s">
        <v>10</v>
      </c>
      <c r="C146" s="313" t="s">
        <v>7</v>
      </c>
      <c r="D146" s="314">
        <f t="shared" si="10"/>
        <v>0</v>
      </c>
      <c r="E146" s="314">
        <f t="shared" si="11"/>
        <v>0</v>
      </c>
      <c r="F146" s="314">
        <v>0</v>
      </c>
      <c r="G146" s="314">
        <v>0</v>
      </c>
      <c r="H146" s="325">
        <v>0</v>
      </c>
      <c r="I146" s="325">
        <v>0</v>
      </c>
      <c r="J146" s="314">
        <f t="shared" si="12"/>
        <v>0</v>
      </c>
      <c r="K146" s="314">
        <v>0</v>
      </c>
      <c r="L146" s="314">
        <v>0</v>
      </c>
      <c r="M146" s="314">
        <v>0</v>
      </c>
      <c r="N146" s="314">
        <v>0</v>
      </c>
      <c r="O146" s="325">
        <v>0</v>
      </c>
      <c r="P146" s="325">
        <v>0</v>
      </c>
      <c r="Q146" s="309"/>
      <c r="T146" s="315"/>
      <c r="U146" s="315"/>
    </row>
    <row r="147" spans="1:21" ht="12.75" x14ac:dyDescent="0.2">
      <c r="A147" s="312">
        <v>137</v>
      </c>
      <c r="B147" s="258" t="s">
        <v>393</v>
      </c>
      <c r="C147" s="259" t="s">
        <v>516</v>
      </c>
      <c r="D147" s="314">
        <f t="shared" si="10"/>
        <v>0</v>
      </c>
      <c r="E147" s="314">
        <f t="shared" si="11"/>
        <v>0</v>
      </c>
      <c r="F147" s="314">
        <v>0</v>
      </c>
      <c r="G147" s="314">
        <v>0</v>
      </c>
      <c r="H147" s="325">
        <v>0</v>
      </c>
      <c r="I147" s="325">
        <v>0</v>
      </c>
      <c r="J147" s="314">
        <f t="shared" si="12"/>
        <v>0</v>
      </c>
      <c r="K147" s="314">
        <v>0</v>
      </c>
      <c r="L147" s="314">
        <v>0</v>
      </c>
      <c r="M147" s="314">
        <v>0</v>
      </c>
      <c r="N147" s="314">
        <v>0</v>
      </c>
      <c r="O147" s="325">
        <v>0</v>
      </c>
      <c r="P147" s="325">
        <v>0</v>
      </c>
      <c r="Q147" s="309"/>
      <c r="T147" s="315"/>
      <c r="U147" s="315"/>
    </row>
    <row r="148" spans="1:21" ht="12.75" x14ac:dyDescent="0.2">
      <c r="A148" s="312">
        <v>138</v>
      </c>
      <c r="B148" s="282" t="s">
        <v>183</v>
      </c>
      <c r="C148" s="259" t="s">
        <v>184</v>
      </c>
      <c r="D148" s="314">
        <f t="shared" si="10"/>
        <v>0</v>
      </c>
      <c r="E148" s="314">
        <f t="shared" si="11"/>
        <v>0</v>
      </c>
      <c r="F148" s="314">
        <v>0</v>
      </c>
      <c r="G148" s="314">
        <v>0</v>
      </c>
      <c r="H148" s="325">
        <v>0</v>
      </c>
      <c r="I148" s="325">
        <v>0</v>
      </c>
      <c r="J148" s="314">
        <f t="shared" si="12"/>
        <v>0</v>
      </c>
      <c r="K148" s="314">
        <v>0</v>
      </c>
      <c r="L148" s="314">
        <v>0</v>
      </c>
      <c r="M148" s="314">
        <v>0</v>
      </c>
      <c r="N148" s="314">
        <v>0</v>
      </c>
      <c r="O148" s="325">
        <v>0</v>
      </c>
      <c r="P148" s="325">
        <v>0</v>
      </c>
      <c r="Q148" s="309"/>
      <c r="T148" s="315"/>
      <c r="U148" s="315"/>
    </row>
    <row r="149" spans="1:21" ht="12.75" x14ac:dyDescent="0.2">
      <c r="A149" s="312">
        <v>139</v>
      </c>
      <c r="B149" s="317" t="s">
        <v>185</v>
      </c>
      <c r="C149" s="318" t="s">
        <v>186</v>
      </c>
      <c r="D149" s="314">
        <f t="shared" si="10"/>
        <v>19686</v>
      </c>
      <c r="E149" s="314">
        <f t="shared" si="11"/>
        <v>19686</v>
      </c>
      <c r="F149" s="314">
        <v>19686</v>
      </c>
      <c r="G149" s="314">
        <v>0</v>
      </c>
      <c r="H149" s="325">
        <v>0</v>
      </c>
      <c r="I149" s="325">
        <v>0</v>
      </c>
      <c r="J149" s="314">
        <f t="shared" si="12"/>
        <v>0</v>
      </c>
      <c r="K149" s="314">
        <v>0</v>
      </c>
      <c r="L149" s="314">
        <v>0</v>
      </c>
      <c r="M149" s="314">
        <v>0</v>
      </c>
      <c r="N149" s="314">
        <v>0</v>
      </c>
      <c r="O149" s="325">
        <v>0</v>
      </c>
      <c r="P149" s="325">
        <v>0</v>
      </c>
      <c r="Q149" s="309"/>
      <c r="T149" s="315"/>
      <c r="U149" s="315"/>
    </row>
    <row r="150" spans="1:21" ht="12.75" x14ac:dyDescent="0.2">
      <c r="A150" s="312">
        <v>140</v>
      </c>
      <c r="B150" s="258" t="s">
        <v>187</v>
      </c>
      <c r="C150" s="259" t="s">
        <v>188</v>
      </c>
      <c r="D150" s="314">
        <f t="shared" si="10"/>
        <v>0</v>
      </c>
      <c r="E150" s="314">
        <f t="shared" si="11"/>
        <v>0</v>
      </c>
      <c r="F150" s="314">
        <v>0</v>
      </c>
      <c r="G150" s="314">
        <v>0</v>
      </c>
      <c r="H150" s="325">
        <v>0</v>
      </c>
      <c r="I150" s="325">
        <v>0</v>
      </c>
      <c r="J150" s="314">
        <f t="shared" si="12"/>
        <v>0</v>
      </c>
      <c r="K150" s="314">
        <v>0</v>
      </c>
      <c r="L150" s="314">
        <v>0</v>
      </c>
      <c r="M150" s="314">
        <v>0</v>
      </c>
      <c r="N150" s="314">
        <v>0</v>
      </c>
      <c r="O150" s="325">
        <v>0</v>
      </c>
      <c r="P150" s="325">
        <v>0</v>
      </c>
      <c r="Q150" s="309"/>
      <c r="T150" s="315"/>
      <c r="U150" s="315"/>
    </row>
    <row r="151" spans="1:21" ht="12.75" x14ac:dyDescent="0.2">
      <c r="A151" s="312">
        <v>141</v>
      </c>
      <c r="B151" s="258" t="s">
        <v>395</v>
      </c>
      <c r="C151" s="259" t="s">
        <v>396</v>
      </c>
      <c r="D151" s="314">
        <f t="shared" si="10"/>
        <v>0</v>
      </c>
      <c r="E151" s="314">
        <f t="shared" si="11"/>
        <v>0</v>
      </c>
      <c r="F151" s="314">
        <v>0</v>
      </c>
      <c r="G151" s="314">
        <v>0</v>
      </c>
      <c r="H151" s="325">
        <v>0</v>
      </c>
      <c r="I151" s="325">
        <v>0</v>
      </c>
      <c r="J151" s="314">
        <f t="shared" si="12"/>
        <v>0</v>
      </c>
      <c r="K151" s="314">
        <v>0</v>
      </c>
      <c r="L151" s="314">
        <v>0</v>
      </c>
      <c r="M151" s="314">
        <v>0</v>
      </c>
      <c r="N151" s="314">
        <v>0</v>
      </c>
      <c r="O151" s="325">
        <v>0</v>
      </c>
      <c r="P151" s="325">
        <v>0</v>
      </c>
      <c r="Q151" s="309"/>
      <c r="T151" s="315"/>
      <c r="U151" s="315"/>
    </row>
    <row r="152" spans="1:21" ht="12.75" x14ac:dyDescent="0.2">
      <c r="A152" s="312">
        <v>142</v>
      </c>
      <c r="B152" s="258" t="s">
        <v>189</v>
      </c>
      <c r="C152" s="259" t="s">
        <v>190</v>
      </c>
      <c r="D152" s="314">
        <f t="shared" si="10"/>
        <v>0</v>
      </c>
      <c r="E152" s="314">
        <f t="shared" si="11"/>
        <v>0</v>
      </c>
      <c r="F152" s="314">
        <v>0</v>
      </c>
      <c r="G152" s="314">
        <v>0</v>
      </c>
      <c r="H152" s="325">
        <v>0</v>
      </c>
      <c r="I152" s="325">
        <v>0</v>
      </c>
      <c r="J152" s="314">
        <f t="shared" si="12"/>
        <v>0</v>
      </c>
      <c r="K152" s="314">
        <v>0</v>
      </c>
      <c r="L152" s="314">
        <v>0</v>
      </c>
      <c r="M152" s="314">
        <v>0</v>
      </c>
      <c r="N152" s="314">
        <v>0</v>
      </c>
      <c r="O152" s="325">
        <v>0</v>
      </c>
      <c r="P152" s="325">
        <v>0</v>
      </c>
      <c r="Q152" s="309"/>
      <c r="T152" s="315"/>
      <c r="U152" s="315"/>
    </row>
    <row r="153" spans="1:21" ht="12.75" x14ac:dyDescent="0.2">
      <c r="A153" s="312">
        <v>143</v>
      </c>
      <c r="B153" s="317" t="s">
        <v>12</v>
      </c>
      <c r="C153" s="318" t="s">
        <v>2</v>
      </c>
      <c r="D153" s="314">
        <f t="shared" si="10"/>
        <v>0</v>
      </c>
      <c r="E153" s="314">
        <f t="shared" si="11"/>
        <v>0</v>
      </c>
      <c r="F153" s="314">
        <v>0</v>
      </c>
      <c r="G153" s="314">
        <v>0</v>
      </c>
      <c r="H153" s="325">
        <v>0</v>
      </c>
      <c r="I153" s="325">
        <v>0</v>
      </c>
      <c r="J153" s="314">
        <f t="shared" si="12"/>
        <v>0</v>
      </c>
      <c r="K153" s="314">
        <v>0</v>
      </c>
      <c r="L153" s="314">
        <v>0</v>
      </c>
      <c r="M153" s="314">
        <v>0</v>
      </c>
      <c r="N153" s="314">
        <v>0</v>
      </c>
      <c r="O153" s="325">
        <v>0</v>
      </c>
      <c r="P153" s="325">
        <v>0</v>
      </c>
      <c r="Q153" s="309"/>
      <c r="T153" s="315"/>
      <c r="U153" s="315"/>
    </row>
    <row r="154" spans="1:21" ht="12.75" x14ac:dyDescent="0.2">
      <c r="A154" s="312">
        <v>144</v>
      </c>
      <c r="B154" s="316" t="s">
        <v>3</v>
      </c>
      <c r="C154" s="318" t="s">
        <v>191</v>
      </c>
      <c r="D154" s="314">
        <f t="shared" si="10"/>
        <v>44103</v>
      </c>
      <c r="E154" s="314">
        <f t="shared" si="11"/>
        <v>0</v>
      </c>
      <c r="F154" s="314">
        <v>0</v>
      </c>
      <c r="G154" s="314">
        <v>0</v>
      </c>
      <c r="H154" s="325">
        <v>0</v>
      </c>
      <c r="I154" s="325">
        <v>0</v>
      </c>
      <c r="J154" s="314">
        <f t="shared" si="12"/>
        <v>44103</v>
      </c>
      <c r="K154" s="314">
        <v>4023</v>
      </c>
      <c r="L154" s="314">
        <v>534</v>
      </c>
      <c r="M154" s="314">
        <v>160</v>
      </c>
      <c r="N154" s="314">
        <v>190</v>
      </c>
      <c r="O154" s="325">
        <v>24863</v>
      </c>
      <c r="P154" s="325">
        <v>14333</v>
      </c>
      <c r="Q154" s="309"/>
      <c r="T154" s="315"/>
      <c r="U154" s="315"/>
    </row>
    <row r="155" spans="1:21" ht="12.75" x14ac:dyDescent="0.2">
      <c r="A155" s="312">
        <v>145</v>
      </c>
      <c r="B155" s="258" t="s">
        <v>11</v>
      </c>
      <c r="C155" s="259" t="s">
        <v>8</v>
      </c>
      <c r="D155" s="314">
        <f t="shared" si="10"/>
        <v>0</v>
      </c>
      <c r="E155" s="314">
        <f t="shared" si="11"/>
        <v>0</v>
      </c>
      <c r="F155" s="314">
        <v>0</v>
      </c>
      <c r="G155" s="314">
        <v>0</v>
      </c>
      <c r="H155" s="325">
        <v>0</v>
      </c>
      <c r="I155" s="325">
        <v>0</v>
      </c>
      <c r="J155" s="314">
        <f t="shared" si="12"/>
        <v>0</v>
      </c>
      <c r="K155" s="314">
        <v>0</v>
      </c>
      <c r="L155" s="314">
        <v>0</v>
      </c>
      <c r="M155" s="314">
        <v>0</v>
      </c>
      <c r="N155" s="314">
        <v>0</v>
      </c>
      <c r="O155" s="325">
        <v>0</v>
      </c>
      <c r="P155" s="325">
        <v>0</v>
      </c>
      <c r="Q155" s="309"/>
      <c r="T155" s="315"/>
      <c r="U155" s="315"/>
    </row>
    <row r="156" spans="1:21" ht="12.75" x14ac:dyDescent="0.2">
      <c r="A156" s="312">
        <v>146</v>
      </c>
      <c r="B156" s="282" t="s">
        <v>398</v>
      </c>
      <c r="C156" s="313" t="s">
        <v>399</v>
      </c>
      <c r="D156" s="314">
        <f t="shared" si="10"/>
        <v>0</v>
      </c>
      <c r="E156" s="314">
        <f t="shared" si="11"/>
        <v>0</v>
      </c>
      <c r="F156" s="314">
        <v>0</v>
      </c>
      <c r="G156" s="314">
        <v>0</v>
      </c>
      <c r="H156" s="325">
        <v>0</v>
      </c>
      <c r="I156" s="325">
        <v>0</v>
      </c>
      <c r="J156" s="314">
        <f t="shared" si="12"/>
        <v>0</v>
      </c>
      <c r="K156" s="314">
        <v>0</v>
      </c>
      <c r="L156" s="314">
        <v>0</v>
      </c>
      <c r="M156" s="314">
        <v>0</v>
      </c>
      <c r="N156" s="314">
        <v>0</v>
      </c>
      <c r="O156" s="325">
        <v>0</v>
      </c>
      <c r="P156" s="325">
        <v>0</v>
      </c>
      <c r="Q156" s="309"/>
      <c r="T156" s="315"/>
      <c r="U156" s="315"/>
    </row>
    <row r="157" spans="1:21" x14ac:dyDescent="0.2">
      <c r="A157" s="312">
        <v>147</v>
      </c>
      <c r="B157" s="237" t="s">
        <v>400</v>
      </c>
      <c r="C157" s="234" t="s">
        <v>517</v>
      </c>
      <c r="D157" s="314">
        <f t="shared" si="10"/>
        <v>0</v>
      </c>
      <c r="E157" s="314">
        <f t="shared" si="11"/>
        <v>0</v>
      </c>
      <c r="F157" s="314">
        <v>0</v>
      </c>
      <c r="G157" s="314">
        <v>0</v>
      </c>
      <c r="H157" s="325">
        <v>0</v>
      </c>
      <c r="I157" s="325">
        <v>0</v>
      </c>
      <c r="J157" s="314">
        <f t="shared" si="12"/>
        <v>0</v>
      </c>
      <c r="K157" s="314">
        <v>0</v>
      </c>
      <c r="L157" s="314">
        <v>0</v>
      </c>
      <c r="M157" s="314">
        <v>0</v>
      </c>
      <c r="N157" s="314">
        <v>0</v>
      </c>
      <c r="O157" s="325">
        <v>0</v>
      </c>
      <c r="P157" s="325">
        <v>0</v>
      </c>
      <c r="Q157" s="309"/>
      <c r="T157" s="315"/>
      <c r="U157" s="315"/>
    </row>
    <row r="158" spans="1:21" ht="12.75" x14ac:dyDescent="0.2">
      <c r="A158" s="312">
        <v>148</v>
      </c>
      <c r="B158" s="258" t="s">
        <v>192</v>
      </c>
      <c r="C158" s="259" t="s">
        <v>193</v>
      </c>
      <c r="D158" s="314">
        <f t="shared" si="10"/>
        <v>0</v>
      </c>
      <c r="E158" s="314">
        <f t="shared" si="11"/>
        <v>0</v>
      </c>
      <c r="F158" s="314">
        <v>0</v>
      </c>
      <c r="G158" s="314">
        <v>0</v>
      </c>
      <c r="H158" s="325">
        <v>0</v>
      </c>
      <c r="I158" s="325">
        <v>0</v>
      </c>
      <c r="J158" s="314">
        <f t="shared" si="12"/>
        <v>0</v>
      </c>
      <c r="K158" s="314">
        <v>0</v>
      </c>
      <c r="L158" s="314">
        <v>0</v>
      </c>
      <c r="M158" s="314">
        <v>0</v>
      </c>
      <c r="N158" s="314">
        <v>0</v>
      </c>
      <c r="O158" s="325">
        <v>0</v>
      </c>
      <c r="P158" s="325">
        <v>0</v>
      </c>
      <c r="Q158" s="309"/>
      <c r="T158" s="315"/>
      <c r="U158" s="315"/>
    </row>
    <row r="160" spans="1:21" x14ac:dyDescent="0.2">
      <c r="K160" s="326"/>
    </row>
  </sheetData>
  <mergeCells count="19">
    <mergeCell ref="A8:C8"/>
    <mergeCell ref="A9:C9"/>
    <mergeCell ref="A10:C10"/>
    <mergeCell ref="F5:G5"/>
    <mergeCell ref="H5:I5"/>
    <mergeCell ref="J5:J6"/>
    <mergeCell ref="K5:L5"/>
    <mergeCell ref="M5:N5"/>
    <mergeCell ref="O5:P5"/>
    <mergeCell ref="A1:P1"/>
    <mergeCell ref="A2:A6"/>
    <mergeCell ref="B2:B6"/>
    <mergeCell ref="C2:C6"/>
    <mergeCell ref="D2:P2"/>
    <mergeCell ref="D3:D6"/>
    <mergeCell ref="E3:P3"/>
    <mergeCell ref="E4:I4"/>
    <mergeCell ref="J4:P4"/>
    <mergeCell ref="E5:E6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8"/>
  <sheetViews>
    <sheetView workbookViewId="0">
      <pane xSplit="3" ySplit="10" topLeftCell="E11" activePane="bottomRight" state="frozen"/>
      <selection pane="topRight" activeCell="D1" sqref="D1"/>
      <selection pane="bottomLeft" activeCell="A11" sqref="A11"/>
      <selection pane="bottomRight" activeCell="D153" sqref="D153"/>
    </sheetView>
  </sheetViews>
  <sheetFormatPr defaultRowHeight="12" x14ac:dyDescent="0.2"/>
  <cols>
    <col min="1" max="1" width="5" style="327" customWidth="1"/>
    <col min="2" max="2" width="7.140625" style="327" customWidth="1"/>
    <col min="3" max="3" width="30.42578125" style="327" customWidth="1"/>
    <col min="4" max="4" width="10" style="327" customWidth="1"/>
    <col min="5" max="5" width="9.28515625" style="327" customWidth="1"/>
    <col min="6" max="7" width="8.5703125" style="327" customWidth="1"/>
    <col min="8" max="8" width="9.28515625" style="327" customWidth="1"/>
    <col min="9" max="9" width="8.28515625" style="327" customWidth="1"/>
    <col min="10" max="10" width="9.140625" style="327" customWidth="1"/>
    <col min="11" max="16" width="9.85546875" style="327" customWidth="1"/>
    <col min="17" max="16384" width="9.140625" style="327"/>
  </cols>
  <sheetData>
    <row r="1" spans="1:18" ht="35.25" customHeight="1" x14ac:dyDescent="0.2">
      <c r="A1" s="802" t="s">
        <v>540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</row>
    <row r="2" spans="1:18" ht="12" customHeight="1" x14ac:dyDescent="0.2">
      <c r="A2" s="803" t="s">
        <v>0</v>
      </c>
      <c r="B2" s="804" t="s">
        <v>431</v>
      </c>
      <c r="C2" s="803" t="s">
        <v>432</v>
      </c>
      <c r="D2" s="807" t="s">
        <v>541</v>
      </c>
      <c r="E2" s="808"/>
      <c r="F2" s="808"/>
      <c r="G2" s="808"/>
      <c r="H2" s="808"/>
      <c r="I2" s="808"/>
      <c r="J2" s="809"/>
      <c r="K2" s="810" t="s">
        <v>284</v>
      </c>
      <c r="L2" s="810"/>
      <c r="M2" s="810"/>
      <c r="N2" s="810"/>
      <c r="O2" s="810"/>
      <c r="P2" s="810"/>
    </row>
    <row r="3" spans="1:18" ht="12" customHeight="1" x14ac:dyDescent="0.2">
      <c r="A3" s="803"/>
      <c r="B3" s="805"/>
      <c r="C3" s="803"/>
      <c r="D3" s="811" t="s">
        <v>542</v>
      </c>
      <c r="E3" s="814" t="s">
        <v>18</v>
      </c>
      <c r="F3" s="815"/>
      <c r="G3" s="815"/>
      <c r="H3" s="815"/>
      <c r="I3" s="815"/>
      <c r="J3" s="816"/>
      <c r="K3" s="810" t="s">
        <v>543</v>
      </c>
      <c r="L3" s="810"/>
      <c r="M3" s="810"/>
      <c r="N3" s="810"/>
      <c r="O3" s="810"/>
      <c r="P3" s="810"/>
    </row>
    <row r="4" spans="1:18" ht="47.25" customHeight="1" x14ac:dyDescent="0.2">
      <c r="A4" s="803"/>
      <c r="B4" s="805"/>
      <c r="C4" s="803"/>
      <c r="D4" s="812"/>
      <c r="E4" s="817" t="s">
        <v>519</v>
      </c>
      <c r="F4" s="818"/>
      <c r="G4" s="817" t="s">
        <v>520</v>
      </c>
      <c r="H4" s="818"/>
      <c r="I4" s="817" t="s">
        <v>530</v>
      </c>
      <c r="J4" s="818"/>
      <c r="K4" s="810" t="s">
        <v>519</v>
      </c>
      <c r="L4" s="810"/>
      <c r="M4" s="810" t="s">
        <v>520</v>
      </c>
      <c r="N4" s="810"/>
      <c r="O4" s="810" t="s">
        <v>530</v>
      </c>
      <c r="P4" s="810"/>
    </row>
    <row r="5" spans="1:18" ht="39" customHeight="1" x14ac:dyDescent="0.2">
      <c r="A5" s="803"/>
      <c r="B5" s="805"/>
      <c r="C5" s="803"/>
      <c r="D5" s="812"/>
      <c r="E5" s="814" t="s">
        <v>301</v>
      </c>
      <c r="F5" s="816"/>
      <c r="G5" s="817" t="s">
        <v>301</v>
      </c>
      <c r="H5" s="818"/>
      <c r="I5" s="803" t="s">
        <v>301</v>
      </c>
      <c r="J5" s="803"/>
      <c r="K5" s="810" t="s">
        <v>298</v>
      </c>
      <c r="L5" s="810"/>
      <c r="M5" s="810" t="s">
        <v>298</v>
      </c>
      <c r="N5" s="810"/>
      <c r="O5" s="810" t="s">
        <v>298</v>
      </c>
      <c r="P5" s="810"/>
    </row>
    <row r="6" spans="1:18" ht="34.5" customHeight="1" x14ac:dyDescent="0.2">
      <c r="A6" s="803"/>
      <c r="B6" s="806"/>
      <c r="C6" s="803"/>
      <c r="D6" s="813"/>
      <c r="E6" s="328" t="s">
        <v>304</v>
      </c>
      <c r="F6" s="329" t="s">
        <v>305</v>
      </c>
      <c r="G6" s="329" t="s">
        <v>304</v>
      </c>
      <c r="H6" s="329" t="s">
        <v>305</v>
      </c>
      <c r="I6" s="328" t="s">
        <v>304</v>
      </c>
      <c r="J6" s="329" t="s">
        <v>305</v>
      </c>
      <c r="K6" s="328" t="s">
        <v>304</v>
      </c>
      <c r="L6" s="329" t="s">
        <v>305</v>
      </c>
      <c r="M6" s="328" t="s">
        <v>304</v>
      </c>
      <c r="N6" s="329" t="s">
        <v>305</v>
      </c>
      <c r="O6" s="328" t="s">
        <v>304</v>
      </c>
      <c r="P6" s="329" t="s">
        <v>305</v>
      </c>
    </row>
    <row r="7" spans="1:18" s="331" customFormat="1" ht="11.25" customHeight="1" x14ac:dyDescent="0.2">
      <c r="A7" s="330">
        <v>1</v>
      </c>
      <c r="B7" s="330">
        <v>2</v>
      </c>
      <c r="C7" s="330">
        <v>3</v>
      </c>
      <c r="D7" s="330">
        <v>4</v>
      </c>
      <c r="E7" s="330">
        <v>5</v>
      </c>
      <c r="F7" s="330">
        <v>6</v>
      </c>
      <c r="G7" s="330">
        <v>7</v>
      </c>
      <c r="H7" s="330">
        <v>8</v>
      </c>
      <c r="I7" s="330">
        <v>9</v>
      </c>
      <c r="J7" s="330">
        <v>10</v>
      </c>
      <c r="K7" s="330">
        <v>11</v>
      </c>
      <c r="L7" s="330">
        <v>12</v>
      </c>
      <c r="M7" s="330">
        <v>15</v>
      </c>
      <c r="N7" s="330">
        <v>16</v>
      </c>
      <c r="O7" s="330">
        <v>19</v>
      </c>
      <c r="P7" s="330">
        <v>20</v>
      </c>
    </row>
    <row r="8" spans="1:18" s="331" customFormat="1" ht="12" customHeight="1" x14ac:dyDescent="0.2">
      <c r="A8" s="819" t="s">
        <v>1</v>
      </c>
      <c r="B8" s="819"/>
      <c r="C8" s="819"/>
      <c r="D8" s="332">
        <f>E8+F8+G8+H8+I8+J8</f>
        <v>255694</v>
      </c>
      <c r="E8" s="333">
        <f t="shared" ref="E8:I8" si="0">E9+E10</f>
        <v>24209</v>
      </c>
      <c r="F8" s="333">
        <f t="shared" si="0"/>
        <v>55145</v>
      </c>
      <c r="G8" s="333">
        <f t="shared" si="0"/>
        <v>105574</v>
      </c>
      <c r="H8" s="333">
        <f t="shared" si="0"/>
        <v>49356</v>
      </c>
      <c r="I8" s="333">
        <f t="shared" si="0"/>
        <v>10709</v>
      </c>
      <c r="J8" s="333">
        <f>J9+J10</f>
        <v>10701</v>
      </c>
      <c r="K8" s="333">
        <f t="shared" ref="K8:P8" si="1">K9+K10</f>
        <v>11729</v>
      </c>
      <c r="L8" s="333">
        <f t="shared" si="1"/>
        <v>28043</v>
      </c>
      <c r="M8" s="333">
        <f t="shared" si="1"/>
        <v>45839</v>
      </c>
      <c r="N8" s="333">
        <f t="shared" si="1"/>
        <v>21778</v>
      </c>
      <c r="O8" s="333">
        <f t="shared" si="1"/>
        <v>5355</v>
      </c>
      <c r="P8" s="333">
        <f t="shared" si="1"/>
        <v>5351</v>
      </c>
      <c r="Q8" s="334"/>
    </row>
    <row r="9" spans="1:18" s="331" customFormat="1" x14ac:dyDescent="0.2">
      <c r="A9" s="820" t="s">
        <v>19</v>
      </c>
      <c r="B9" s="821"/>
      <c r="C9" s="822"/>
      <c r="D9" s="332">
        <f t="shared" ref="D9:D10" si="2">E9+F9+G9+H9+I9+J9</f>
        <v>0</v>
      </c>
      <c r="E9" s="333">
        <v>0</v>
      </c>
      <c r="F9" s="333">
        <v>0</v>
      </c>
      <c r="G9" s="333">
        <v>0</v>
      </c>
      <c r="H9" s="333">
        <v>0</v>
      </c>
      <c r="I9" s="333">
        <v>0</v>
      </c>
      <c r="J9" s="333">
        <v>0</v>
      </c>
      <c r="K9" s="335"/>
      <c r="L9" s="335"/>
      <c r="M9" s="335"/>
      <c r="N9" s="335"/>
      <c r="O9" s="335"/>
      <c r="P9" s="335"/>
    </row>
    <row r="10" spans="1:18" s="331" customFormat="1" x14ac:dyDescent="0.2">
      <c r="A10" s="820" t="s">
        <v>20</v>
      </c>
      <c r="B10" s="821"/>
      <c r="C10" s="822"/>
      <c r="D10" s="332">
        <f t="shared" si="2"/>
        <v>255694</v>
      </c>
      <c r="E10" s="333">
        <f>SUM(E11:E158)</f>
        <v>24209</v>
      </c>
      <c r="F10" s="333">
        <f t="shared" ref="F10:I10" si="3">SUM(F11:F158)</f>
        <v>55145</v>
      </c>
      <c r="G10" s="333">
        <f t="shared" si="3"/>
        <v>105574</v>
      </c>
      <c r="H10" s="333">
        <f t="shared" si="3"/>
        <v>49356</v>
      </c>
      <c r="I10" s="333">
        <f t="shared" si="3"/>
        <v>10709</v>
      </c>
      <c r="J10" s="333">
        <f>SUM(J11:J158)</f>
        <v>10701</v>
      </c>
      <c r="K10" s="333">
        <f>SUM(K11:K158)</f>
        <v>11729</v>
      </c>
      <c r="L10" s="333">
        <f t="shared" ref="L10:P10" si="4">SUM(L11:L158)</f>
        <v>28043</v>
      </c>
      <c r="M10" s="333">
        <f t="shared" si="4"/>
        <v>45839</v>
      </c>
      <c r="N10" s="333">
        <f t="shared" si="4"/>
        <v>21778</v>
      </c>
      <c r="O10" s="333">
        <f t="shared" si="4"/>
        <v>5355</v>
      </c>
      <c r="P10" s="333">
        <f t="shared" si="4"/>
        <v>5351</v>
      </c>
    </row>
    <row r="11" spans="1:18" ht="12.75" x14ac:dyDescent="0.2">
      <c r="A11" s="336">
        <v>1</v>
      </c>
      <c r="B11" s="337" t="s">
        <v>21</v>
      </c>
      <c r="C11" s="338" t="s">
        <v>22</v>
      </c>
      <c r="D11" s="339">
        <f>E11+F11+G11+H11+I11+J11</f>
        <v>1974</v>
      </c>
      <c r="E11" s="339">
        <v>0</v>
      </c>
      <c r="F11" s="339">
        <v>0</v>
      </c>
      <c r="G11" s="339">
        <v>1654</v>
      </c>
      <c r="H11" s="339">
        <v>320</v>
      </c>
      <c r="I11" s="339">
        <v>0</v>
      </c>
      <c r="J11" s="339">
        <v>0</v>
      </c>
      <c r="K11" s="339">
        <v>0</v>
      </c>
      <c r="L11" s="339">
        <v>0</v>
      </c>
      <c r="M11" s="339">
        <v>827</v>
      </c>
      <c r="N11" s="339">
        <v>160</v>
      </c>
      <c r="O11" s="339">
        <v>0</v>
      </c>
      <c r="P11" s="339">
        <v>0</v>
      </c>
      <c r="Q11" s="340"/>
      <c r="R11" s="341"/>
    </row>
    <row r="12" spans="1:18" ht="12.75" x14ac:dyDescent="0.2">
      <c r="A12" s="336">
        <v>2</v>
      </c>
      <c r="B12" s="342" t="s">
        <v>23</v>
      </c>
      <c r="C12" s="338" t="s">
        <v>521</v>
      </c>
      <c r="D12" s="339">
        <f t="shared" ref="D12:D75" si="5">E12+F12+G12+H12+I12+J12</f>
        <v>4650</v>
      </c>
      <c r="E12" s="339">
        <v>0</v>
      </c>
      <c r="F12" s="339">
        <v>0</v>
      </c>
      <c r="G12" s="339">
        <v>3800</v>
      </c>
      <c r="H12" s="339">
        <v>850</v>
      </c>
      <c r="I12" s="339">
        <v>0</v>
      </c>
      <c r="J12" s="339">
        <v>0</v>
      </c>
      <c r="K12" s="339">
        <v>0</v>
      </c>
      <c r="L12" s="339">
        <v>0</v>
      </c>
      <c r="M12" s="339">
        <v>1900</v>
      </c>
      <c r="N12" s="339">
        <v>425</v>
      </c>
      <c r="O12" s="339">
        <v>0</v>
      </c>
      <c r="P12" s="339">
        <v>0</v>
      </c>
      <c r="Q12" s="340"/>
      <c r="R12" s="341"/>
    </row>
    <row r="13" spans="1:18" ht="12.75" x14ac:dyDescent="0.2">
      <c r="A13" s="336">
        <v>3</v>
      </c>
      <c r="B13" s="343" t="s">
        <v>24</v>
      </c>
      <c r="C13" s="344" t="s">
        <v>25</v>
      </c>
      <c r="D13" s="339">
        <f t="shared" si="5"/>
        <v>0</v>
      </c>
      <c r="E13" s="339">
        <v>0</v>
      </c>
      <c r="F13" s="339">
        <v>0</v>
      </c>
      <c r="G13" s="339">
        <v>0</v>
      </c>
      <c r="H13" s="339">
        <v>0</v>
      </c>
      <c r="I13" s="339">
        <v>0</v>
      </c>
      <c r="J13" s="339">
        <v>0</v>
      </c>
      <c r="K13" s="339">
        <v>0</v>
      </c>
      <c r="L13" s="339">
        <v>0</v>
      </c>
      <c r="M13" s="339">
        <v>0</v>
      </c>
      <c r="N13" s="339">
        <v>0</v>
      </c>
      <c r="O13" s="339">
        <v>0</v>
      </c>
      <c r="P13" s="339">
        <v>0</v>
      </c>
      <c r="Q13" s="340"/>
      <c r="R13" s="341"/>
    </row>
    <row r="14" spans="1:18" ht="12.75" x14ac:dyDescent="0.2">
      <c r="A14" s="336">
        <v>4</v>
      </c>
      <c r="B14" s="337" t="s">
        <v>26</v>
      </c>
      <c r="C14" s="338" t="s">
        <v>448</v>
      </c>
      <c r="D14" s="339">
        <f t="shared" si="5"/>
        <v>1300</v>
      </c>
      <c r="E14" s="339">
        <v>0</v>
      </c>
      <c r="F14" s="339">
        <v>0</v>
      </c>
      <c r="G14" s="339">
        <v>867</v>
      </c>
      <c r="H14" s="339">
        <v>433</v>
      </c>
      <c r="I14" s="339">
        <v>0</v>
      </c>
      <c r="J14" s="339">
        <v>0</v>
      </c>
      <c r="K14" s="339">
        <v>0</v>
      </c>
      <c r="L14" s="339">
        <v>0</v>
      </c>
      <c r="M14" s="339">
        <v>367</v>
      </c>
      <c r="N14" s="339">
        <v>183</v>
      </c>
      <c r="O14" s="339">
        <v>0</v>
      </c>
      <c r="P14" s="339">
        <v>0</v>
      </c>
      <c r="Q14" s="340"/>
      <c r="R14" s="341"/>
    </row>
    <row r="15" spans="1:18" ht="14.25" customHeight="1" x14ac:dyDescent="0.2">
      <c r="A15" s="336">
        <v>5</v>
      </c>
      <c r="B15" s="337" t="s">
        <v>27</v>
      </c>
      <c r="C15" s="338" t="s">
        <v>28</v>
      </c>
      <c r="D15" s="339">
        <f t="shared" si="5"/>
        <v>3031</v>
      </c>
      <c r="E15" s="339">
        <v>0</v>
      </c>
      <c r="F15" s="339">
        <v>0</v>
      </c>
      <c r="G15" s="339">
        <v>1786</v>
      </c>
      <c r="H15" s="339">
        <v>1245</v>
      </c>
      <c r="I15" s="339">
        <v>0</v>
      </c>
      <c r="J15" s="339">
        <v>0</v>
      </c>
      <c r="K15" s="339">
        <v>0</v>
      </c>
      <c r="L15" s="339">
        <v>0</v>
      </c>
      <c r="M15" s="339">
        <v>804</v>
      </c>
      <c r="N15" s="339">
        <v>560</v>
      </c>
      <c r="O15" s="339">
        <v>0</v>
      </c>
      <c r="P15" s="339">
        <v>0</v>
      </c>
      <c r="Q15" s="340"/>
      <c r="R15" s="341"/>
    </row>
    <row r="16" spans="1:18" ht="12.75" x14ac:dyDescent="0.2">
      <c r="A16" s="336">
        <v>6</v>
      </c>
      <c r="B16" s="343" t="s">
        <v>4</v>
      </c>
      <c r="C16" s="344" t="s">
        <v>29</v>
      </c>
      <c r="D16" s="339">
        <f t="shared" si="5"/>
        <v>7173</v>
      </c>
      <c r="E16" s="339">
        <v>0</v>
      </c>
      <c r="F16" s="339">
        <v>0</v>
      </c>
      <c r="G16" s="339">
        <v>3501</v>
      </c>
      <c r="H16" s="339">
        <v>3672</v>
      </c>
      <c r="I16" s="339">
        <v>0</v>
      </c>
      <c r="J16" s="339">
        <v>0</v>
      </c>
      <c r="K16" s="339">
        <v>0</v>
      </c>
      <c r="L16" s="339">
        <v>0</v>
      </c>
      <c r="M16" s="339">
        <v>1554</v>
      </c>
      <c r="N16" s="339">
        <v>1630</v>
      </c>
      <c r="O16" s="339">
        <v>0</v>
      </c>
      <c r="P16" s="339">
        <v>0</v>
      </c>
      <c r="Q16" s="340"/>
      <c r="R16" s="341"/>
    </row>
    <row r="17" spans="1:18" ht="12.75" x14ac:dyDescent="0.2">
      <c r="A17" s="336">
        <v>7</v>
      </c>
      <c r="B17" s="345" t="s">
        <v>30</v>
      </c>
      <c r="C17" s="346" t="s">
        <v>449</v>
      </c>
      <c r="D17" s="339">
        <f t="shared" si="5"/>
        <v>3918</v>
      </c>
      <c r="E17" s="339">
        <v>0</v>
      </c>
      <c r="F17" s="339">
        <v>0</v>
      </c>
      <c r="G17" s="339">
        <v>3334</v>
      </c>
      <c r="H17" s="339">
        <v>584</v>
      </c>
      <c r="I17" s="339">
        <v>0</v>
      </c>
      <c r="J17" s="339">
        <v>0</v>
      </c>
      <c r="K17" s="339">
        <v>0</v>
      </c>
      <c r="L17" s="339">
        <v>0</v>
      </c>
      <c r="M17" s="339">
        <v>1482</v>
      </c>
      <c r="N17" s="339">
        <v>260</v>
      </c>
      <c r="O17" s="339">
        <v>0</v>
      </c>
      <c r="P17" s="339">
        <v>0</v>
      </c>
      <c r="Q17" s="340"/>
      <c r="R17" s="341"/>
    </row>
    <row r="18" spans="1:18" ht="12.75" x14ac:dyDescent="0.2">
      <c r="A18" s="336">
        <v>8</v>
      </c>
      <c r="B18" s="343" t="s">
        <v>31</v>
      </c>
      <c r="C18" s="344" t="s">
        <v>32</v>
      </c>
      <c r="D18" s="339">
        <f t="shared" si="5"/>
        <v>4791</v>
      </c>
      <c r="E18" s="339">
        <v>0</v>
      </c>
      <c r="F18" s="339">
        <v>0</v>
      </c>
      <c r="G18" s="339">
        <v>2736</v>
      </c>
      <c r="H18" s="339">
        <v>2055</v>
      </c>
      <c r="I18" s="339">
        <v>0</v>
      </c>
      <c r="J18" s="339">
        <v>0</v>
      </c>
      <c r="K18" s="339">
        <v>0</v>
      </c>
      <c r="L18" s="339">
        <v>0</v>
      </c>
      <c r="M18" s="339">
        <v>1368</v>
      </c>
      <c r="N18" s="339">
        <v>1028</v>
      </c>
      <c r="O18" s="339">
        <v>0</v>
      </c>
      <c r="P18" s="339">
        <v>0</v>
      </c>
      <c r="Q18" s="340"/>
      <c r="R18" s="341"/>
    </row>
    <row r="19" spans="1:18" ht="12.75" x14ac:dyDescent="0.2">
      <c r="A19" s="336">
        <v>9</v>
      </c>
      <c r="B19" s="343" t="s">
        <v>33</v>
      </c>
      <c r="C19" s="344" t="s">
        <v>34</v>
      </c>
      <c r="D19" s="339">
        <f t="shared" si="5"/>
        <v>1367</v>
      </c>
      <c r="E19" s="339">
        <v>0</v>
      </c>
      <c r="F19" s="339">
        <v>0</v>
      </c>
      <c r="G19" s="339">
        <v>1060</v>
      </c>
      <c r="H19" s="339">
        <v>307</v>
      </c>
      <c r="I19" s="339">
        <v>0</v>
      </c>
      <c r="J19" s="339">
        <v>0</v>
      </c>
      <c r="K19" s="339">
        <v>0</v>
      </c>
      <c r="L19" s="339">
        <v>0</v>
      </c>
      <c r="M19" s="339">
        <v>456</v>
      </c>
      <c r="N19" s="339">
        <v>132</v>
      </c>
      <c r="O19" s="339">
        <v>0</v>
      </c>
      <c r="P19" s="339">
        <v>0</v>
      </c>
      <c r="Q19" s="340"/>
      <c r="R19" s="341"/>
    </row>
    <row r="20" spans="1:18" ht="12.75" x14ac:dyDescent="0.2">
      <c r="A20" s="336">
        <v>10</v>
      </c>
      <c r="B20" s="343" t="s">
        <v>35</v>
      </c>
      <c r="C20" s="344" t="s">
        <v>36</v>
      </c>
      <c r="D20" s="339">
        <f t="shared" si="5"/>
        <v>2275</v>
      </c>
      <c r="E20" s="339">
        <v>0</v>
      </c>
      <c r="F20" s="339">
        <v>0</v>
      </c>
      <c r="G20" s="339">
        <v>1320</v>
      </c>
      <c r="H20" s="339">
        <v>955</v>
      </c>
      <c r="I20" s="339">
        <v>0</v>
      </c>
      <c r="J20" s="339">
        <v>0</v>
      </c>
      <c r="K20" s="339">
        <v>0</v>
      </c>
      <c r="L20" s="339">
        <v>0</v>
      </c>
      <c r="M20" s="339">
        <v>629</v>
      </c>
      <c r="N20" s="339">
        <v>455</v>
      </c>
      <c r="O20" s="339">
        <v>0</v>
      </c>
      <c r="P20" s="339">
        <v>0</v>
      </c>
      <c r="Q20" s="340"/>
      <c r="R20" s="341"/>
    </row>
    <row r="21" spans="1:18" ht="12.75" x14ac:dyDescent="0.2">
      <c r="A21" s="336">
        <v>11</v>
      </c>
      <c r="B21" s="343" t="s">
        <v>37</v>
      </c>
      <c r="C21" s="344" t="s">
        <v>38</v>
      </c>
      <c r="D21" s="339">
        <f t="shared" si="5"/>
        <v>1875</v>
      </c>
      <c r="E21" s="339">
        <v>0</v>
      </c>
      <c r="F21" s="339">
        <v>0</v>
      </c>
      <c r="G21" s="339">
        <v>1807</v>
      </c>
      <c r="H21" s="339">
        <v>68</v>
      </c>
      <c r="I21" s="339">
        <v>0</v>
      </c>
      <c r="J21" s="339">
        <v>0</v>
      </c>
      <c r="K21" s="339">
        <v>0</v>
      </c>
      <c r="L21" s="339">
        <v>0</v>
      </c>
      <c r="M21" s="339">
        <v>847</v>
      </c>
      <c r="N21" s="339">
        <v>32</v>
      </c>
      <c r="O21" s="339">
        <v>0</v>
      </c>
      <c r="P21" s="339">
        <v>0</v>
      </c>
      <c r="Q21" s="340"/>
      <c r="R21" s="341"/>
    </row>
    <row r="22" spans="1:18" ht="12.75" x14ac:dyDescent="0.2">
      <c r="A22" s="336">
        <v>12</v>
      </c>
      <c r="B22" s="343" t="s">
        <v>39</v>
      </c>
      <c r="C22" s="344" t="s">
        <v>40</v>
      </c>
      <c r="D22" s="339">
        <f t="shared" si="5"/>
        <v>750</v>
      </c>
      <c r="E22" s="339">
        <v>0</v>
      </c>
      <c r="F22" s="339">
        <v>0</v>
      </c>
      <c r="G22" s="339">
        <v>450</v>
      </c>
      <c r="H22" s="339">
        <v>300</v>
      </c>
      <c r="I22" s="339">
        <v>0</v>
      </c>
      <c r="J22" s="339">
        <v>0</v>
      </c>
      <c r="K22" s="339">
        <v>0</v>
      </c>
      <c r="L22" s="339">
        <v>0</v>
      </c>
      <c r="M22" s="339">
        <v>150</v>
      </c>
      <c r="N22" s="339">
        <v>100</v>
      </c>
      <c r="O22" s="339">
        <v>0</v>
      </c>
      <c r="P22" s="339">
        <v>0</v>
      </c>
      <c r="Q22" s="340"/>
      <c r="R22" s="341"/>
    </row>
    <row r="23" spans="1:18" x14ac:dyDescent="0.2">
      <c r="A23" s="336">
        <v>13</v>
      </c>
      <c r="B23" s="237" t="s">
        <v>307</v>
      </c>
      <c r="C23" s="238" t="s">
        <v>450</v>
      </c>
      <c r="D23" s="339">
        <f t="shared" si="5"/>
        <v>0</v>
      </c>
      <c r="E23" s="339">
        <v>0</v>
      </c>
      <c r="F23" s="339">
        <v>0</v>
      </c>
      <c r="G23" s="339">
        <v>0</v>
      </c>
      <c r="H23" s="339">
        <v>0</v>
      </c>
      <c r="I23" s="339">
        <v>0</v>
      </c>
      <c r="J23" s="339">
        <v>0</v>
      </c>
      <c r="K23" s="339">
        <v>0</v>
      </c>
      <c r="L23" s="339">
        <v>0</v>
      </c>
      <c r="M23" s="339">
        <v>0</v>
      </c>
      <c r="N23" s="339">
        <v>0</v>
      </c>
      <c r="O23" s="339">
        <v>0</v>
      </c>
      <c r="P23" s="339">
        <v>0</v>
      </c>
      <c r="Q23" s="340"/>
      <c r="R23" s="341"/>
    </row>
    <row r="24" spans="1:18" x14ac:dyDescent="0.2">
      <c r="A24" s="336">
        <v>14</v>
      </c>
      <c r="B24" s="237" t="s">
        <v>309</v>
      </c>
      <c r="C24" s="234" t="s">
        <v>451</v>
      </c>
      <c r="D24" s="339">
        <f t="shared" si="5"/>
        <v>0</v>
      </c>
      <c r="E24" s="339">
        <v>0</v>
      </c>
      <c r="F24" s="339">
        <v>0</v>
      </c>
      <c r="G24" s="339">
        <v>0</v>
      </c>
      <c r="H24" s="339">
        <v>0</v>
      </c>
      <c r="I24" s="339">
        <v>0</v>
      </c>
      <c r="J24" s="339">
        <v>0</v>
      </c>
      <c r="K24" s="339">
        <v>0</v>
      </c>
      <c r="L24" s="339">
        <v>0</v>
      </c>
      <c r="M24" s="339">
        <v>0</v>
      </c>
      <c r="N24" s="339">
        <v>0</v>
      </c>
      <c r="O24" s="339">
        <v>0</v>
      </c>
      <c r="P24" s="339">
        <v>0</v>
      </c>
      <c r="Q24" s="340"/>
      <c r="R24" s="341"/>
    </row>
    <row r="25" spans="1:18" ht="12.75" x14ac:dyDescent="0.2">
      <c r="A25" s="336">
        <v>15</v>
      </c>
      <c r="B25" s="343" t="s">
        <v>41</v>
      </c>
      <c r="C25" s="344" t="s">
        <v>42</v>
      </c>
      <c r="D25" s="339">
        <f t="shared" si="5"/>
        <v>0</v>
      </c>
      <c r="E25" s="339">
        <v>0</v>
      </c>
      <c r="F25" s="339">
        <v>0</v>
      </c>
      <c r="G25" s="339">
        <v>0</v>
      </c>
      <c r="H25" s="339">
        <v>0</v>
      </c>
      <c r="I25" s="339">
        <v>0</v>
      </c>
      <c r="J25" s="339">
        <v>0</v>
      </c>
      <c r="K25" s="339">
        <v>0</v>
      </c>
      <c r="L25" s="339">
        <v>0</v>
      </c>
      <c r="M25" s="339">
        <v>0</v>
      </c>
      <c r="N25" s="339">
        <v>0</v>
      </c>
      <c r="O25" s="339">
        <v>0</v>
      </c>
      <c r="P25" s="339">
        <v>0</v>
      </c>
      <c r="Q25" s="340"/>
      <c r="R25" s="341"/>
    </row>
    <row r="26" spans="1:18" ht="12.75" x14ac:dyDescent="0.2">
      <c r="A26" s="336">
        <v>16</v>
      </c>
      <c r="B26" s="343" t="s">
        <v>43</v>
      </c>
      <c r="C26" s="344" t="s">
        <v>44</v>
      </c>
      <c r="D26" s="339">
        <f t="shared" si="5"/>
        <v>5092</v>
      </c>
      <c r="E26" s="339">
        <v>0</v>
      </c>
      <c r="F26" s="339">
        <v>0</v>
      </c>
      <c r="G26" s="339">
        <v>4706</v>
      </c>
      <c r="H26" s="339">
        <v>386</v>
      </c>
      <c r="I26" s="339">
        <v>0</v>
      </c>
      <c r="J26" s="339">
        <v>0</v>
      </c>
      <c r="K26" s="339">
        <v>0</v>
      </c>
      <c r="L26" s="339">
        <v>0</v>
      </c>
      <c r="M26" s="339">
        <v>2266</v>
      </c>
      <c r="N26" s="339">
        <v>186</v>
      </c>
      <c r="O26" s="339">
        <v>0</v>
      </c>
      <c r="P26" s="339">
        <v>0</v>
      </c>
      <c r="Q26" s="340"/>
      <c r="R26" s="341"/>
    </row>
    <row r="27" spans="1:18" ht="12.75" x14ac:dyDescent="0.2">
      <c r="A27" s="336">
        <v>17</v>
      </c>
      <c r="B27" s="343" t="s">
        <v>45</v>
      </c>
      <c r="C27" s="344" t="s">
        <v>452</v>
      </c>
      <c r="D27" s="339">
        <f t="shared" si="5"/>
        <v>2410</v>
      </c>
      <c r="E27" s="339">
        <v>0</v>
      </c>
      <c r="F27" s="339">
        <v>0</v>
      </c>
      <c r="G27" s="339">
        <v>1897</v>
      </c>
      <c r="H27" s="339">
        <v>513</v>
      </c>
      <c r="I27" s="339">
        <v>0</v>
      </c>
      <c r="J27" s="339">
        <v>0</v>
      </c>
      <c r="K27" s="339">
        <v>0</v>
      </c>
      <c r="L27" s="339">
        <v>0</v>
      </c>
      <c r="M27" s="339">
        <v>881</v>
      </c>
      <c r="N27" s="339">
        <v>238</v>
      </c>
      <c r="O27" s="339">
        <v>0</v>
      </c>
      <c r="P27" s="339">
        <v>0</v>
      </c>
      <c r="Q27" s="340"/>
      <c r="R27" s="341"/>
    </row>
    <row r="28" spans="1:18" ht="12.75" x14ac:dyDescent="0.2">
      <c r="A28" s="336">
        <v>18</v>
      </c>
      <c r="B28" s="343" t="s">
        <v>46</v>
      </c>
      <c r="C28" s="344" t="s">
        <v>47</v>
      </c>
      <c r="D28" s="339">
        <f t="shared" si="5"/>
        <v>3744</v>
      </c>
      <c r="E28" s="339">
        <v>0</v>
      </c>
      <c r="F28" s="339">
        <v>0</v>
      </c>
      <c r="G28" s="339">
        <v>2995</v>
      </c>
      <c r="H28" s="339">
        <v>749</v>
      </c>
      <c r="I28" s="339">
        <v>0</v>
      </c>
      <c r="J28" s="339">
        <v>0</v>
      </c>
      <c r="K28" s="339">
        <v>0</v>
      </c>
      <c r="L28" s="339">
        <v>0</v>
      </c>
      <c r="M28" s="339">
        <v>1395</v>
      </c>
      <c r="N28" s="339">
        <v>349</v>
      </c>
      <c r="O28" s="339">
        <v>0</v>
      </c>
      <c r="P28" s="339">
        <v>0</v>
      </c>
      <c r="Q28" s="340"/>
      <c r="R28" s="341"/>
    </row>
    <row r="29" spans="1:18" ht="12.75" x14ac:dyDescent="0.2">
      <c r="A29" s="336">
        <v>19</v>
      </c>
      <c r="B29" s="337" t="s">
        <v>48</v>
      </c>
      <c r="C29" s="338" t="s">
        <v>49</v>
      </c>
      <c r="D29" s="339">
        <f t="shared" si="5"/>
        <v>166</v>
      </c>
      <c r="E29" s="339">
        <v>0</v>
      </c>
      <c r="F29" s="339">
        <v>0</v>
      </c>
      <c r="G29" s="339">
        <v>131</v>
      </c>
      <c r="H29" s="339">
        <v>35</v>
      </c>
      <c r="I29" s="339">
        <v>0</v>
      </c>
      <c r="J29" s="339">
        <v>0</v>
      </c>
      <c r="K29" s="339">
        <v>0</v>
      </c>
      <c r="L29" s="339">
        <v>0</v>
      </c>
      <c r="M29" s="339">
        <v>56</v>
      </c>
      <c r="N29" s="339">
        <v>15</v>
      </c>
      <c r="O29" s="339">
        <v>0</v>
      </c>
      <c r="P29" s="339">
        <v>0</v>
      </c>
      <c r="Q29" s="340"/>
      <c r="R29" s="341"/>
    </row>
    <row r="30" spans="1:18" ht="12.75" x14ac:dyDescent="0.2">
      <c r="A30" s="336">
        <v>20</v>
      </c>
      <c r="B30" s="337" t="s">
        <v>50</v>
      </c>
      <c r="C30" s="338" t="s">
        <v>453</v>
      </c>
      <c r="D30" s="339">
        <f t="shared" si="5"/>
        <v>0</v>
      </c>
      <c r="E30" s="339">
        <v>0</v>
      </c>
      <c r="F30" s="339">
        <v>0</v>
      </c>
      <c r="G30" s="339">
        <v>0</v>
      </c>
      <c r="H30" s="339">
        <v>0</v>
      </c>
      <c r="I30" s="339">
        <v>0</v>
      </c>
      <c r="J30" s="339">
        <v>0</v>
      </c>
      <c r="K30" s="339">
        <v>0</v>
      </c>
      <c r="L30" s="339">
        <v>0</v>
      </c>
      <c r="M30" s="339">
        <v>0</v>
      </c>
      <c r="N30" s="339">
        <v>0</v>
      </c>
      <c r="O30" s="339">
        <v>0</v>
      </c>
      <c r="P30" s="339">
        <v>0</v>
      </c>
      <c r="Q30" s="340"/>
      <c r="R30" s="341"/>
    </row>
    <row r="31" spans="1:18" ht="12.75" x14ac:dyDescent="0.2">
      <c r="A31" s="336">
        <v>21</v>
      </c>
      <c r="B31" s="337" t="s">
        <v>51</v>
      </c>
      <c r="C31" s="338" t="s">
        <v>52</v>
      </c>
      <c r="D31" s="339">
        <f t="shared" si="5"/>
        <v>2289</v>
      </c>
      <c r="E31" s="339">
        <v>0</v>
      </c>
      <c r="F31" s="339">
        <v>0</v>
      </c>
      <c r="G31" s="339">
        <v>1337</v>
      </c>
      <c r="H31" s="339">
        <v>952</v>
      </c>
      <c r="I31" s="339">
        <v>0</v>
      </c>
      <c r="J31" s="339">
        <v>0</v>
      </c>
      <c r="K31" s="339">
        <v>0</v>
      </c>
      <c r="L31" s="339">
        <v>0</v>
      </c>
      <c r="M31" s="339">
        <v>593</v>
      </c>
      <c r="N31" s="339">
        <v>422</v>
      </c>
      <c r="O31" s="339">
        <v>0</v>
      </c>
      <c r="P31" s="339">
        <v>0</v>
      </c>
      <c r="Q31" s="340"/>
      <c r="R31" s="341"/>
    </row>
    <row r="32" spans="1:18" ht="12.75" x14ac:dyDescent="0.2">
      <c r="A32" s="336">
        <v>22</v>
      </c>
      <c r="B32" s="337" t="s">
        <v>53</v>
      </c>
      <c r="C32" s="338" t="s">
        <v>54</v>
      </c>
      <c r="D32" s="339">
        <f t="shared" si="5"/>
        <v>4701</v>
      </c>
      <c r="E32" s="339">
        <v>0</v>
      </c>
      <c r="F32" s="339">
        <v>0</v>
      </c>
      <c r="G32" s="339">
        <v>2728</v>
      </c>
      <c r="H32" s="339">
        <v>1973</v>
      </c>
      <c r="I32" s="339">
        <v>0</v>
      </c>
      <c r="J32" s="339">
        <v>0</v>
      </c>
      <c r="K32" s="339">
        <v>0</v>
      </c>
      <c r="L32" s="339">
        <v>0</v>
      </c>
      <c r="M32" s="339">
        <v>1308</v>
      </c>
      <c r="N32" s="339">
        <v>946</v>
      </c>
      <c r="O32" s="339">
        <v>0</v>
      </c>
      <c r="P32" s="339">
        <v>0</v>
      </c>
      <c r="Q32" s="340"/>
      <c r="R32" s="341"/>
    </row>
    <row r="33" spans="1:18" ht="13.5" customHeight="1" x14ac:dyDescent="0.2">
      <c r="A33" s="336">
        <v>23</v>
      </c>
      <c r="B33" s="343" t="s">
        <v>55</v>
      </c>
      <c r="C33" s="344" t="s">
        <v>56</v>
      </c>
      <c r="D33" s="339">
        <f t="shared" si="5"/>
        <v>4162</v>
      </c>
      <c r="E33" s="339">
        <v>0</v>
      </c>
      <c r="F33" s="339">
        <v>0</v>
      </c>
      <c r="G33" s="339">
        <v>2415</v>
      </c>
      <c r="H33" s="339">
        <v>1747</v>
      </c>
      <c r="I33" s="339">
        <v>0</v>
      </c>
      <c r="J33" s="339">
        <v>0</v>
      </c>
      <c r="K33" s="339">
        <v>0</v>
      </c>
      <c r="L33" s="339">
        <v>0</v>
      </c>
      <c r="M33" s="339">
        <v>1208</v>
      </c>
      <c r="N33" s="339">
        <v>874</v>
      </c>
      <c r="O33" s="339">
        <v>0</v>
      </c>
      <c r="P33" s="339">
        <v>0</v>
      </c>
      <c r="Q33" s="340"/>
      <c r="R33" s="341"/>
    </row>
    <row r="34" spans="1:18" ht="13.5" customHeight="1" x14ac:dyDescent="0.2">
      <c r="A34" s="336">
        <v>24</v>
      </c>
      <c r="B34" s="248" t="s">
        <v>57</v>
      </c>
      <c r="C34" s="238" t="s">
        <v>58</v>
      </c>
      <c r="D34" s="339">
        <f t="shared" si="5"/>
        <v>0</v>
      </c>
      <c r="E34" s="339">
        <v>0</v>
      </c>
      <c r="F34" s="339">
        <v>0</v>
      </c>
      <c r="G34" s="339">
        <v>0</v>
      </c>
      <c r="H34" s="339">
        <v>0</v>
      </c>
      <c r="I34" s="339">
        <v>0</v>
      </c>
      <c r="J34" s="339">
        <v>0</v>
      </c>
      <c r="K34" s="339">
        <v>0</v>
      </c>
      <c r="L34" s="339">
        <v>0</v>
      </c>
      <c r="M34" s="339">
        <v>0</v>
      </c>
      <c r="N34" s="339">
        <v>0</v>
      </c>
      <c r="O34" s="339">
        <v>0</v>
      </c>
      <c r="P34" s="339">
        <v>0</v>
      </c>
      <c r="Q34" s="340"/>
      <c r="R34" s="341"/>
    </row>
    <row r="35" spans="1:18" ht="27.75" customHeight="1" x14ac:dyDescent="0.2">
      <c r="A35" s="336">
        <v>25</v>
      </c>
      <c r="B35" s="248" t="s">
        <v>454</v>
      </c>
      <c r="C35" s="238" t="s">
        <v>455</v>
      </c>
      <c r="D35" s="339">
        <f t="shared" si="5"/>
        <v>0</v>
      </c>
      <c r="E35" s="339">
        <v>0</v>
      </c>
      <c r="F35" s="339">
        <v>0</v>
      </c>
      <c r="G35" s="339">
        <v>0</v>
      </c>
      <c r="H35" s="339">
        <v>0</v>
      </c>
      <c r="I35" s="339">
        <v>0</v>
      </c>
      <c r="J35" s="339">
        <v>0</v>
      </c>
      <c r="K35" s="339">
        <v>0</v>
      </c>
      <c r="L35" s="339">
        <v>0</v>
      </c>
      <c r="M35" s="339">
        <v>0</v>
      </c>
      <c r="N35" s="339">
        <v>0</v>
      </c>
      <c r="O35" s="339">
        <v>0</v>
      </c>
      <c r="P35" s="339">
        <v>0</v>
      </c>
      <c r="Q35" s="340"/>
      <c r="R35" s="341"/>
    </row>
    <row r="36" spans="1:18" ht="12.75" x14ac:dyDescent="0.2">
      <c r="A36" s="336">
        <v>26</v>
      </c>
      <c r="B36" s="337" t="s">
        <v>6</v>
      </c>
      <c r="C36" s="346" t="s">
        <v>59</v>
      </c>
      <c r="D36" s="339">
        <f t="shared" si="5"/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v>0</v>
      </c>
      <c r="J36" s="339">
        <v>0</v>
      </c>
      <c r="K36" s="339">
        <v>0</v>
      </c>
      <c r="L36" s="339">
        <v>0</v>
      </c>
      <c r="M36" s="339">
        <v>0</v>
      </c>
      <c r="N36" s="339">
        <v>0</v>
      </c>
      <c r="O36" s="339">
        <v>0</v>
      </c>
      <c r="P36" s="339">
        <v>0</v>
      </c>
      <c r="Q36" s="340"/>
      <c r="R36" s="341"/>
    </row>
    <row r="37" spans="1:18" ht="12.75" x14ac:dyDescent="0.2">
      <c r="A37" s="336">
        <v>27</v>
      </c>
      <c r="B37" s="343" t="s">
        <v>5</v>
      </c>
      <c r="C37" s="344" t="s">
        <v>17</v>
      </c>
      <c r="D37" s="339">
        <f t="shared" si="5"/>
        <v>962</v>
      </c>
      <c r="E37" s="339">
        <v>0</v>
      </c>
      <c r="F37" s="339">
        <v>0</v>
      </c>
      <c r="G37" s="339">
        <v>541</v>
      </c>
      <c r="H37" s="339">
        <v>421</v>
      </c>
      <c r="I37" s="339">
        <v>0</v>
      </c>
      <c r="J37" s="339">
        <v>0</v>
      </c>
      <c r="K37" s="339">
        <v>0</v>
      </c>
      <c r="L37" s="339">
        <v>0</v>
      </c>
      <c r="M37" s="339">
        <v>271</v>
      </c>
      <c r="N37" s="339">
        <v>211</v>
      </c>
      <c r="O37" s="339">
        <v>0</v>
      </c>
      <c r="P37" s="339">
        <v>0</v>
      </c>
      <c r="Q37" s="340"/>
      <c r="R37" s="341"/>
    </row>
    <row r="38" spans="1:18" ht="12.75" x14ac:dyDescent="0.2">
      <c r="A38" s="336">
        <v>28</v>
      </c>
      <c r="B38" s="343" t="s">
        <v>60</v>
      </c>
      <c r="C38" s="344" t="s">
        <v>61</v>
      </c>
      <c r="D38" s="339">
        <f t="shared" si="5"/>
        <v>200</v>
      </c>
      <c r="E38" s="339">
        <v>0</v>
      </c>
      <c r="F38" s="339">
        <v>0</v>
      </c>
      <c r="G38" s="339">
        <v>0</v>
      </c>
      <c r="H38" s="339">
        <v>200</v>
      </c>
      <c r="I38" s="339">
        <v>0</v>
      </c>
      <c r="J38" s="339">
        <v>0</v>
      </c>
      <c r="K38" s="339">
        <v>0</v>
      </c>
      <c r="L38" s="339">
        <v>0</v>
      </c>
      <c r="M38" s="339">
        <v>0</v>
      </c>
      <c r="N38" s="339">
        <v>100</v>
      </c>
      <c r="O38" s="339">
        <v>0</v>
      </c>
      <c r="P38" s="339">
        <v>0</v>
      </c>
      <c r="Q38" s="340"/>
      <c r="R38" s="341"/>
    </row>
    <row r="39" spans="1:18" ht="12.75" x14ac:dyDescent="0.2">
      <c r="A39" s="336">
        <v>29</v>
      </c>
      <c r="B39" s="337" t="s">
        <v>315</v>
      </c>
      <c r="C39" s="338" t="s">
        <v>316</v>
      </c>
      <c r="D39" s="339">
        <f t="shared" si="5"/>
        <v>0</v>
      </c>
      <c r="E39" s="339">
        <v>0</v>
      </c>
      <c r="F39" s="339">
        <v>0</v>
      </c>
      <c r="G39" s="339">
        <v>0</v>
      </c>
      <c r="H39" s="339">
        <v>0</v>
      </c>
      <c r="I39" s="339">
        <v>0</v>
      </c>
      <c r="J39" s="339">
        <v>0</v>
      </c>
      <c r="K39" s="339">
        <v>0</v>
      </c>
      <c r="L39" s="339">
        <v>0</v>
      </c>
      <c r="M39" s="339">
        <v>0</v>
      </c>
      <c r="N39" s="339">
        <v>0</v>
      </c>
      <c r="O39" s="339">
        <v>0</v>
      </c>
      <c r="P39" s="339">
        <v>0</v>
      </c>
      <c r="Q39" s="340"/>
      <c r="R39" s="341"/>
    </row>
    <row r="40" spans="1:18" ht="12.75" x14ac:dyDescent="0.2">
      <c r="A40" s="336">
        <v>30</v>
      </c>
      <c r="B40" s="342" t="s">
        <v>317</v>
      </c>
      <c r="C40" s="346" t="s">
        <v>318</v>
      </c>
      <c r="D40" s="339">
        <f t="shared" si="5"/>
        <v>9694</v>
      </c>
      <c r="E40" s="339">
        <v>1021</v>
      </c>
      <c r="F40" s="339">
        <v>8673</v>
      </c>
      <c r="G40" s="339">
        <v>0</v>
      </c>
      <c r="H40" s="339">
        <v>0</v>
      </c>
      <c r="I40" s="339">
        <v>0</v>
      </c>
      <c r="J40" s="339">
        <v>0</v>
      </c>
      <c r="K40" s="339">
        <v>441</v>
      </c>
      <c r="L40" s="339">
        <v>3745</v>
      </c>
      <c r="M40" s="339">
        <v>0</v>
      </c>
      <c r="N40" s="339">
        <v>0</v>
      </c>
      <c r="O40" s="339">
        <v>0</v>
      </c>
      <c r="P40" s="339">
        <v>0</v>
      </c>
      <c r="Q40" s="340"/>
      <c r="R40" s="341"/>
    </row>
    <row r="41" spans="1:18" ht="24" x14ac:dyDescent="0.2">
      <c r="A41" s="336">
        <v>31</v>
      </c>
      <c r="B41" s="293" t="s">
        <v>456</v>
      </c>
      <c r="C41" s="234" t="s">
        <v>457</v>
      </c>
      <c r="D41" s="339">
        <f t="shared" si="5"/>
        <v>0</v>
      </c>
      <c r="E41" s="339">
        <v>0</v>
      </c>
      <c r="F41" s="339">
        <v>0</v>
      </c>
      <c r="G41" s="339">
        <v>0</v>
      </c>
      <c r="H41" s="339">
        <v>0</v>
      </c>
      <c r="I41" s="339">
        <v>0</v>
      </c>
      <c r="J41" s="339">
        <v>0</v>
      </c>
      <c r="K41" s="339">
        <v>0</v>
      </c>
      <c r="L41" s="339">
        <v>0</v>
      </c>
      <c r="M41" s="339">
        <v>0</v>
      </c>
      <c r="N41" s="339">
        <v>0</v>
      </c>
      <c r="O41" s="339">
        <v>0</v>
      </c>
      <c r="P41" s="339">
        <v>0</v>
      </c>
      <c r="Q41" s="340"/>
      <c r="R41" s="341"/>
    </row>
    <row r="42" spans="1:18" ht="25.5" x14ac:dyDescent="0.2">
      <c r="A42" s="336">
        <v>32</v>
      </c>
      <c r="B42" s="343" t="s">
        <v>62</v>
      </c>
      <c r="C42" s="344" t="s">
        <v>63</v>
      </c>
      <c r="D42" s="339">
        <f t="shared" si="5"/>
        <v>35</v>
      </c>
      <c r="E42" s="339">
        <v>0</v>
      </c>
      <c r="F42" s="339">
        <v>0</v>
      </c>
      <c r="G42" s="339">
        <v>35</v>
      </c>
      <c r="H42" s="339">
        <v>0</v>
      </c>
      <c r="I42" s="339">
        <v>0</v>
      </c>
      <c r="J42" s="339">
        <v>0</v>
      </c>
      <c r="K42" s="339">
        <v>0</v>
      </c>
      <c r="L42" s="339">
        <v>0</v>
      </c>
      <c r="M42" s="339">
        <v>18</v>
      </c>
      <c r="N42" s="339">
        <v>0</v>
      </c>
      <c r="O42" s="339">
        <v>0</v>
      </c>
      <c r="P42" s="339">
        <v>0</v>
      </c>
      <c r="Q42" s="340"/>
      <c r="R42" s="341"/>
    </row>
    <row r="43" spans="1:18" ht="12.75" x14ac:dyDescent="0.2">
      <c r="A43" s="336">
        <v>33</v>
      </c>
      <c r="B43" s="342" t="s">
        <v>64</v>
      </c>
      <c r="C43" s="338" t="s">
        <v>65</v>
      </c>
      <c r="D43" s="339">
        <f t="shared" si="5"/>
        <v>1370</v>
      </c>
      <c r="E43" s="339">
        <v>0</v>
      </c>
      <c r="F43" s="339">
        <v>0</v>
      </c>
      <c r="G43" s="339">
        <v>824</v>
      </c>
      <c r="H43" s="339">
        <v>546</v>
      </c>
      <c r="I43" s="339">
        <v>0</v>
      </c>
      <c r="J43" s="339">
        <v>0</v>
      </c>
      <c r="K43" s="339">
        <v>0</v>
      </c>
      <c r="L43" s="339">
        <v>0</v>
      </c>
      <c r="M43" s="339">
        <v>359</v>
      </c>
      <c r="N43" s="339">
        <v>238</v>
      </c>
      <c r="O43" s="339">
        <v>0</v>
      </c>
      <c r="P43" s="339">
        <v>0</v>
      </c>
      <c r="Q43" s="340"/>
      <c r="R43" s="341"/>
    </row>
    <row r="44" spans="1:18" ht="12.75" x14ac:dyDescent="0.2">
      <c r="A44" s="336">
        <v>34</v>
      </c>
      <c r="B44" s="345" t="s">
        <v>66</v>
      </c>
      <c r="C44" s="346" t="s">
        <v>67</v>
      </c>
      <c r="D44" s="339">
        <f t="shared" si="5"/>
        <v>10717</v>
      </c>
      <c r="E44" s="339">
        <v>0</v>
      </c>
      <c r="F44" s="339">
        <v>0</v>
      </c>
      <c r="G44" s="339">
        <v>5228</v>
      </c>
      <c r="H44" s="339">
        <v>5489</v>
      </c>
      <c r="I44" s="339">
        <v>0</v>
      </c>
      <c r="J44" s="339">
        <v>0</v>
      </c>
      <c r="K44" s="339">
        <v>0</v>
      </c>
      <c r="L44" s="339">
        <v>0</v>
      </c>
      <c r="M44" s="339">
        <v>2228</v>
      </c>
      <c r="N44" s="339">
        <v>2339</v>
      </c>
      <c r="O44" s="339">
        <v>0</v>
      </c>
      <c r="P44" s="339">
        <v>0</v>
      </c>
      <c r="Q44" s="340"/>
      <c r="R44" s="341"/>
    </row>
    <row r="45" spans="1:18" ht="12.75" x14ac:dyDescent="0.2">
      <c r="A45" s="336">
        <v>35</v>
      </c>
      <c r="B45" s="337" t="s">
        <v>320</v>
      </c>
      <c r="C45" s="338" t="s">
        <v>321</v>
      </c>
      <c r="D45" s="339">
        <f t="shared" si="5"/>
        <v>0</v>
      </c>
      <c r="E45" s="339">
        <v>0</v>
      </c>
      <c r="F45" s="339">
        <v>0</v>
      </c>
      <c r="G45" s="339">
        <v>0</v>
      </c>
      <c r="H45" s="339">
        <v>0</v>
      </c>
      <c r="I45" s="339">
        <v>0</v>
      </c>
      <c r="J45" s="339">
        <v>0</v>
      </c>
      <c r="K45" s="339">
        <v>0</v>
      </c>
      <c r="L45" s="339">
        <v>0</v>
      </c>
      <c r="M45" s="339">
        <v>0</v>
      </c>
      <c r="N45" s="339">
        <v>0</v>
      </c>
      <c r="O45" s="339">
        <v>0</v>
      </c>
      <c r="P45" s="339">
        <v>0</v>
      </c>
      <c r="Q45" s="340"/>
      <c r="R45" s="341"/>
    </row>
    <row r="46" spans="1:18" ht="12.75" x14ac:dyDescent="0.2">
      <c r="A46" s="336">
        <v>36</v>
      </c>
      <c r="B46" s="342" t="s">
        <v>68</v>
      </c>
      <c r="C46" s="338" t="s">
        <v>69</v>
      </c>
      <c r="D46" s="339">
        <f t="shared" si="5"/>
        <v>1170</v>
      </c>
      <c r="E46" s="339">
        <v>0</v>
      </c>
      <c r="F46" s="339">
        <v>0</v>
      </c>
      <c r="G46" s="339">
        <v>1080</v>
      </c>
      <c r="H46" s="339">
        <v>90</v>
      </c>
      <c r="I46" s="339">
        <v>0</v>
      </c>
      <c r="J46" s="339">
        <v>0</v>
      </c>
      <c r="K46" s="339">
        <v>0</v>
      </c>
      <c r="L46" s="339">
        <v>0</v>
      </c>
      <c r="M46" s="339">
        <v>480</v>
      </c>
      <c r="N46" s="339">
        <v>40</v>
      </c>
      <c r="O46" s="339">
        <v>0</v>
      </c>
      <c r="P46" s="339">
        <v>0</v>
      </c>
      <c r="Q46" s="340"/>
      <c r="R46" s="341"/>
    </row>
    <row r="47" spans="1:18" ht="12.75" x14ac:dyDescent="0.2">
      <c r="A47" s="336">
        <v>37</v>
      </c>
      <c r="B47" s="343" t="s">
        <v>70</v>
      </c>
      <c r="C47" s="344" t="s">
        <v>71</v>
      </c>
      <c r="D47" s="339">
        <f t="shared" si="5"/>
        <v>7211</v>
      </c>
      <c r="E47" s="339">
        <v>0</v>
      </c>
      <c r="F47" s="339">
        <v>0</v>
      </c>
      <c r="G47" s="339">
        <v>5142</v>
      </c>
      <c r="H47" s="339">
        <v>2069</v>
      </c>
      <c r="I47" s="339">
        <v>0</v>
      </c>
      <c r="J47" s="339">
        <v>0</v>
      </c>
      <c r="K47" s="339">
        <v>0</v>
      </c>
      <c r="L47" s="339">
        <v>0</v>
      </c>
      <c r="M47" s="339">
        <v>1786</v>
      </c>
      <c r="N47" s="339">
        <v>721</v>
      </c>
      <c r="O47" s="339">
        <v>0</v>
      </c>
      <c r="P47" s="339">
        <v>0</v>
      </c>
      <c r="Q47" s="340"/>
      <c r="R47" s="341"/>
    </row>
    <row r="48" spans="1:18" ht="12.75" x14ac:dyDescent="0.2">
      <c r="A48" s="336">
        <v>38</v>
      </c>
      <c r="B48" s="342" t="s">
        <v>72</v>
      </c>
      <c r="C48" s="338" t="s">
        <v>73</v>
      </c>
      <c r="D48" s="339">
        <f t="shared" si="5"/>
        <v>367</v>
      </c>
      <c r="E48" s="339">
        <v>0</v>
      </c>
      <c r="F48" s="339">
        <v>0</v>
      </c>
      <c r="G48" s="339">
        <v>367</v>
      </c>
      <c r="H48" s="339">
        <v>0</v>
      </c>
      <c r="I48" s="339">
        <v>0</v>
      </c>
      <c r="J48" s="339">
        <v>0</v>
      </c>
      <c r="K48" s="339">
        <v>0</v>
      </c>
      <c r="L48" s="339">
        <v>0</v>
      </c>
      <c r="M48" s="339">
        <v>135</v>
      </c>
      <c r="N48" s="339">
        <v>0</v>
      </c>
      <c r="O48" s="339">
        <v>0</v>
      </c>
      <c r="P48" s="339">
        <v>0</v>
      </c>
      <c r="Q48" s="340"/>
      <c r="R48" s="341"/>
    </row>
    <row r="49" spans="1:18" ht="12.75" x14ac:dyDescent="0.2">
      <c r="A49" s="336">
        <v>39</v>
      </c>
      <c r="B49" s="337" t="s">
        <v>74</v>
      </c>
      <c r="C49" s="338" t="s">
        <v>458</v>
      </c>
      <c r="D49" s="339">
        <f t="shared" si="5"/>
        <v>3244</v>
      </c>
      <c r="E49" s="339">
        <v>0</v>
      </c>
      <c r="F49" s="339">
        <v>0</v>
      </c>
      <c r="G49" s="339">
        <v>2454</v>
      </c>
      <c r="H49" s="339">
        <v>790</v>
      </c>
      <c r="I49" s="339">
        <v>0</v>
      </c>
      <c r="J49" s="339">
        <v>0</v>
      </c>
      <c r="K49" s="339">
        <v>0</v>
      </c>
      <c r="L49" s="339">
        <v>0</v>
      </c>
      <c r="M49" s="339">
        <v>1079</v>
      </c>
      <c r="N49" s="339">
        <v>348</v>
      </c>
      <c r="O49" s="339">
        <v>0</v>
      </c>
      <c r="P49" s="339">
        <v>0</v>
      </c>
      <c r="Q49" s="340"/>
      <c r="R49" s="341"/>
    </row>
    <row r="50" spans="1:18" ht="12.75" x14ac:dyDescent="0.2">
      <c r="A50" s="336">
        <v>40</v>
      </c>
      <c r="B50" s="347" t="s">
        <v>75</v>
      </c>
      <c r="C50" s="348" t="s">
        <v>459</v>
      </c>
      <c r="D50" s="339">
        <f t="shared" si="5"/>
        <v>1438</v>
      </c>
      <c r="E50" s="339">
        <v>0</v>
      </c>
      <c r="F50" s="339">
        <v>0</v>
      </c>
      <c r="G50" s="339">
        <v>912</v>
      </c>
      <c r="H50" s="339">
        <v>526</v>
      </c>
      <c r="I50" s="339">
        <v>0</v>
      </c>
      <c r="J50" s="339">
        <v>0</v>
      </c>
      <c r="K50" s="339">
        <v>0</v>
      </c>
      <c r="L50" s="339">
        <v>0</v>
      </c>
      <c r="M50" s="339">
        <v>288</v>
      </c>
      <c r="N50" s="339">
        <v>166</v>
      </c>
      <c r="O50" s="339">
        <v>0</v>
      </c>
      <c r="P50" s="339">
        <v>0</v>
      </c>
      <c r="Q50" s="340"/>
      <c r="R50" s="341"/>
    </row>
    <row r="51" spans="1:18" ht="12.75" x14ac:dyDescent="0.2">
      <c r="A51" s="336">
        <v>41</v>
      </c>
      <c r="B51" s="337" t="s">
        <v>76</v>
      </c>
      <c r="C51" s="338" t="s">
        <v>460</v>
      </c>
      <c r="D51" s="339">
        <f t="shared" si="5"/>
        <v>105</v>
      </c>
      <c r="E51" s="339">
        <v>0</v>
      </c>
      <c r="F51" s="339">
        <v>0</v>
      </c>
      <c r="G51" s="339">
        <v>104</v>
      </c>
      <c r="H51" s="339">
        <v>1</v>
      </c>
      <c r="I51" s="339">
        <v>0</v>
      </c>
      <c r="J51" s="339">
        <v>0</v>
      </c>
      <c r="K51" s="339">
        <v>0</v>
      </c>
      <c r="L51" s="339">
        <v>0</v>
      </c>
      <c r="M51" s="339">
        <v>26</v>
      </c>
      <c r="N51" s="339">
        <v>1</v>
      </c>
      <c r="O51" s="339">
        <v>0</v>
      </c>
      <c r="P51" s="339">
        <v>0</v>
      </c>
      <c r="Q51" s="340"/>
      <c r="R51" s="341"/>
    </row>
    <row r="52" spans="1:18" ht="12.75" x14ac:dyDescent="0.2">
      <c r="A52" s="336">
        <v>42</v>
      </c>
      <c r="B52" s="345" t="s">
        <v>77</v>
      </c>
      <c r="C52" s="346" t="s">
        <v>78</v>
      </c>
      <c r="D52" s="339">
        <f t="shared" si="5"/>
        <v>1596</v>
      </c>
      <c r="E52" s="339">
        <v>0</v>
      </c>
      <c r="F52" s="339">
        <v>0</v>
      </c>
      <c r="G52" s="339">
        <v>1318</v>
      </c>
      <c r="H52" s="339">
        <v>278</v>
      </c>
      <c r="I52" s="339">
        <v>0</v>
      </c>
      <c r="J52" s="339">
        <v>0</v>
      </c>
      <c r="K52" s="339">
        <v>0</v>
      </c>
      <c r="L52" s="339">
        <v>0</v>
      </c>
      <c r="M52" s="339">
        <v>597</v>
      </c>
      <c r="N52" s="339">
        <v>126</v>
      </c>
      <c r="O52" s="339">
        <v>0</v>
      </c>
      <c r="P52" s="339">
        <v>0</v>
      </c>
      <c r="Q52" s="340"/>
      <c r="R52" s="341"/>
    </row>
    <row r="53" spans="1:18" ht="12.75" x14ac:dyDescent="0.2">
      <c r="A53" s="336">
        <v>43</v>
      </c>
      <c r="B53" s="343" t="s">
        <v>322</v>
      </c>
      <c r="C53" s="344" t="s">
        <v>323</v>
      </c>
      <c r="D53" s="339">
        <f t="shared" si="5"/>
        <v>291</v>
      </c>
      <c r="E53" s="339">
        <v>0</v>
      </c>
      <c r="F53" s="339">
        <v>0</v>
      </c>
      <c r="G53" s="339">
        <v>240</v>
      </c>
      <c r="H53" s="339">
        <v>51</v>
      </c>
      <c r="I53" s="339">
        <v>0</v>
      </c>
      <c r="J53" s="339">
        <v>0</v>
      </c>
      <c r="K53" s="339">
        <v>0</v>
      </c>
      <c r="L53" s="339">
        <v>0</v>
      </c>
      <c r="M53" s="339">
        <v>90</v>
      </c>
      <c r="N53" s="339">
        <v>19</v>
      </c>
      <c r="O53" s="339">
        <v>0</v>
      </c>
      <c r="P53" s="339">
        <v>0</v>
      </c>
      <c r="Q53" s="340"/>
      <c r="R53" s="341"/>
    </row>
    <row r="54" spans="1:18" ht="12.75" x14ac:dyDescent="0.2">
      <c r="A54" s="336">
        <v>44</v>
      </c>
      <c r="B54" s="342" t="s">
        <v>79</v>
      </c>
      <c r="C54" s="338" t="s">
        <v>80</v>
      </c>
      <c r="D54" s="339">
        <f t="shared" si="5"/>
        <v>1100</v>
      </c>
      <c r="E54" s="339">
        <v>0</v>
      </c>
      <c r="F54" s="339">
        <v>0</v>
      </c>
      <c r="G54" s="339">
        <v>1100</v>
      </c>
      <c r="H54" s="339">
        <v>0</v>
      </c>
      <c r="I54" s="339">
        <v>0</v>
      </c>
      <c r="J54" s="339">
        <v>0</v>
      </c>
      <c r="K54" s="339">
        <v>0</v>
      </c>
      <c r="L54" s="339">
        <v>0</v>
      </c>
      <c r="M54" s="339">
        <v>550</v>
      </c>
      <c r="N54" s="339">
        <v>0</v>
      </c>
      <c r="O54" s="339">
        <v>0</v>
      </c>
      <c r="P54" s="339">
        <v>0</v>
      </c>
      <c r="Q54" s="340"/>
      <c r="R54" s="341"/>
    </row>
    <row r="55" spans="1:18" ht="12.75" x14ac:dyDescent="0.2">
      <c r="A55" s="336">
        <v>45</v>
      </c>
      <c r="B55" s="343" t="s">
        <v>81</v>
      </c>
      <c r="C55" s="344" t="s">
        <v>82</v>
      </c>
      <c r="D55" s="339">
        <f t="shared" si="5"/>
        <v>8014</v>
      </c>
      <c r="E55" s="339">
        <v>0</v>
      </c>
      <c r="F55" s="339">
        <v>0</v>
      </c>
      <c r="G55" s="339">
        <v>0</v>
      </c>
      <c r="H55" s="339">
        <v>8014</v>
      </c>
      <c r="I55" s="339">
        <v>0</v>
      </c>
      <c r="J55" s="339">
        <v>0</v>
      </c>
      <c r="K55" s="339">
        <v>0</v>
      </c>
      <c r="L55" s="339">
        <v>0</v>
      </c>
      <c r="M55" s="339">
        <v>0</v>
      </c>
      <c r="N55" s="339">
        <v>3683</v>
      </c>
      <c r="O55" s="339">
        <v>0</v>
      </c>
      <c r="P55" s="339">
        <v>0</v>
      </c>
      <c r="Q55" s="340"/>
      <c r="R55" s="341"/>
    </row>
    <row r="56" spans="1:18" ht="12.75" x14ac:dyDescent="0.2">
      <c r="A56" s="336">
        <v>46</v>
      </c>
      <c r="B56" s="337" t="s">
        <v>83</v>
      </c>
      <c r="C56" s="338" t="s">
        <v>461</v>
      </c>
      <c r="D56" s="339">
        <f t="shared" si="5"/>
        <v>1478</v>
      </c>
      <c r="E56" s="339">
        <v>0</v>
      </c>
      <c r="F56" s="339">
        <v>0</v>
      </c>
      <c r="G56" s="339">
        <v>1252</v>
      </c>
      <c r="H56" s="339">
        <v>226</v>
      </c>
      <c r="I56" s="339">
        <v>0</v>
      </c>
      <c r="J56" s="339">
        <v>0</v>
      </c>
      <c r="K56" s="339">
        <v>0</v>
      </c>
      <c r="L56" s="339">
        <v>0</v>
      </c>
      <c r="M56" s="339">
        <v>584</v>
      </c>
      <c r="N56" s="339">
        <v>106</v>
      </c>
      <c r="O56" s="339">
        <v>0</v>
      </c>
      <c r="P56" s="339">
        <v>0</v>
      </c>
      <c r="Q56" s="340"/>
      <c r="R56" s="341"/>
    </row>
    <row r="57" spans="1:18" ht="12.75" x14ac:dyDescent="0.2">
      <c r="A57" s="336">
        <v>47</v>
      </c>
      <c r="B57" s="337" t="s">
        <v>84</v>
      </c>
      <c r="C57" s="338" t="s">
        <v>85</v>
      </c>
      <c r="D57" s="339">
        <f t="shared" si="5"/>
        <v>1875</v>
      </c>
      <c r="E57" s="339">
        <v>0</v>
      </c>
      <c r="F57" s="339">
        <v>0</v>
      </c>
      <c r="G57" s="339">
        <v>1041</v>
      </c>
      <c r="H57" s="339">
        <v>834</v>
      </c>
      <c r="I57" s="339">
        <v>0</v>
      </c>
      <c r="J57" s="339">
        <v>0</v>
      </c>
      <c r="K57" s="339">
        <v>0</v>
      </c>
      <c r="L57" s="339">
        <v>0</v>
      </c>
      <c r="M57" s="339">
        <v>462</v>
      </c>
      <c r="N57" s="339">
        <v>370</v>
      </c>
      <c r="O57" s="339">
        <v>0</v>
      </c>
      <c r="P57" s="339">
        <v>0</v>
      </c>
      <c r="Q57" s="340"/>
      <c r="R57" s="341"/>
    </row>
    <row r="58" spans="1:18" ht="12.75" x14ac:dyDescent="0.2">
      <c r="A58" s="336">
        <v>48</v>
      </c>
      <c r="B58" s="349" t="s">
        <v>86</v>
      </c>
      <c r="C58" s="350" t="s">
        <v>87</v>
      </c>
      <c r="D58" s="339">
        <f t="shared" si="5"/>
        <v>550</v>
      </c>
      <c r="E58" s="339">
        <v>0</v>
      </c>
      <c r="F58" s="339">
        <v>0</v>
      </c>
      <c r="G58" s="339">
        <v>500</v>
      </c>
      <c r="H58" s="339">
        <v>50</v>
      </c>
      <c r="I58" s="339">
        <v>0</v>
      </c>
      <c r="J58" s="339">
        <v>0</v>
      </c>
      <c r="K58" s="339">
        <v>0</v>
      </c>
      <c r="L58" s="339">
        <v>0</v>
      </c>
      <c r="M58" s="339">
        <v>250</v>
      </c>
      <c r="N58" s="339">
        <v>25</v>
      </c>
      <c r="O58" s="339">
        <v>0</v>
      </c>
      <c r="P58" s="339">
        <v>0</v>
      </c>
      <c r="Q58" s="340"/>
      <c r="R58" s="341"/>
    </row>
    <row r="59" spans="1:18" ht="12.75" x14ac:dyDescent="0.2">
      <c r="A59" s="336">
        <v>49</v>
      </c>
      <c r="B59" s="343" t="s">
        <v>88</v>
      </c>
      <c r="C59" s="344" t="s">
        <v>462</v>
      </c>
      <c r="D59" s="339">
        <f t="shared" si="5"/>
        <v>2021</v>
      </c>
      <c r="E59" s="339">
        <v>0</v>
      </c>
      <c r="F59" s="339">
        <v>0</v>
      </c>
      <c r="G59" s="339">
        <v>769</v>
      </c>
      <c r="H59" s="339">
        <v>1252</v>
      </c>
      <c r="I59" s="339">
        <v>0</v>
      </c>
      <c r="J59" s="339">
        <v>0</v>
      </c>
      <c r="K59" s="339">
        <v>0</v>
      </c>
      <c r="L59" s="339">
        <v>0</v>
      </c>
      <c r="M59" s="339">
        <v>324</v>
      </c>
      <c r="N59" s="339">
        <v>527</v>
      </c>
      <c r="O59" s="339">
        <v>0</v>
      </c>
      <c r="P59" s="339">
        <v>0</v>
      </c>
      <c r="Q59" s="340"/>
      <c r="R59" s="341"/>
    </row>
    <row r="60" spans="1:18" ht="12.75" x14ac:dyDescent="0.2">
      <c r="A60" s="336">
        <v>50</v>
      </c>
      <c r="B60" s="342" t="s">
        <v>89</v>
      </c>
      <c r="C60" s="338" t="s">
        <v>90</v>
      </c>
      <c r="D60" s="339">
        <f t="shared" si="5"/>
        <v>2608</v>
      </c>
      <c r="E60" s="339">
        <v>0</v>
      </c>
      <c r="F60" s="339">
        <v>0</v>
      </c>
      <c r="G60" s="339">
        <v>1296</v>
      </c>
      <c r="H60" s="339">
        <v>1312</v>
      </c>
      <c r="I60" s="339">
        <v>0</v>
      </c>
      <c r="J60" s="339">
        <v>0</v>
      </c>
      <c r="K60" s="339">
        <v>0</v>
      </c>
      <c r="L60" s="339">
        <v>0</v>
      </c>
      <c r="M60" s="339">
        <v>432</v>
      </c>
      <c r="N60" s="339">
        <v>438</v>
      </c>
      <c r="O60" s="339">
        <v>0</v>
      </c>
      <c r="P60" s="339">
        <v>0</v>
      </c>
      <c r="Q60" s="340"/>
      <c r="R60" s="341"/>
    </row>
    <row r="61" spans="1:18" ht="12.75" x14ac:dyDescent="0.2">
      <c r="A61" s="336">
        <v>51</v>
      </c>
      <c r="B61" s="343" t="s">
        <v>91</v>
      </c>
      <c r="C61" s="344" t="s">
        <v>92</v>
      </c>
      <c r="D61" s="339">
        <f t="shared" si="5"/>
        <v>182</v>
      </c>
      <c r="E61" s="339">
        <v>0</v>
      </c>
      <c r="F61" s="339">
        <v>0</v>
      </c>
      <c r="G61" s="339">
        <v>119</v>
      </c>
      <c r="H61" s="339">
        <v>63</v>
      </c>
      <c r="I61" s="339">
        <v>0</v>
      </c>
      <c r="J61" s="339">
        <v>0</v>
      </c>
      <c r="K61" s="339">
        <v>0</v>
      </c>
      <c r="L61" s="339">
        <v>0</v>
      </c>
      <c r="M61" s="339">
        <v>53</v>
      </c>
      <c r="N61" s="339">
        <v>28</v>
      </c>
      <c r="O61" s="339">
        <v>0</v>
      </c>
      <c r="P61" s="339">
        <v>0</v>
      </c>
      <c r="Q61" s="340"/>
      <c r="R61" s="341"/>
    </row>
    <row r="62" spans="1:18" ht="12.75" x14ac:dyDescent="0.2">
      <c r="A62" s="336">
        <v>52</v>
      </c>
      <c r="B62" s="342" t="s">
        <v>93</v>
      </c>
      <c r="C62" s="338" t="s">
        <v>94</v>
      </c>
      <c r="D62" s="339">
        <f t="shared" si="5"/>
        <v>427</v>
      </c>
      <c r="E62" s="339">
        <v>0</v>
      </c>
      <c r="F62" s="339">
        <v>0</v>
      </c>
      <c r="G62" s="339">
        <v>233</v>
      </c>
      <c r="H62" s="339">
        <v>194</v>
      </c>
      <c r="I62" s="339">
        <v>0</v>
      </c>
      <c r="J62" s="339">
        <v>0</v>
      </c>
      <c r="K62" s="339">
        <v>0</v>
      </c>
      <c r="L62" s="339">
        <v>0</v>
      </c>
      <c r="M62" s="339">
        <v>83</v>
      </c>
      <c r="N62" s="339">
        <v>69</v>
      </c>
      <c r="O62" s="339">
        <v>0</v>
      </c>
      <c r="P62" s="339">
        <v>0</v>
      </c>
      <c r="Q62" s="340"/>
      <c r="R62" s="341"/>
    </row>
    <row r="63" spans="1:18" ht="12.75" x14ac:dyDescent="0.2">
      <c r="A63" s="336">
        <v>53</v>
      </c>
      <c r="B63" s="343" t="s">
        <v>95</v>
      </c>
      <c r="C63" s="344" t="s">
        <v>463</v>
      </c>
      <c r="D63" s="339">
        <f t="shared" si="5"/>
        <v>577</v>
      </c>
      <c r="E63" s="339">
        <v>0</v>
      </c>
      <c r="F63" s="339">
        <v>0</v>
      </c>
      <c r="G63" s="339">
        <v>495</v>
      </c>
      <c r="H63" s="339">
        <v>82</v>
      </c>
      <c r="I63" s="339">
        <v>0</v>
      </c>
      <c r="J63" s="339">
        <v>0</v>
      </c>
      <c r="K63" s="339">
        <v>0</v>
      </c>
      <c r="L63" s="339">
        <v>0</v>
      </c>
      <c r="M63" s="339">
        <v>195</v>
      </c>
      <c r="N63" s="339">
        <v>32</v>
      </c>
      <c r="O63" s="339">
        <v>0</v>
      </c>
      <c r="P63" s="339">
        <v>0</v>
      </c>
      <c r="Q63" s="340"/>
      <c r="R63" s="341"/>
    </row>
    <row r="64" spans="1:18" ht="12.75" x14ac:dyDescent="0.2">
      <c r="A64" s="336">
        <v>54</v>
      </c>
      <c r="B64" s="343" t="s">
        <v>96</v>
      </c>
      <c r="C64" s="344" t="s">
        <v>97</v>
      </c>
      <c r="D64" s="339">
        <f t="shared" si="5"/>
        <v>5939</v>
      </c>
      <c r="E64" s="339">
        <v>0</v>
      </c>
      <c r="F64" s="339">
        <v>0</v>
      </c>
      <c r="G64" s="339">
        <v>4434</v>
      </c>
      <c r="H64" s="339">
        <v>1505</v>
      </c>
      <c r="I64" s="339">
        <v>0</v>
      </c>
      <c r="J64" s="339">
        <v>0</v>
      </c>
      <c r="K64" s="339">
        <v>0</v>
      </c>
      <c r="L64" s="339">
        <v>0</v>
      </c>
      <c r="M64" s="339">
        <v>2072</v>
      </c>
      <c r="N64" s="339">
        <v>705</v>
      </c>
      <c r="O64" s="339">
        <v>0</v>
      </c>
      <c r="P64" s="339">
        <v>0</v>
      </c>
      <c r="Q64" s="340"/>
      <c r="R64" s="341"/>
    </row>
    <row r="65" spans="1:18" ht="12.75" x14ac:dyDescent="0.2">
      <c r="A65" s="336">
        <v>55</v>
      </c>
      <c r="B65" s="343" t="s">
        <v>98</v>
      </c>
      <c r="C65" s="344" t="s">
        <v>464</v>
      </c>
      <c r="D65" s="339">
        <f t="shared" si="5"/>
        <v>2245</v>
      </c>
      <c r="E65" s="339">
        <v>0</v>
      </c>
      <c r="F65" s="339">
        <v>0</v>
      </c>
      <c r="G65" s="339">
        <v>1635</v>
      </c>
      <c r="H65" s="339">
        <v>610</v>
      </c>
      <c r="I65" s="339">
        <v>0</v>
      </c>
      <c r="J65" s="339">
        <v>0</v>
      </c>
      <c r="K65" s="339">
        <v>0</v>
      </c>
      <c r="L65" s="339">
        <v>0</v>
      </c>
      <c r="M65" s="339">
        <v>759</v>
      </c>
      <c r="N65" s="339">
        <v>283</v>
      </c>
      <c r="O65" s="339">
        <v>0</v>
      </c>
      <c r="P65" s="339">
        <v>0</v>
      </c>
      <c r="Q65" s="340"/>
      <c r="R65" s="341"/>
    </row>
    <row r="66" spans="1:18" x14ac:dyDescent="0.2">
      <c r="A66" s="336">
        <v>56</v>
      </c>
      <c r="B66" s="248" t="s">
        <v>325</v>
      </c>
      <c r="C66" s="238" t="s">
        <v>465</v>
      </c>
      <c r="D66" s="339">
        <f t="shared" si="5"/>
        <v>0</v>
      </c>
      <c r="E66" s="339">
        <v>0</v>
      </c>
      <c r="F66" s="339">
        <v>0</v>
      </c>
      <c r="G66" s="339">
        <v>0</v>
      </c>
      <c r="H66" s="339">
        <v>0</v>
      </c>
      <c r="I66" s="339">
        <v>0</v>
      </c>
      <c r="J66" s="339">
        <v>0</v>
      </c>
      <c r="K66" s="339">
        <v>0</v>
      </c>
      <c r="L66" s="339">
        <v>0</v>
      </c>
      <c r="M66" s="339">
        <v>0</v>
      </c>
      <c r="N66" s="339">
        <v>0</v>
      </c>
      <c r="O66" s="339">
        <v>0</v>
      </c>
      <c r="P66" s="339">
        <v>0</v>
      </c>
      <c r="Q66" s="340"/>
      <c r="R66" s="341"/>
    </row>
    <row r="67" spans="1:18" x14ac:dyDescent="0.2">
      <c r="A67" s="336">
        <v>57</v>
      </c>
      <c r="B67" s="248" t="s">
        <v>466</v>
      </c>
      <c r="C67" s="238" t="s">
        <v>467</v>
      </c>
      <c r="D67" s="339">
        <f t="shared" si="5"/>
        <v>0</v>
      </c>
      <c r="E67" s="339">
        <v>0</v>
      </c>
      <c r="F67" s="339">
        <v>0</v>
      </c>
      <c r="G67" s="339">
        <v>0</v>
      </c>
      <c r="H67" s="339">
        <v>0</v>
      </c>
      <c r="I67" s="339">
        <v>0</v>
      </c>
      <c r="J67" s="339">
        <v>0</v>
      </c>
      <c r="K67" s="339">
        <v>0</v>
      </c>
      <c r="L67" s="339">
        <v>0</v>
      </c>
      <c r="M67" s="339">
        <v>0</v>
      </c>
      <c r="N67" s="339">
        <v>0</v>
      </c>
      <c r="O67" s="339">
        <v>0</v>
      </c>
      <c r="P67" s="339">
        <v>0</v>
      </c>
      <c r="Q67" s="340"/>
      <c r="R67" s="341"/>
    </row>
    <row r="68" spans="1:18" ht="25.5" x14ac:dyDescent="0.2">
      <c r="A68" s="336">
        <v>58</v>
      </c>
      <c r="B68" s="343" t="s">
        <v>99</v>
      </c>
      <c r="C68" s="344" t="s">
        <v>100</v>
      </c>
      <c r="D68" s="339">
        <f t="shared" si="5"/>
        <v>0</v>
      </c>
      <c r="E68" s="339">
        <v>0</v>
      </c>
      <c r="F68" s="339">
        <v>0</v>
      </c>
      <c r="G68" s="339">
        <v>0</v>
      </c>
      <c r="H68" s="339">
        <v>0</v>
      </c>
      <c r="I68" s="339">
        <v>0</v>
      </c>
      <c r="J68" s="339">
        <v>0</v>
      </c>
      <c r="K68" s="339">
        <v>0</v>
      </c>
      <c r="L68" s="339">
        <v>0</v>
      </c>
      <c r="M68" s="339">
        <v>0</v>
      </c>
      <c r="N68" s="339">
        <v>0</v>
      </c>
      <c r="O68" s="339">
        <v>0</v>
      </c>
      <c r="P68" s="339">
        <v>0</v>
      </c>
      <c r="Q68" s="340"/>
      <c r="R68" s="341"/>
    </row>
    <row r="69" spans="1:18" ht="25.5" x14ac:dyDescent="0.2">
      <c r="A69" s="336">
        <v>59</v>
      </c>
      <c r="B69" s="342" t="s">
        <v>101</v>
      </c>
      <c r="C69" s="344" t="s">
        <v>468</v>
      </c>
      <c r="D69" s="339">
        <f t="shared" si="5"/>
        <v>0</v>
      </c>
      <c r="E69" s="339">
        <v>0</v>
      </c>
      <c r="F69" s="339">
        <v>0</v>
      </c>
      <c r="G69" s="339">
        <v>0</v>
      </c>
      <c r="H69" s="339">
        <v>0</v>
      </c>
      <c r="I69" s="339">
        <v>0</v>
      </c>
      <c r="J69" s="339">
        <v>0</v>
      </c>
      <c r="K69" s="339">
        <v>0</v>
      </c>
      <c r="L69" s="339">
        <v>0</v>
      </c>
      <c r="M69" s="339">
        <v>0</v>
      </c>
      <c r="N69" s="339">
        <v>0</v>
      </c>
      <c r="O69" s="339">
        <v>0</v>
      </c>
      <c r="P69" s="339">
        <v>0</v>
      </c>
      <c r="Q69" s="340"/>
      <c r="R69" s="341"/>
    </row>
    <row r="70" spans="1:18" ht="25.5" x14ac:dyDescent="0.2">
      <c r="A70" s="336">
        <v>60</v>
      </c>
      <c r="B70" s="345" t="s">
        <v>102</v>
      </c>
      <c r="C70" s="346" t="s">
        <v>103</v>
      </c>
      <c r="D70" s="339">
        <f t="shared" si="5"/>
        <v>2308</v>
      </c>
      <c r="E70" s="339">
        <v>0</v>
      </c>
      <c r="F70" s="351">
        <v>0</v>
      </c>
      <c r="G70" s="351">
        <v>0</v>
      </c>
      <c r="H70" s="351">
        <v>2308</v>
      </c>
      <c r="I70" s="351">
        <v>0</v>
      </c>
      <c r="J70" s="351">
        <v>0</v>
      </c>
      <c r="K70" s="339">
        <v>0</v>
      </c>
      <c r="L70" s="339">
        <v>0</v>
      </c>
      <c r="M70" s="339">
        <v>0</v>
      </c>
      <c r="N70" s="339">
        <v>808</v>
      </c>
      <c r="O70" s="339">
        <v>0</v>
      </c>
      <c r="P70" s="339">
        <v>0</v>
      </c>
      <c r="Q70" s="340"/>
      <c r="R70" s="341"/>
    </row>
    <row r="71" spans="1:18" ht="25.5" x14ac:dyDescent="0.2">
      <c r="A71" s="336">
        <v>61</v>
      </c>
      <c r="B71" s="342" t="s">
        <v>104</v>
      </c>
      <c r="C71" s="344" t="s">
        <v>469</v>
      </c>
      <c r="D71" s="339">
        <f t="shared" si="5"/>
        <v>0</v>
      </c>
      <c r="E71" s="339">
        <v>0</v>
      </c>
      <c r="F71" s="351">
        <v>0</v>
      </c>
      <c r="G71" s="351">
        <v>0</v>
      </c>
      <c r="H71" s="351">
        <v>0</v>
      </c>
      <c r="I71" s="351">
        <v>0</v>
      </c>
      <c r="J71" s="351">
        <v>0</v>
      </c>
      <c r="K71" s="339">
        <v>0</v>
      </c>
      <c r="L71" s="339">
        <v>0</v>
      </c>
      <c r="M71" s="339">
        <v>0</v>
      </c>
      <c r="N71" s="339">
        <v>0</v>
      </c>
      <c r="O71" s="339">
        <v>0</v>
      </c>
      <c r="P71" s="339">
        <v>0</v>
      </c>
      <c r="Q71" s="340"/>
      <c r="R71" s="341"/>
    </row>
    <row r="72" spans="1:18" ht="25.5" x14ac:dyDescent="0.2">
      <c r="A72" s="336">
        <v>62</v>
      </c>
      <c r="B72" s="343" t="s">
        <v>105</v>
      </c>
      <c r="C72" s="344" t="s">
        <v>106</v>
      </c>
      <c r="D72" s="339">
        <f t="shared" si="5"/>
        <v>1800</v>
      </c>
      <c r="E72" s="339">
        <v>0</v>
      </c>
      <c r="F72" s="351">
        <v>0</v>
      </c>
      <c r="G72" s="351">
        <v>0</v>
      </c>
      <c r="H72" s="351">
        <v>1800</v>
      </c>
      <c r="I72" s="351">
        <v>0</v>
      </c>
      <c r="J72" s="351">
        <v>0</v>
      </c>
      <c r="K72" s="339">
        <v>0</v>
      </c>
      <c r="L72" s="339">
        <v>0</v>
      </c>
      <c r="M72" s="339">
        <v>0</v>
      </c>
      <c r="N72" s="339">
        <v>900</v>
      </c>
      <c r="O72" s="339">
        <v>0</v>
      </c>
      <c r="P72" s="339">
        <v>0</v>
      </c>
      <c r="Q72" s="340"/>
      <c r="R72" s="341"/>
    </row>
    <row r="73" spans="1:18" ht="29.25" customHeight="1" x14ac:dyDescent="0.2">
      <c r="A73" s="336">
        <v>63</v>
      </c>
      <c r="B73" s="337" t="s">
        <v>332</v>
      </c>
      <c r="C73" s="344" t="s">
        <v>470</v>
      </c>
      <c r="D73" s="339">
        <f t="shared" si="5"/>
        <v>24364</v>
      </c>
      <c r="E73" s="339">
        <v>0</v>
      </c>
      <c r="F73" s="339">
        <v>24364</v>
      </c>
      <c r="G73" s="351">
        <v>0</v>
      </c>
      <c r="H73" s="351">
        <v>0</v>
      </c>
      <c r="I73" s="351">
        <v>0</v>
      </c>
      <c r="J73" s="351">
        <v>0</v>
      </c>
      <c r="K73" s="339">
        <v>0</v>
      </c>
      <c r="L73" s="339">
        <v>12182</v>
      </c>
      <c r="M73" s="339">
        <v>0</v>
      </c>
      <c r="N73" s="339">
        <v>0</v>
      </c>
      <c r="O73" s="339">
        <v>0</v>
      </c>
      <c r="P73" s="339">
        <v>0</v>
      </c>
      <c r="Q73" s="340"/>
      <c r="R73" s="341"/>
    </row>
    <row r="74" spans="1:18" ht="30" customHeight="1" x14ac:dyDescent="0.2">
      <c r="A74" s="336">
        <v>64</v>
      </c>
      <c r="B74" s="337" t="s">
        <v>334</v>
      </c>
      <c r="C74" s="344" t="s">
        <v>471</v>
      </c>
      <c r="D74" s="339">
        <f t="shared" si="5"/>
        <v>15121</v>
      </c>
      <c r="E74" s="339">
        <v>0</v>
      </c>
      <c r="F74" s="339">
        <v>15121</v>
      </c>
      <c r="G74" s="351">
        <v>0</v>
      </c>
      <c r="H74" s="351">
        <v>0</v>
      </c>
      <c r="I74" s="351">
        <v>0</v>
      </c>
      <c r="J74" s="351">
        <v>0</v>
      </c>
      <c r="K74" s="339">
        <v>0</v>
      </c>
      <c r="L74" s="339">
        <v>8298</v>
      </c>
      <c r="M74" s="339">
        <v>0</v>
      </c>
      <c r="N74" s="339">
        <v>0</v>
      </c>
      <c r="O74" s="339">
        <v>0</v>
      </c>
      <c r="P74" s="339">
        <v>0</v>
      </c>
      <c r="Q74" s="340"/>
      <c r="R74" s="341"/>
    </row>
    <row r="75" spans="1:18" ht="12.75" x14ac:dyDescent="0.2">
      <c r="A75" s="336">
        <v>65</v>
      </c>
      <c r="B75" s="342" t="s">
        <v>107</v>
      </c>
      <c r="C75" s="344" t="s">
        <v>472</v>
      </c>
      <c r="D75" s="339">
        <f t="shared" si="5"/>
        <v>0</v>
      </c>
      <c r="E75" s="339">
        <v>0</v>
      </c>
      <c r="F75" s="339">
        <v>0</v>
      </c>
      <c r="G75" s="339">
        <v>0</v>
      </c>
      <c r="H75" s="339">
        <v>0</v>
      </c>
      <c r="I75" s="339">
        <v>0</v>
      </c>
      <c r="J75" s="339">
        <v>0</v>
      </c>
      <c r="K75" s="339">
        <v>0</v>
      </c>
      <c r="L75" s="339">
        <v>0</v>
      </c>
      <c r="M75" s="339">
        <v>0</v>
      </c>
      <c r="N75" s="339">
        <v>0</v>
      </c>
      <c r="O75" s="339">
        <v>0</v>
      </c>
      <c r="P75" s="339">
        <v>0</v>
      </c>
      <c r="Q75" s="340"/>
      <c r="R75" s="341"/>
    </row>
    <row r="76" spans="1:18" ht="12.75" x14ac:dyDescent="0.2">
      <c r="A76" s="336">
        <v>66</v>
      </c>
      <c r="B76" s="337" t="s">
        <v>108</v>
      </c>
      <c r="C76" s="344" t="s">
        <v>473</v>
      </c>
      <c r="D76" s="339">
        <f t="shared" ref="D76:D139" si="6">E76+F76+G76+H76+I76+J76</f>
        <v>600</v>
      </c>
      <c r="E76" s="339">
        <v>0</v>
      </c>
      <c r="F76" s="339">
        <v>0</v>
      </c>
      <c r="G76" s="339">
        <v>600</v>
      </c>
      <c r="H76" s="339">
        <v>0</v>
      </c>
      <c r="I76" s="339">
        <v>0</v>
      </c>
      <c r="J76" s="339">
        <v>0</v>
      </c>
      <c r="K76" s="339">
        <v>0</v>
      </c>
      <c r="L76" s="339">
        <v>0</v>
      </c>
      <c r="M76" s="339">
        <v>300</v>
      </c>
      <c r="N76" s="339">
        <v>0</v>
      </c>
      <c r="O76" s="339">
        <v>0</v>
      </c>
      <c r="P76" s="339">
        <v>0</v>
      </c>
      <c r="Q76" s="340"/>
      <c r="R76" s="341"/>
    </row>
    <row r="77" spans="1:18" ht="12.75" x14ac:dyDescent="0.2">
      <c r="A77" s="336">
        <v>67</v>
      </c>
      <c r="B77" s="342" t="s">
        <v>109</v>
      </c>
      <c r="C77" s="344" t="s">
        <v>474</v>
      </c>
      <c r="D77" s="339">
        <f t="shared" si="6"/>
        <v>2156</v>
      </c>
      <c r="E77" s="339">
        <v>0</v>
      </c>
      <c r="F77" s="339">
        <v>0</v>
      </c>
      <c r="G77" s="339">
        <v>2156</v>
      </c>
      <c r="H77" s="339">
        <v>0</v>
      </c>
      <c r="I77" s="339">
        <v>0</v>
      </c>
      <c r="J77" s="339">
        <v>0</v>
      </c>
      <c r="K77" s="339">
        <v>0</v>
      </c>
      <c r="L77" s="339">
        <v>0</v>
      </c>
      <c r="M77" s="339">
        <v>1056</v>
      </c>
      <c r="N77" s="339">
        <v>0</v>
      </c>
      <c r="O77" s="339">
        <v>0</v>
      </c>
      <c r="P77" s="339">
        <v>0</v>
      </c>
      <c r="Q77" s="340"/>
      <c r="R77" s="341"/>
    </row>
    <row r="78" spans="1:18" ht="12.75" x14ac:dyDescent="0.2">
      <c r="A78" s="336">
        <v>68</v>
      </c>
      <c r="B78" s="342" t="s">
        <v>110</v>
      </c>
      <c r="C78" s="344" t="s">
        <v>475</v>
      </c>
      <c r="D78" s="339">
        <f t="shared" si="6"/>
        <v>0</v>
      </c>
      <c r="E78" s="339">
        <v>0</v>
      </c>
      <c r="F78" s="339">
        <v>0</v>
      </c>
      <c r="G78" s="339">
        <v>0</v>
      </c>
      <c r="H78" s="339">
        <v>0</v>
      </c>
      <c r="I78" s="339">
        <v>0</v>
      </c>
      <c r="J78" s="339">
        <v>0</v>
      </c>
      <c r="K78" s="339">
        <v>0</v>
      </c>
      <c r="L78" s="339">
        <v>0</v>
      </c>
      <c r="M78" s="339">
        <v>0</v>
      </c>
      <c r="N78" s="339">
        <v>0</v>
      </c>
      <c r="O78" s="339">
        <v>0</v>
      </c>
      <c r="P78" s="339">
        <v>0</v>
      </c>
      <c r="Q78" s="340"/>
      <c r="R78" s="341"/>
    </row>
    <row r="79" spans="1:18" ht="12.75" x14ac:dyDescent="0.2">
      <c r="A79" s="336">
        <v>69</v>
      </c>
      <c r="B79" s="342" t="s">
        <v>111</v>
      </c>
      <c r="C79" s="344" t="s">
        <v>476</v>
      </c>
      <c r="D79" s="339">
        <f t="shared" si="6"/>
        <v>0</v>
      </c>
      <c r="E79" s="339">
        <v>0</v>
      </c>
      <c r="F79" s="339">
        <v>0</v>
      </c>
      <c r="G79" s="339">
        <v>0</v>
      </c>
      <c r="H79" s="339">
        <v>0</v>
      </c>
      <c r="I79" s="339">
        <v>0</v>
      </c>
      <c r="J79" s="339">
        <v>0</v>
      </c>
      <c r="K79" s="339">
        <v>0</v>
      </c>
      <c r="L79" s="339">
        <v>0</v>
      </c>
      <c r="M79" s="339">
        <v>0</v>
      </c>
      <c r="N79" s="339">
        <v>0</v>
      </c>
      <c r="O79" s="339">
        <v>0</v>
      </c>
      <c r="P79" s="339">
        <v>0</v>
      </c>
      <c r="Q79" s="340"/>
      <c r="R79" s="341"/>
    </row>
    <row r="80" spans="1:18" ht="12.75" x14ac:dyDescent="0.2">
      <c r="A80" s="336">
        <v>70</v>
      </c>
      <c r="B80" s="343" t="s">
        <v>112</v>
      </c>
      <c r="C80" s="344" t="s">
        <v>113</v>
      </c>
      <c r="D80" s="339">
        <f t="shared" si="6"/>
        <v>0</v>
      </c>
      <c r="E80" s="339">
        <v>0</v>
      </c>
      <c r="F80" s="339">
        <v>0</v>
      </c>
      <c r="G80" s="339">
        <v>0</v>
      </c>
      <c r="H80" s="339">
        <v>0</v>
      </c>
      <c r="I80" s="339">
        <v>0</v>
      </c>
      <c r="J80" s="339">
        <v>0</v>
      </c>
      <c r="K80" s="339">
        <v>0</v>
      </c>
      <c r="L80" s="339">
        <v>0</v>
      </c>
      <c r="M80" s="339">
        <v>0</v>
      </c>
      <c r="N80" s="339">
        <v>0</v>
      </c>
      <c r="O80" s="339">
        <v>0</v>
      </c>
      <c r="P80" s="339">
        <v>0</v>
      </c>
      <c r="Q80" s="340"/>
      <c r="R80" s="341"/>
    </row>
    <row r="81" spans="1:18" ht="12.75" x14ac:dyDescent="0.2">
      <c r="A81" s="336">
        <v>71</v>
      </c>
      <c r="B81" s="342" t="s">
        <v>114</v>
      </c>
      <c r="C81" s="338" t="s">
        <v>115</v>
      </c>
      <c r="D81" s="339">
        <f t="shared" si="6"/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v>0</v>
      </c>
      <c r="J81" s="339">
        <v>0</v>
      </c>
      <c r="K81" s="339">
        <v>0</v>
      </c>
      <c r="L81" s="339">
        <v>0</v>
      </c>
      <c r="M81" s="339">
        <v>0</v>
      </c>
      <c r="N81" s="339">
        <v>0</v>
      </c>
      <c r="O81" s="339">
        <v>0</v>
      </c>
      <c r="P81" s="339">
        <v>0</v>
      </c>
      <c r="Q81" s="340"/>
      <c r="R81" s="341"/>
    </row>
    <row r="82" spans="1:18" ht="12.75" x14ac:dyDescent="0.2">
      <c r="A82" s="336">
        <v>72</v>
      </c>
      <c r="B82" s="343" t="s">
        <v>116</v>
      </c>
      <c r="C82" s="344" t="s">
        <v>117</v>
      </c>
      <c r="D82" s="339">
        <f t="shared" si="6"/>
        <v>0</v>
      </c>
      <c r="E82" s="339">
        <v>0</v>
      </c>
      <c r="F82" s="339">
        <v>0</v>
      </c>
      <c r="G82" s="339">
        <v>0</v>
      </c>
      <c r="H82" s="339">
        <v>0</v>
      </c>
      <c r="I82" s="339">
        <v>0</v>
      </c>
      <c r="J82" s="339">
        <v>0</v>
      </c>
      <c r="K82" s="339">
        <v>0</v>
      </c>
      <c r="L82" s="339">
        <v>0</v>
      </c>
      <c r="M82" s="339">
        <v>0</v>
      </c>
      <c r="N82" s="339">
        <v>0</v>
      </c>
      <c r="O82" s="339">
        <v>0</v>
      </c>
      <c r="P82" s="339">
        <v>0</v>
      </c>
      <c r="Q82" s="340"/>
      <c r="R82" s="341"/>
    </row>
    <row r="83" spans="1:18" ht="12.75" x14ac:dyDescent="0.2">
      <c r="A83" s="336">
        <v>73</v>
      </c>
      <c r="B83" s="342" t="s">
        <v>118</v>
      </c>
      <c r="C83" s="344" t="s">
        <v>477</v>
      </c>
      <c r="D83" s="339">
        <f t="shared" si="6"/>
        <v>1500</v>
      </c>
      <c r="E83" s="339">
        <v>0</v>
      </c>
      <c r="F83" s="339">
        <v>0</v>
      </c>
      <c r="G83" s="339">
        <v>1500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750</v>
      </c>
      <c r="N83" s="339">
        <v>0</v>
      </c>
      <c r="O83" s="339">
        <v>0</v>
      </c>
      <c r="P83" s="339">
        <v>0</v>
      </c>
      <c r="Q83" s="340"/>
      <c r="R83" s="341"/>
    </row>
    <row r="84" spans="1:18" ht="12.75" x14ac:dyDescent="0.2">
      <c r="A84" s="336">
        <v>74</v>
      </c>
      <c r="B84" s="343" t="s">
        <v>119</v>
      </c>
      <c r="C84" s="344" t="s">
        <v>120</v>
      </c>
      <c r="D84" s="339">
        <f t="shared" si="6"/>
        <v>0</v>
      </c>
      <c r="E84" s="339">
        <v>0</v>
      </c>
      <c r="F84" s="339">
        <v>0</v>
      </c>
      <c r="G84" s="339">
        <v>0</v>
      </c>
      <c r="H84" s="339">
        <v>0</v>
      </c>
      <c r="I84" s="339">
        <v>0</v>
      </c>
      <c r="J84" s="339">
        <v>0</v>
      </c>
      <c r="K84" s="339">
        <v>0</v>
      </c>
      <c r="L84" s="339">
        <v>0</v>
      </c>
      <c r="M84" s="339">
        <v>0</v>
      </c>
      <c r="N84" s="339">
        <v>0</v>
      </c>
      <c r="O84" s="339">
        <v>0</v>
      </c>
      <c r="P84" s="339">
        <v>0</v>
      </c>
      <c r="Q84" s="340"/>
      <c r="R84" s="341"/>
    </row>
    <row r="85" spans="1:18" ht="12.75" x14ac:dyDescent="0.2">
      <c r="A85" s="336">
        <v>75</v>
      </c>
      <c r="B85" s="343" t="s">
        <v>121</v>
      </c>
      <c r="C85" s="344" t="s">
        <v>122</v>
      </c>
      <c r="D85" s="339">
        <f t="shared" si="6"/>
        <v>0</v>
      </c>
      <c r="E85" s="339">
        <v>0</v>
      </c>
      <c r="F85" s="339">
        <v>0</v>
      </c>
      <c r="G85" s="339">
        <v>0</v>
      </c>
      <c r="H85" s="339">
        <v>0</v>
      </c>
      <c r="I85" s="339">
        <v>0</v>
      </c>
      <c r="J85" s="339">
        <v>0</v>
      </c>
      <c r="K85" s="339">
        <v>0</v>
      </c>
      <c r="L85" s="339">
        <v>0</v>
      </c>
      <c r="M85" s="339">
        <v>0</v>
      </c>
      <c r="N85" s="339">
        <v>0</v>
      </c>
      <c r="O85" s="339">
        <v>0</v>
      </c>
      <c r="P85" s="339">
        <v>0</v>
      </c>
      <c r="Q85" s="340"/>
      <c r="R85" s="341"/>
    </row>
    <row r="86" spans="1:18" ht="25.5" x14ac:dyDescent="0.2">
      <c r="A86" s="336">
        <v>76</v>
      </c>
      <c r="B86" s="352" t="s">
        <v>347</v>
      </c>
      <c r="C86" s="350" t="s">
        <v>478</v>
      </c>
      <c r="D86" s="339">
        <f t="shared" si="6"/>
        <v>2456</v>
      </c>
      <c r="E86" s="339">
        <v>2456</v>
      </c>
      <c r="F86" s="339">
        <v>0</v>
      </c>
      <c r="G86" s="339">
        <v>0</v>
      </c>
      <c r="H86" s="339">
        <v>0</v>
      </c>
      <c r="I86" s="339">
        <v>0</v>
      </c>
      <c r="J86" s="339">
        <v>0</v>
      </c>
      <c r="K86" s="339">
        <v>1161</v>
      </c>
      <c r="L86" s="339">
        <v>0</v>
      </c>
      <c r="M86" s="339">
        <v>0</v>
      </c>
      <c r="N86" s="339">
        <v>0</v>
      </c>
      <c r="O86" s="339">
        <v>0</v>
      </c>
      <c r="P86" s="339">
        <v>0</v>
      </c>
      <c r="Q86" s="340"/>
      <c r="R86" s="341"/>
    </row>
    <row r="87" spans="1:18" ht="25.5" x14ac:dyDescent="0.2">
      <c r="A87" s="336">
        <v>77</v>
      </c>
      <c r="B87" s="337" t="s">
        <v>349</v>
      </c>
      <c r="C87" s="344" t="s">
        <v>479</v>
      </c>
      <c r="D87" s="339">
        <f t="shared" si="6"/>
        <v>3636</v>
      </c>
      <c r="E87" s="339">
        <v>3636</v>
      </c>
      <c r="F87" s="339">
        <v>0</v>
      </c>
      <c r="G87" s="339">
        <v>0</v>
      </c>
      <c r="H87" s="339">
        <v>0</v>
      </c>
      <c r="I87" s="339">
        <v>0</v>
      </c>
      <c r="J87" s="339">
        <v>0</v>
      </c>
      <c r="K87" s="339">
        <v>1805</v>
      </c>
      <c r="L87" s="339">
        <v>0</v>
      </c>
      <c r="M87" s="339">
        <v>0</v>
      </c>
      <c r="N87" s="339">
        <v>0</v>
      </c>
      <c r="O87" s="339">
        <v>0</v>
      </c>
      <c r="P87" s="339">
        <v>0</v>
      </c>
      <c r="Q87" s="340"/>
      <c r="R87" s="341"/>
    </row>
    <row r="88" spans="1:18" ht="25.5" x14ac:dyDescent="0.2">
      <c r="A88" s="336">
        <v>78</v>
      </c>
      <c r="B88" s="342" t="s">
        <v>351</v>
      </c>
      <c r="C88" s="344" t="s">
        <v>480</v>
      </c>
      <c r="D88" s="339">
        <f t="shared" si="6"/>
        <v>3977</v>
      </c>
      <c r="E88" s="339">
        <v>3977</v>
      </c>
      <c r="F88" s="339">
        <v>0</v>
      </c>
      <c r="G88" s="339">
        <v>0</v>
      </c>
      <c r="H88" s="339">
        <v>0</v>
      </c>
      <c r="I88" s="339">
        <v>0</v>
      </c>
      <c r="J88" s="339">
        <v>0</v>
      </c>
      <c r="K88" s="339">
        <v>1968</v>
      </c>
      <c r="L88" s="339">
        <v>0</v>
      </c>
      <c r="M88" s="339">
        <v>0</v>
      </c>
      <c r="N88" s="339">
        <v>0</v>
      </c>
      <c r="O88" s="339">
        <v>0</v>
      </c>
      <c r="P88" s="339">
        <v>0</v>
      </c>
      <c r="Q88" s="340"/>
      <c r="R88" s="341"/>
    </row>
    <row r="89" spans="1:18" ht="25.5" x14ac:dyDescent="0.2">
      <c r="A89" s="336">
        <v>79</v>
      </c>
      <c r="B89" s="342" t="s">
        <v>353</v>
      </c>
      <c r="C89" s="344" t="s">
        <v>481</v>
      </c>
      <c r="D89" s="339">
        <f t="shared" si="6"/>
        <v>3322</v>
      </c>
      <c r="E89" s="339">
        <v>3322</v>
      </c>
      <c r="F89" s="339">
        <v>0</v>
      </c>
      <c r="G89" s="339">
        <v>0</v>
      </c>
      <c r="H89" s="339">
        <v>0</v>
      </c>
      <c r="I89" s="339">
        <v>0</v>
      </c>
      <c r="J89" s="339">
        <v>0</v>
      </c>
      <c r="K89" s="339">
        <v>1641</v>
      </c>
      <c r="L89" s="339">
        <v>0</v>
      </c>
      <c r="M89" s="339">
        <v>0</v>
      </c>
      <c r="N89" s="339">
        <v>0</v>
      </c>
      <c r="O89" s="339">
        <v>0</v>
      </c>
      <c r="P89" s="339">
        <v>0</v>
      </c>
      <c r="Q89" s="340"/>
      <c r="R89" s="341"/>
    </row>
    <row r="90" spans="1:18" ht="25.5" x14ac:dyDescent="0.2">
      <c r="A90" s="336">
        <v>80</v>
      </c>
      <c r="B90" s="337" t="s">
        <v>355</v>
      </c>
      <c r="C90" s="344" t="s">
        <v>482</v>
      </c>
      <c r="D90" s="339">
        <f t="shared" si="6"/>
        <v>10950</v>
      </c>
      <c r="E90" s="339">
        <v>3963</v>
      </c>
      <c r="F90" s="339">
        <v>6987</v>
      </c>
      <c r="G90" s="339">
        <v>0</v>
      </c>
      <c r="H90" s="339">
        <v>0</v>
      </c>
      <c r="I90" s="339">
        <v>0</v>
      </c>
      <c r="J90" s="339">
        <v>0</v>
      </c>
      <c r="K90" s="339">
        <v>1850</v>
      </c>
      <c r="L90" s="339">
        <v>3818</v>
      </c>
      <c r="M90" s="339">
        <v>0</v>
      </c>
      <c r="N90" s="339">
        <v>0</v>
      </c>
      <c r="O90" s="339">
        <v>0</v>
      </c>
      <c r="P90" s="339">
        <v>0</v>
      </c>
      <c r="Q90" s="340"/>
      <c r="R90" s="341"/>
    </row>
    <row r="91" spans="1:18" ht="25.5" x14ac:dyDescent="0.2">
      <c r="A91" s="336">
        <v>81</v>
      </c>
      <c r="B91" s="337" t="s">
        <v>357</v>
      </c>
      <c r="C91" s="344" t="s">
        <v>483</v>
      </c>
      <c r="D91" s="339">
        <f t="shared" si="6"/>
        <v>2748</v>
      </c>
      <c r="E91" s="339">
        <v>2748</v>
      </c>
      <c r="F91" s="339">
        <v>0</v>
      </c>
      <c r="G91" s="339">
        <v>0</v>
      </c>
      <c r="H91" s="339">
        <v>0</v>
      </c>
      <c r="I91" s="339">
        <v>0</v>
      </c>
      <c r="J91" s="339">
        <v>0</v>
      </c>
      <c r="K91" s="339">
        <v>1343</v>
      </c>
      <c r="L91" s="339">
        <v>0</v>
      </c>
      <c r="M91" s="339">
        <v>0</v>
      </c>
      <c r="N91" s="339">
        <v>0</v>
      </c>
      <c r="O91" s="339">
        <v>0</v>
      </c>
      <c r="P91" s="339">
        <v>0</v>
      </c>
      <c r="Q91" s="340"/>
      <c r="R91" s="341"/>
    </row>
    <row r="92" spans="1:18" ht="25.5" x14ac:dyDescent="0.2">
      <c r="A92" s="336">
        <v>82</v>
      </c>
      <c r="B92" s="337" t="s">
        <v>359</v>
      </c>
      <c r="C92" s="344" t="s">
        <v>484</v>
      </c>
      <c r="D92" s="339">
        <f t="shared" si="6"/>
        <v>2774</v>
      </c>
      <c r="E92" s="339">
        <v>2774</v>
      </c>
      <c r="F92" s="339">
        <v>0</v>
      </c>
      <c r="G92" s="339">
        <v>0</v>
      </c>
      <c r="H92" s="339">
        <v>0</v>
      </c>
      <c r="I92" s="339">
        <v>0</v>
      </c>
      <c r="J92" s="339">
        <v>0</v>
      </c>
      <c r="K92" s="339">
        <v>1364</v>
      </c>
      <c r="L92" s="339">
        <v>0</v>
      </c>
      <c r="M92" s="339">
        <v>0</v>
      </c>
      <c r="N92" s="339">
        <v>0</v>
      </c>
      <c r="O92" s="339">
        <v>0</v>
      </c>
      <c r="P92" s="339">
        <v>0</v>
      </c>
      <c r="Q92" s="340"/>
      <c r="R92" s="341"/>
    </row>
    <row r="93" spans="1:18" ht="25.5" x14ac:dyDescent="0.2">
      <c r="A93" s="336">
        <v>83</v>
      </c>
      <c r="B93" s="343" t="s">
        <v>123</v>
      </c>
      <c r="C93" s="344" t="s">
        <v>124</v>
      </c>
      <c r="D93" s="339">
        <f t="shared" si="6"/>
        <v>0</v>
      </c>
      <c r="E93" s="339">
        <v>0</v>
      </c>
      <c r="F93" s="339">
        <v>0</v>
      </c>
      <c r="G93" s="339">
        <v>0</v>
      </c>
      <c r="H93" s="339">
        <v>0</v>
      </c>
      <c r="I93" s="339">
        <v>0</v>
      </c>
      <c r="J93" s="339">
        <v>0</v>
      </c>
      <c r="K93" s="339">
        <v>0</v>
      </c>
      <c r="L93" s="339">
        <v>0</v>
      </c>
      <c r="M93" s="339">
        <v>0</v>
      </c>
      <c r="N93" s="339">
        <v>0</v>
      </c>
      <c r="O93" s="339">
        <v>0</v>
      </c>
      <c r="P93" s="339">
        <v>0</v>
      </c>
      <c r="Q93" s="340"/>
      <c r="R93" s="341"/>
    </row>
    <row r="94" spans="1:18" ht="12.75" x14ac:dyDescent="0.2">
      <c r="A94" s="336">
        <v>84</v>
      </c>
      <c r="B94" s="337" t="s">
        <v>125</v>
      </c>
      <c r="C94" s="344" t="s">
        <v>485</v>
      </c>
      <c r="D94" s="339">
        <f t="shared" si="6"/>
        <v>0</v>
      </c>
      <c r="E94" s="339">
        <v>0</v>
      </c>
      <c r="F94" s="339">
        <v>0</v>
      </c>
      <c r="G94" s="339">
        <v>0</v>
      </c>
      <c r="H94" s="339">
        <v>0</v>
      </c>
      <c r="I94" s="339">
        <v>0</v>
      </c>
      <c r="J94" s="339">
        <v>0</v>
      </c>
      <c r="K94" s="339">
        <v>0</v>
      </c>
      <c r="L94" s="339">
        <v>0</v>
      </c>
      <c r="M94" s="339">
        <v>0</v>
      </c>
      <c r="N94" s="339">
        <v>0</v>
      </c>
      <c r="O94" s="339">
        <v>0</v>
      </c>
      <c r="P94" s="339">
        <v>0</v>
      </c>
      <c r="Q94" s="340"/>
      <c r="R94" s="341"/>
    </row>
    <row r="95" spans="1:18" ht="12.75" x14ac:dyDescent="0.2">
      <c r="A95" s="336">
        <v>85</v>
      </c>
      <c r="B95" s="343" t="s">
        <v>126</v>
      </c>
      <c r="C95" s="344" t="s">
        <v>127</v>
      </c>
      <c r="D95" s="339">
        <f t="shared" si="6"/>
        <v>2450</v>
      </c>
      <c r="E95" s="339">
        <v>0</v>
      </c>
      <c r="F95" s="339">
        <v>0</v>
      </c>
      <c r="G95" s="339">
        <v>2450</v>
      </c>
      <c r="H95" s="339">
        <v>0</v>
      </c>
      <c r="I95" s="339">
        <v>0</v>
      </c>
      <c r="J95" s="339">
        <v>0</v>
      </c>
      <c r="K95" s="339">
        <v>0</v>
      </c>
      <c r="L95" s="339">
        <v>0</v>
      </c>
      <c r="M95" s="339">
        <v>700</v>
      </c>
      <c r="N95" s="339">
        <v>0</v>
      </c>
      <c r="O95" s="339">
        <v>0</v>
      </c>
      <c r="P95" s="339">
        <v>0</v>
      </c>
      <c r="Q95" s="340"/>
      <c r="R95" s="341"/>
    </row>
    <row r="96" spans="1:18" ht="12.75" x14ac:dyDescent="0.2">
      <c r="A96" s="336">
        <v>86</v>
      </c>
      <c r="B96" s="345" t="s">
        <v>128</v>
      </c>
      <c r="C96" s="346" t="s">
        <v>129</v>
      </c>
      <c r="D96" s="339">
        <f t="shared" si="6"/>
        <v>2167</v>
      </c>
      <c r="E96" s="339">
        <v>0</v>
      </c>
      <c r="F96" s="339">
        <v>0</v>
      </c>
      <c r="G96" s="339">
        <v>2167</v>
      </c>
      <c r="H96" s="339">
        <v>0</v>
      </c>
      <c r="I96" s="339">
        <v>0</v>
      </c>
      <c r="J96" s="339">
        <v>0</v>
      </c>
      <c r="K96" s="339">
        <v>0</v>
      </c>
      <c r="L96" s="339">
        <v>0</v>
      </c>
      <c r="M96" s="339">
        <v>542</v>
      </c>
      <c r="N96" s="339">
        <v>0</v>
      </c>
      <c r="O96" s="339">
        <v>0</v>
      </c>
      <c r="P96" s="339">
        <v>0</v>
      </c>
      <c r="Q96" s="340"/>
      <c r="R96" s="341"/>
    </row>
    <row r="97" spans="1:18" ht="12.75" x14ac:dyDescent="0.2">
      <c r="A97" s="336">
        <v>87</v>
      </c>
      <c r="B97" s="337" t="s">
        <v>130</v>
      </c>
      <c r="C97" s="344" t="s">
        <v>486</v>
      </c>
      <c r="D97" s="339">
        <f t="shared" si="6"/>
        <v>0</v>
      </c>
      <c r="E97" s="339">
        <v>0</v>
      </c>
      <c r="F97" s="339">
        <v>0</v>
      </c>
      <c r="G97" s="339">
        <v>0</v>
      </c>
      <c r="H97" s="339">
        <v>0</v>
      </c>
      <c r="I97" s="339">
        <v>0</v>
      </c>
      <c r="J97" s="339">
        <v>0</v>
      </c>
      <c r="K97" s="339">
        <v>0</v>
      </c>
      <c r="L97" s="339">
        <v>0</v>
      </c>
      <c r="M97" s="339">
        <v>0</v>
      </c>
      <c r="N97" s="339">
        <v>0</v>
      </c>
      <c r="O97" s="339">
        <v>0</v>
      </c>
      <c r="P97" s="339">
        <v>0</v>
      </c>
      <c r="Q97" s="340"/>
      <c r="R97" s="341"/>
    </row>
    <row r="98" spans="1:18" ht="12.75" x14ac:dyDescent="0.2">
      <c r="A98" s="336">
        <v>88</v>
      </c>
      <c r="B98" s="337" t="s">
        <v>131</v>
      </c>
      <c r="C98" s="344" t="s">
        <v>132</v>
      </c>
      <c r="D98" s="339">
        <f t="shared" si="6"/>
        <v>3461</v>
      </c>
      <c r="E98" s="339">
        <v>0</v>
      </c>
      <c r="F98" s="339">
        <v>0</v>
      </c>
      <c r="G98" s="339">
        <v>3461</v>
      </c>
      <c r="H98" s="339">
        <v>0</v>
      </c>
      <c r="I98" s="339">
        <v>0</v>
      </c>
      <c r="J98" s="339">
        <v>0</v>
      </c>
      <c r="K98" s="339">
        <v>0</v>
      </c>
      <c r="L98" s="339">
        <v>0</v>
      </c>
      <c r="M98" s="339">
        <v>1561</v>
      </c>
      <c r="N98" s="339">
        <v>0</v>
      </c>
      <c r="O98" s="339">
        <v>0</v>
      </c>
      <c r="P98" s="339">
        <v>0</v>
      </c>
      <c r="Q98" s="340"/>
      <c r="R98" s="341"/>
    </row>
    <row r="99" spans="1:18" ht="12.75" x14ac:dyDescent="0.2">
      <c r="A99" s="336">
        <v>89</v>
      </c>
      <c r="B99" s="345" t="s">
        <v>133</v>
      </c>
      <c r="C99" s="346" t="s">
        <v>134</v>
      </c>
      <c r="D99" s="339">
        <f t="shared" si="6"/>
        <v>0</v>
      </c>
      <c r="E99" s="339">
        <v>0</v>
      </c>
      <c r="F99" s="339">
        <v>0</v>
      </c>
      <c r="G99" s="339">
        <v>0</v>
      </c>
      <c r="H99" s="339">
        <v>0</v>
      </c>
      <c r="I99" s="339">
        <v>0</v>
      </c>
      <c r="J99" s="339">
        <v>0</v>
      </c>
      <c r="K99" s="339">
        <v>0</v>
      </c>
      <c r="L99" s="339">
        <v>0</v>
      </c>
      <c r="M99" s="339">
        <v>0</v>
      </c>
      <c r="N99" s="339">
        <v>0</v>
      </c>
      <c r="O99" s="339">
        <v>0</v>
      </c>
      <c r="P99" s="339">
        <v>0</v>
      </c>
      <c r="Q99" s="340"/>
      <c r="R99" s="341"/>
    </row>
    <row r="100" spans="1:18" ht="12.75" x14ac:dyDescent="0.2">
      <c r="A100" s="336">
        <v>90</v>
      </c>
      <c r="B100" s="337" t="s">
        <v>9</v>
      </c>
      <c r="C100" s="344" t="s">
        <v>487</v>
      </c>
      <c r="D100" s="339">
        <f t="shared" si="6"/>
        <v>793</v>
      </c>
      <c r="E100" s="339">
        <v>0</v>
      </c>
      <c r="F100" s="339">
        <v>0</v>
      </c>
      <c r="G100" s="339">
        <v>793</v>
      </c>
      <c r="H100" s="339">
        <v>0</v>
      </c>
      <c r="I100" s="339">
        <v>0</v>
      </c>
      <c r="J100" s="339">
        <v>0</v>
      </c>
      <c r="K100" s="339">
        <v>0</v>
      </c>
      <c r="L100" s="339">
        <v>0</v>
      </c>
      <c r="M100" s="339">
        <v>373</v>
      </c>
      <c r="N100" s="339">
        <v>0</v>
      </c>
      <c r="O100" s="339">
        <v>0</v>
      </c>
      <c r="P100" s="339">
        <v>0</v>
      </c>
      <c r="Q100" s="340"/>
      <c r="R100" s="341"/>
    </row>
    <row r="101" spans="1:18" ht="12.75" x14ac:dyDescent="0.2">
      <c r="A101" s="336">
        <v>91</v>
      </c>
      <c r="B101" s="345" t="s">
        <v>135</v>
      </c>
      <c r="C101" s="346" t="s">
        <v>136</v>
      </c>
      <c r="D101" s="339">
        <f t="shared" si="6"/>
        <v>0</v>
      </c>
      <c r="E101" s="339">
        <v>0</v>
      </c>
      <c r="F101" s="339">
        <v>0</v>
      </c>
      <c r="G101" s="339">
        <v>0</v>
      </c>
      <c r="H101" s="339">
        <v>0</v>
      </c>
      <c r="I101" s="339">
        <v>0</v>
      </c>
      <c r="J101" s="339">
        <v>0</v>
      </c>
      <c r="K101" s="339">
        <v>0</v>
      </c>
      <c r="L101" s="339">
        <v>0</v>
      </c>
      <c r="M101" s="339">
        <v>0</v>
      </c>
      <c r="N101" s="339">
        <v>0</v>
      </c>
      <c r="O101" s="339">
        <v>0</v>
      </c>
      <c r="P101" s="339">
        <v>0</v>
      </c>
      <c r="Q101" s="340"/>
      <c r="R101" s="341"/>
    </row>
    <row r="102" spans="1:18" x14ac:dyDescent="0.2">
      <c r="A102" s="336">
        <v>92</v>
      </c>
      <c r="B102" s="299" t="s">
        <v>488</v>
      </c>
      <c r="C102" s="238" t="s">
        <v>489</v>
      </c>
      <c r="D102" s="339">
        <f t="shared" si="6"/>
        <v>0</v>
      </c>
      <c r="E102" s="339">
        <v>0</v>
      </c>
      <c r="F102" s="339">
        <v>0</v>
      </c>
      <c r="G102" s="339">
        <v>0</v>
      </c>
      <c r="H102" s="339">
        <v>0</v>
      </c>
      <c r="I102" s="339">
        <v>0</v>
      </c>
      <c r="J102" s="339">
        <v>0</v>
      </c>
      <c r="K102" s="339">
        <v>0</v>
      </c>
      <c r="L102" s="339">
        <v>0</v>
      </c>
      <c r="M102" s="339">
        <v>0</v>
      </c>
      <c r="N102" s="339">
        <v>0</v>
      </c>
      <c r="O102" s="339">
        <v>0</v>
      </c>
      <c r="P102" s="339">
        <v>0</v>
      </c>
      <c r="Q102" s="340"/>
      <c r="R102" s="341"/>
    </row>
    <row r="103" spans="1:18" ht="25.5" x14ac:dyDescent="0.2">
      <c r="A103" s="336">
        <v>93</v>
      </c>
      <c r="B103" s="343" t="s">
        <v>137</v>
      </c>
      <c r="C103" s="344" t="s">
        <v>138</v>
      </c>
      <c r="D103" s="339">
        <f t="shared" si="6"/>
        <v>3600</v>
      </c>
      <c r="E103" s="339">
        <v>0</v>
      </c>
      <c r="F103" s="339">
        <v>0</v>
      </c>
      <c r="G103" s="339">
        <v>3600</v>
      </c>
      <c r="H103" s="339">
        <v>0</v>
      </c>
      <c r="I103" s="339">
        <v>0</v>
      </c>
      <c r="J103" s="339">
        <v>0</v>
      </c>
      <c r="K103" s="339">
        <v>0</v>
      </c>
      <c r="L103" s="339">
        <v>0</v>
      </c>
      <c r="M103" s="339">
        <v>1800</v>
      </c>
      <c r="N103" s="339">
        <v>0</v>
      </c>
      <c r="O103" s="339">
        <v>0</v>
      </c>
      <c r="P103" s="339">
        <v>0</v>
      </c>
      <c r="Q103" s="340"/>
      <c r="R103" s="341"/>
    </row>
    <row r="104" spans="1:18" ht="25.5" x14ac:dyDescent="0.2">
      <c r="A104" s="336">
        <v>94</v>
      </c>
      <c r="B104" s="342" t="s">
        <v>369</v>
      </c>
      <c r="C104" s="338" t="s">
        <v>490</v>
      </c>
      <c r="D104" s="339">
        <f t="shared" si="6"/>
        <v>300</v>
      </c>
      <c r="E104" s="339">
        <v>300</v>
      </c>
      <c r="F104" s="339">
        <v>0</v>
      </c>
      <c r="G104" s="339">
        <v>0</v>
      </c>
      <c r="H104" s="339">
        <v>0</v>
      </c>
      <c r="I104" s="339">
        <v>0</v>
      </c>
      <c r="J104" s="339">
        <v>0</v>
      </c>
      <c r="K104" s="339">
        <v>150</v>
      </c>
      <c r="L104" s="339">
        <v>0</v>
      </c>
      <c r="M104" s="339">
        <v>0</v>
      </c>
      <c r="N104" s="339">
        <v>0</v>
      </c>
      <c r="O104" s="339">
        <v>0</v>
      </c>
      <c r="P104" s="339">
        <v>0</v>
      </c>
      <c r="Q104" s="340"/>
      <c r="R104" s="341"/>
    </row>
    <row r="105" spans="1:18" ht="12.75" x14ac:dyDescent="0.2">
      <c r="A105" s="336">
        <v>95</v>
      </c>
      <c r="B105" s="342" t="s">
        <v>139</v>
      </c>
      <c r="C105" s="346" t="s">
        <v>140</v>
      </c>
      <c r="D105" s="339">
        <f t="shared" si="6"/>
        <v>670</v>
      </c>
      <c r="E105" s="339">
        <v>0</v>
      </c>
      <c r="F105" s="339">
        <v>0</v>
      </c>
      <c r="G105" s="339">
        <v>670</v>
      </c>
      <c r="H105" s="339">
        <v>0</v>
      </c>
      <c r="I105" s="339">
        <v>0</v>
      </c>
      <c r="J105" s="339">
        <v>0</v>
      </c>
      <c r="K105" s="339">
        <v>0</v>
      </c>
      <c r="L105" s="339">
        <v>0</v>
      </c>
      <c r="M105" s="339">
        <v>335</v>
      </c>
      <c r="N105" s="339">
        <v>0</v>
      </c>
      <c r="O105" s="339">
        <v>0</v>
      </c>
      <c r="P105" s="339">
        <v>0</v>
      </c>
      <c r="Q105" s="340"/>
      <c r="R105" s="341"/>
    </row>
    <row r="106" spans="1:18" ht="12.75" x14ac:dyDescent="0.2">
      <c r="A106" s="336">
        <v>96</v>
      </c>
      <c r="B106" s="343" t="s">
        <v>141</v>
      </c>
      <c r="C106" s="344" t="s">
        <v>142</v>
      </c>
      <c r="D106" s="339">
        <f t="shared" si="6"/>
        <v>1600</v>
      </c>
      <c r="E106" s="339">
        <v>0</v>
      </c>
      <c r="F106" s="339">
        <v>0</v>
      </c>
      <c r="G106" s="339">
        <v>1600</v>
      </c>
      <c r="H106" s="339">
        <v>0</v>
      </c>
      <c r="I106" s="339">
        <v>0</v>
      </c>
      <c r="J106" s="339">
        <v>0</v>
      </c>
      <c r="K106" s="339">
        <v>0</v>
      </c>
      <c r="L106" s="339">
        <v>0</v>
      </c>
      <c r="M106" s="339">
        <v>800</v>
      </c>
      <c r="N106" s="339">
        <v>0</v>
      </c>
      <c r="O106" s="339">
        <v>0</v>
      </c>
      <c r="P106" s="339">
        <v>0</v>
      </c>
      <c r="Q106" s="340"/>
      <c r="R106" s="341"/>
    </row>
    <row r="107" spans="1:18" ht="12.75" x14ac:dyDescent="0.2">
      <c r="A107" s="336">
        <v>97</v>
      </c>
      <c r="B107" s="342" t="s">
        <v>143</v>
      </c>
      <c r="C107" s="353" t="s">
        <v>144</v>
      </c>
      <c r="D107" s="339">
        <f t="shared" si="6"/>
        <v>550</v>
      </c>
      <c r="E107" s="339">
        <v>0</v>
      </c>
      <c r="F107" s="339">
        <v>0</v>
      </c>
      <c r="G107" s="339">
        <v>458</v>
      </c>
      <c r="H107" s="339">
        <v>92</v>
      </c>
      <c r="I107" s="339">
        <v>0</v>
      </c>
      <c r="J107" s="339">
        <v>0</v>
      </c>
      <c r="K107" s="339">
        <v>0</v>
      </c>
      <c r="L107" s="339">
        <v>0</v>
      </c>
      <c r="M107" s="339">
        <v>208</v>
      </c>
      <c r="N107" s="339">
        <v>42</v>
      </c>
      <c r="O107" s="339">
        <v>0</v>
      </c>
      <c r="P107" s="339">
        <v>0</v>
      </c>
      <c r="Q107" s="340"/>
      <c r="R107" s="341"/>
    </row>
    <row r="108" spans="1:18" ht="12.75" x14ac:dyDescent="0.2">
      <c r="A108" s="336">
        <v>98</v>
      </c>
      <c r="B108" s="343" t="s">
        <v>145</v>
      </c>
      <c r="C108" s="344" t="s">
        <v>146</v>
      </c>
      <c r="D108" s="339">
        <f t="shared" si="6"/>
        <v>0</v>
      </c>
      <c r="E108" s="339">
        <v>0</v>
      </c>
      <c r="F108" s="339">
        <v>0</v>
      </c>
      <c r="G108" s="339">
        <v>0</v>
      </c>
      <c r="H108" s="339">
        <v>0</v>
      </c>
      <c r="I108" s="339">
        <v>0</v>
      </c>
      <c r="J108" s="339">
        <v>0</v>
      </c>
      <c r="K108" s="339">
        <v>0</v>
      </c>
      <c r="L108" s="339">
        <v>0</v>
      </c>
      <c r="M108" s="339">
        <v>0</v>
      </c>
      <c r="N108" s="339">
        <v>0</v>
      </c>
      <c r="O108" s="339">
        <v>0</v>
      </c>
      <c r="P108" s="339">
        <v>0</v>
      </c>
      <c r="Q108" s="340"/>
      <c r="R108" s="341"/>
    </row>
    <row r="109" spans="1:18" ht="12.75" x14ac:dyDescent="0.2">
      <c r="A109" s="336">
        <v>99</v>
      </c>
      <c r="B109" s="343" t="s">
        <v>147</v>
      </c>
      <c r="C109" s="344" t="s">
        <v>148</v>
      </c>
      <c r="D109" s="339">
        <f t="shared" si="6"/>
        <v>1466</v>
      </c>
      <c r="E109" s="339">
        <v>0</v>
      </c>
      <c r="F109" s="339">
        <v>0</v>
      </c>
      <c r="G109" s="339">
        <v>1466</v>
      </c>
      <c r="H109" s="339">
        <v>0</v>
      </c>
      <c r="I109" s="339">
        <v>0</v>
      </c>
      <c r="J109" s="339">
        <v>0</v>
      </c>
      <c r="K109" s="339">
        <v>0</v>
      </c>
      <c r="L109" s="339">
        <v>0</v>
      </c>
      <c r="M109" s="339">
        <v>626</v>
      </c>
      <c r="N109" s="339">
        <v>0</v>
      </c>
      <c r="O109" s="339">
        <v>0</v>
      </c>
      <c r="P109" s="339">
        <v>0</v>
      </c>
      <c r="Q109" s="340"/>
      <c r="R109" s="341"/>
    </row>
    <row r="110" spans="1:18" ht="12.75" x14ac:dyDescent="0.2">
      <c r="A110" s="336">
        <v>100</v>
      </c>
      <c r="B110" s="342" t="s">
        <v>149</v>
      </c>
      <c r="C110" s="346" t="s">
        <v>150</v>
      </c>
      <c r="D110" s="339">
        <f t="shared" si="6"/>
        <v>1214</v>
      </c>
      <c r="E110" s="339">
        <v>0</v>
      </c>
      <c r="F110" s="339">
        <v>0</v>
      </c>
      <c r="G110" s="339">
        <v>747</v>
      </c>
      <c r="H110" s="339">
        <v>467</v>
      </c>
      <c r="I110" s="339">
        <v>0</v>
      </c>
      <c r="J110" s="339">
        <v>0</v>
      </c>
      <c r="K110" s="339">
        <v>0</v>
      </c>
      <c r="L110" s="339">
        <v>0</v>
      </c>
      <c r="M110" s="339">
        <v>347</v>
      </c>
      <c r="N110" s="339">
        <v>217</v>
      </c>
      <c r="O110" s="339">
        <v>0</v>
      </c>
      <c r="P110" s="339">
        <v>0</v>
      </c>
      <c r="Q110" s="340"/>
      <c r="R110" s="341"/>
    </row>
    <row r="111" spans="1:18" ht="12.75" x14ac:dyDescent="0.2">
      <c r="A111" s="336">
        <v>101</v>
      </c>
      <c r="B111" s="342" t="s">
        <v>151</v>
      </c>
      <c r="C111" s="338" t="s">
        <v>152</v>
      </c>
      <c r="D111" s="339">
        <f t="shared" si="6"/>
        <v>277</v>
      </c>
      <c r="E111" s="339">
        <v>0</v>
      </c>
      <c r="F111" s="339">
        <v>0</v>
      </c>
      <c r="G111" s="339">
        <v>277</v>
      </c>
      <c r="H111" s="339">
        <v>0</v>
      </c>
      <c r="I111" s="339">
        <v>0</v>
      </c>
      <c r="J111" s="339">
        <v>0</v>
      </c>
      <c r="K111" s="339">
        <v>0</v>
      </c>
      <c r="L111" s="339">
        <v>0</v>
      </c>
      <c r="M111" s="339">
        <v>111</v>
      </c>
      <c r="N111" s="339">
        <v>0</v>
      </c>
      <c r="O111" s="339">
        <v>0</v>
      </c>
      <c r="P111" s="339">
        <v>0</v>
      </c>
      <c r="Q111" s="340"/>
      <c r="R111" s="341"/>
    </row>
    <row r="112" spans="1:18" ht="12.75" x14ac:dyDescent="0.2">
      <c r="A112" s="336">
        <v>102</v>
      </c>
      <c r="B112" s="337" t="s">
        <v>153</v>
      </c>
      <c r="C112" s="338" t="s">
        <v>154</v>
      </c>
      <c r="D112" s="339">
        <f t="shared" si="6"/>
        <v>352</v>
      </c>
      <c r="E112" s="339">
        <v>0</v>
      </c>
      <c r="F112" s="339">
        <v>0</v>
      </c>
      <c r="G112" s="339">
        <v>176</v>
      </c>
      <c r="H112" s="339">
        <v>176</v>
      </c>
      <c r="I112" s="339">
        <v>0</v>
      </c>
      <c r="J112" s="339">
        <v>0</v>
      </c>
      <c r="K112" s="339">
        <v>0</v>
      </c>
      <c r="L112" s="339">
        <v>0</v>
      </c>
      <c r="M112" s="339">
        <v>76</v>
      </c>
      <c r="N112" s="339">
        <v>76</v>
      </c>
      <c r="O112" s="339">
        <v>0</v>
      </c>
      <c r="P112" s="339">
        <v>0</v>
      </c>
      <c r="Q112" s="340"/>
      <c r="R112" s="341"/>
    </row>
    <row r="113" spans="1:18" ht="12.75" x14ac:dyDescent="0.2">
      <c r="A113" s="336">
        <v>103</v>
      </c>
      <c r="B113" s="337" t="s">
        <v>155</v>
      </c>
      <c r="C113" s="338" t="s">
        <v>156</v>
      </c>
      <c r="D113" s="339">
        <f t="shared" si="6"/>
        <v>1338</v>
      </c>
      <c r="E113" s="339">
        <v>0</v>
      </c>
      <c r="F113" s="339">
        <v>0</v>
      </c>
      <c r="G113" s="339">
        <v>1193</v>
      </c>
      <c r="H113" s="339">
        <v>145</v>
      </c>
      <c r="I113" s="339">
        <v>0</v>
      </c>
      <c r="J113" s="339">
        <v>0</v>
      </c>
      <c r="K113" s="339">
        <v>0</v>
      </c>
      <c r="L113" s="339">
        <v>0</v>
      </c>
      <c r="M113" s="339">
        <v>418</v>
      </c>
      <c r="N113" s="339">
        <v>51</v>
      </c>
      <c r="O113" s="339">
        <v>0</v>
      </c>
      <c r="P113" s="339">
        <v>0</v>
      </c>
      <c r="Q113" s="340"/>
      <c r="R113" s="341"/>
    </row>
    <row r="114" spans="1:18" ht="12.75" x14ac:dyDescent="0.2">
      <c r="A114" s="336">
        <v>104</v>
      </c>
      <c r="B114" s="343" t="s">
        <v>157</v>
      </c>
      <c r="C114" s="344" t="s">
        <v>158</v>
      </c>
      <c r="D114" s="339">
        <f t="shared" si="6"/>
        <v>1483</v>
      </c>
      <c r="E114" s="339">
        <v>0</v>
      </c>
      <c r="F114" s="339">
        <v>0</v>
      </c>
      <c r="G114" s="339">
        <v>1483</v>
      </c>
      <c r="H114" s="339">
        <v>0</v>
      </c>
      <c r="I114" s="339">
        <v>0</v>
      </c>
      <c r="J114" s="339">
        <v>0</v>
      </c>
      <c r="K114" s="339">
        <v>0</v>
      </c>
      <c r="L114" s="339">
        <v>0</v>
      </c>
      <c r="M114" s="339">
        <v>58</v>
      </c>
      <c r="N114" s="339">
        <v>0</v>
      </c>
      <c r="O114" s="339">
        <v>0</v>
      </c>
      <c r="P114" s="339">
        <v>0</v>
      </c>
      <c r="Q114" s="340"/>
      <c r="R114" s="341"/>
    </row>
    <row r="115" spans="1:18" ht="12.75" x14ac:dyDescent="0.2">
      <c r="A115" s="336">
        <v>105</v>
      </c>
      <c r="B115" s="345" t="s">
        <v>159</v>
      </c>
      <c r="C115" s="346" t="s">
        <v>160</v>
      </c>
      <c r="D115" s="339">
        <f t="shared" si="6"/>
        <v>439</v>
      </c>
      <c r="E115" s="339">
        <v>0</v>
      </c>
      <c r="F115" s="339">
        <v>0</v>
      </c>
      <c r="G115" s="339">
        <v>308</v>
      </c>
      <c r="H115" s="339">
        <v>131</v>
      </c>
      <c r="I115" s="339">
        <v>0</v>
      </c>
      <c r="J115" s="339">
        <v>0</v>
      </c>
      <c r="K115" s="339">
        <v>0</v>
      </c>
      <c r="L115" s="339">
        <v>0</v>
      </c>
      <c r="M115" s="339">
        <v>120</v>
      </c>
      <c r="N115" s="339">
        <v>51</v>
      </c>
      <c r="O115" s="339">
        <v>0</v>
      </c>
      <c r="P115" s="339">
        <v>0</v>
      </c>
      <c r="Q115" s="340"/>
      <c r="R115" s="341"/>
    </row>
    <row r="116" spans="1:18" ht="12.75" x14ac:dyDescent="0.2">
      <c r="A116" s="336">
        <v>106</v>
      </c>
      <c r="B116" s="337" t="s">
        <v>161</v>
      </c>
      <c r="C116" s="338" t="s">
        <v>162</v>
      </c>
      <c r="D116" s="339">
        <f t="shared" si="6"/>
        <v>2791</v>
      </c>
      <c r="E116" s="339">
        <v>0</v>
      </c>
      <c r="F116" s="339">
        <v>0</v>
      </c>
      <c r="G116" s="339">
        <v>2083</v>
      </c>
      <c r="H116" s="339">
        <v>708</v>
      </c>
      <c r="I116" s="339">
        <v>0</v>
      </c>
      <c r="J116" s="339">
        <v>0</v>
      </c>
      <c r="K116" s="339">
        <v>0</v>
      </c>
      <c r="L116" s="339">
        <v>0</v>
      </c>
      <c r="M116" s="339">
        <v>833</v>
      </c>
      <c r="N116" s="339">
        <v>283</v>
      </c>
      <c r="O116" s="339">
        <v>0</v>
      </c>
      <c r="P116" s="339">
        <v>0</v>
      </c>
      <c r="Q116" s="340"/>
      <c r="R116" s="341"/>
    </row>
    <row r="117" spans="1:18" ht="12.75" x14ac:dyDescent="0.2">
      <c r="A117" s="336">
        <v>107</v>
      </c>
      <c r="B117" s="342" t="s">
        <v>163</v>
      </c>
      <c r="C117" s="338" t="s">
        <v>164</v>
      </c>
      <c r="D117" s="339">
        <f t="shared" si="6"/>
        <v>1643</v>
      </c>
      <c r="E117" s="339">
        <v>0</v>
      </c>
      <c r="F117" s="339">
        <v>0</v>
      </c>
      <c r="G117" s="339">
        <v>1643</v>
      </c>
      <c r="H117" s="339">
        <v>0</v>
      </c>
      <c r="I117" s="339">
        <v>0</v>
      </c>
      <c r="J117" s="339">
        <v>0</v>
      </c>
      <c r="K117" s="339">
        <v>0</v>
      </c>
      <c r="L117" s="339">
        <v>0</v>
      </c>
      <c r="M117" s="339">
        <v>643</v>
      </c>
      <c r="N117" s="339">
        <v>0</v>
      </c>
      <c r="O117" s="339">
        <v>0</v>
      </c>
      <c r="P117" s="339">
        <v>0</v>
      </c>
      <c r="Q117" s="340"/>
      <c r="R117" s="341"/>
    </row>
    <row r="118" spans="1:18" ht="12.75" x14ac:dyDescent="0.2">
      <c r="A118" s="336">
        <v>108</v>
      </c>
      <c r="B118" s="343" t="s">
        <v>165</v>
      </c>
      <c r="C118" s="344" t="s">
        <v>166</v>
      </c>
      <c r="D118" s="339">
        <f t="shared" si="6"/>
        <v>4375</v>
      </c>
      <c r="E118" s="339">
        <v>0</v>
      </c>
      <c r="F118" s="339">
        <v>0</v>
      </c>
      <c r="G118" s="339">
        <v>3500</v>
      </c>
      <c r="H118" s="339">
        <v>875</v>
      </c>
      <c r="I118" s="339">
        <v>0</v>
      </c>
      <c r="J118" s="339">
        <v>0</v>
      </c>
      <c r="K118" s="339">
        <v>0</v>
      </c>
      <c r="L118" s="339">
        <v>0</v>
      </c>
      <c r="M118" s="339">
        <v>1500</v>
      </c>
      <c r="N118" s="339">
        <v>375</v>
      </c>
      <c r="O118" s="339">
        <v>0</v>
      </c>
      <c r="P118" s="339">
        <v>0</v>
      </c>
      <c r="Q118" s="340"/>
      <c r="R118" s="341"/>
    </row>
    <row r="119" spans="1:18" ht="12.75" x14ac:dyDescent="0.2">
      <c r="A119" s="336">
        <v>109</v>
      </c>
      <c r="B119" s="343" t="s">
        <v>167</v>
      </c>
      <c r="C119" s="344" t="s">
        <v>168</v>
      </c>
      <c r="D119" s="339">
        <f t="shared" si="6"/>
        <v>1600</v>
      </c>
      <c r="E119" s="339">
        <v>0</v>
      </c>
      <c r="F119" s="339">
        <v>0</v>
      </c>
      <c r="G119" s="339">
        <v>1392</v>
      </c>
      <c r="H119" s="339">
        <v>208</v>
      </c>
      <c r="I119" s="339">
        <v>0</v>
      </c>
      <c r="J119" s="339">
        <v>0</v>
      </c>
      <c r="K119" s="339">
        <v>0</v>
      </c>
      <c r="L119" s="339">
        <v>0</v>
      </c>
      <c r="M119" s="339">
        <v>557</v>
      </c>
      <c r="N119" s="339">
        <v>83</v>
      </c>
      <c r="O119" s="339">
        <v>0</v>
      </c>
      <c r="P119" s="339">
        <v>0</v>
      </c>
      <c r="Q119" s="340"/>
      <c r="R119" s="341"/>
    </row>
    <row r="120" spans="1:18" ht="12.75" x14ac:dyDescent="0.2">
      <c r="A120" s="336">
        <v>110</v>
      </c>
      <c r="B120" s="337" t="s">
        <v>169</v>
      </c>
      <c r="C120" s="338" t="s">
        <v>170</v>
      </c>
      <c r="D120" s="339">
        <f t="shared" si="6"/>
        <v>993</v>
      </c>
      <c r="E120" s="339">
        <v>0</v>
      </c>
      <c r="F120" s="339">
        <v>0</v>
      </c>
      <c r="G120" s="339">
        <v>993</v>
      </c>
      <c r="H120" s="339">
        <v>0</v>
      </c>
      <c r="I120" s="339">
        <v>0</v>
      </c>
      <c r="J120" s="339">
        <v>0</v>
      </c>
      <c r="K120" s="339">
        <v>0</v>
      </c>
      <c r="L120" s="339">
        <v>0</v>
      </c>
      <c r="M120" s="339">
        <v>393</v>
      </c>
      <c r="N120" s="339">
        <v>0</v>
      </c>
      <c r="O120" s="339">
        <v>0</v>
      </c>
      <c r="P120" s="339">
        <v>0</v>
      </c>
      <c r="Q120" s="340"/>
      <c r="R120" s="341"/>
    </row>
    <row r="121" spans="1:18" ht="12.75" x14ac:dyDescent="0.2">
      <c r="A121" s="336">
        <v>111</v>
      </c>
      <c r="B121" s="342" t="s">
        <v>171</v>
      </c>
      <c r="C121" s="338" t="s">
        <v>491</v>
      </c>
      <c r="D121" s="339">
        <f t="shared" si="6"/>
        <v>1030</v>
      </c>
      <c r="E121" s="339">
        <v>0</v>
      </c>
      <c r="F121" s="339">
        <v>0</v>
      </c>
      <c r="G121" s="339">
        <v>785</v>
      </c>
      <c r="H121" s="339">
        <v>245</v>
      </c>
      <c r="I121" s="339">
        <v>0</v>
      </c>
      <c r="J121" s="339">
        <v>0</v>
      </c>
      <c r="K121" s="339">
        <v>0</v>
      </c>
      <c r="L121" s="339">
        <v>0</v>
      </c>
      <c r="M121" s="339">
        <v>305</v>
      </c>
      <c r="N121" s="339">
        <v>95</v>
      </c>
      <c r="O121" s="339">
        <v>0</v>
      </c>
      <c r="P121" s="339">
        <v>0</v>
      </c>
      <c r="Q121" s="340"/>
      <c r="R121" s="341"/>
    </row>
    <row r="122" spans="1:18" ht="12.75" x14ac:dyDescent="0.2">
      <c r="A122" s="336">
        <v>112</v>
      </c>
      <c r="B122" s="337" t="s">
        <v>373</v>
      </c>
      <c r="C122" s="344" t="s">
        <v>492</v>
      </c>
      <c r="D122" s="339">
        <f t="shared" si="6"/>
        <v>0</v>
      </c>
      <c r="E122" s="339">
        <v>0</v>
      </c>
      <c r="F122" s="339">
        <v>0</v>
      </c>
      <c r="G122" s="339">
        <v>0</v>
      </c>
      <c r="H122" s="339">
        <v>0</v>
      </c>
      <c r="I122" s="339">
        <v>0</v>
      </c>
      <c r="J122" s="339">
        <v>0</v>
      </c>
      <c r="K122" s="339">
        <v>0</v>
      </c>
      <c r="L122" s="339">
        <v>0</v>
      </c>
      <c r="M122" s="339">
        <v>0</v>
      </c>
      <c r="N122" s="339">
        <v>0</v>
      </c>
      <c r="O122" s="339">
        <v>0</v>
      </c>
      <c r="P122" s="339">
        <v>0</v>
      </c>
      <c r="Q122" s="340"/>
      <c r="R122" s="341"/>
    </row>
    <row r="123" spans="1:18" x14ac:dyDescent="0.2">
      <c r="A123" s="336">
        <v>113</v>
      </c>
      <c r="B123" s="293" t="s">
        <v>493</v>
      </c>
      <c r="C123" s="234" t="s">
        <v>494</v>
      </c>
      <c r="D123" s="339">
        <f t="shared" si="6"/>
        <v>0</v>
      </c>
      <c r="E123" s="339">
        <v>0</v>
      </c>
      <c r="F123" s="339">
        <v>0</v>
      </c>
      <c r="G123" s="339">
        <v>0</v>
      </c>
      <c r="H123" s="339">
        <v>0</v>
      </c>
      <c r="I123" s="339">
        <v>0</v>
      </c>
      <c r="J123" s="339">
        <v>0</v>
      </c>
      <c r="K123" s="339">
        <v>0</v>
      </c>
      <c r="L123" s="339">
        <v>0</v>
      </c>
      <c r="M123" s="339">
        <v>0</v>
      </c>
      <c r="N123" s="339">
        <v>0</v>
      </c>
      <c r="O123" s="339">
        <v>0</v>
      </c>
      <c r="P123" s="339">
        <v>0</v>
      </c>
      <c r="Q123" s="340"/>
      <c r="R123" s="341"/>
    </row>
    <row r="124" spans="1:18" ht="12.75" x14ac:dyDescent="0.2">
      <c r="A124" s="336">
        <v>114</v>
      </c>
      <c r="B124" s="343" t="s">
        <v>375</v>
      </c>
      <c r="C124" s="344" t="s">
        <v>495</v>
      </c>
      <c r="D124" s="339">
        <f t="shared" si="6"/>
        <v>0</v>
      </c>
      <c r="E124" s="339">
        <v>0</v>
      </c>
      <c r="F124" s="339">
        <v>0</v>
      </c>
      <c r="G124" s="339">
        <v>0</v>
      </c>
      <c r="H124" s="339">
        <v>0</v>
      </c>
      <c r="I124" s="339">
        <v>0</v>
      </c>
      <c r="J124" s="339">
        <v>0</v>
      </c>
      <c r="K124" s="339">
        <v>0</v>
      </c>
      <c r="L124" s="339">
        <v>0</v>
      </c>
      <c r="M124" s="339">
        <v>0</v>
      </c>
      <c r="N124" s="339">
        <v>0</v>
      </c>
      <c r="O124" s="339">
        <v>0</v>
      </c>
      <c r="P124" s="339">
        <v>0</v>
      </c>
      <c r="Q124" s="340"/>
      <c r="R124" s="341"/>
    </row>
    <row r="125" spans="1:18" ht="12.75" x14ac:dyDescent="0.2">
      <c r="A125" s="336">
        <v>115</v>
      </c>
      <c r="B125" s="343" t="s">
        <v>377</v>
      </c>
      <c r="C125" s="344" t="s">
        <v>496</v>
      </c>
      <c r="D125" s="339">
        <f t="shared" si="6"/>
        <v>0</v>
      </c>
      <c r="E125" s="339">
        <v>0</v>
      </c>
      <c r="F125" s="339">
        <v>0</v>
      </c>
      <c r="G125" s="339">
        <v>0</v>
      </c>
      <c r="H125" s="339">
        <v>0</v>
      </c>
      <c r="I125" s="339">
        <v>0</v>
      </c>
      <c r="J125" s="339">
        <v>0</v>
      </c>
      <c r="K125" s="339">
        <v>0</v>
      </c>
      <c r="L125" s="339">
        <v>0</v>
      </c>
      <c r="M125" s="339">
        <v>0</v>
      </c>
      <c r="N125" s="339">
        <v>0</v>
      </c>
      <c r="O125" s="339">
        <v>0</v>
      </c>
      <c r="P125" s="339">
        <v>0</v>
      </c>
      <c r="Q125" s="340"/>
      <c r="R125" s="341"/>
    </row>
    <row r="126" spans="1:18" x14ac:dyDescent="0.2">
      <c r="A126" s="336">
        <v>116</v>
      </c>
      <c r="B126" s="248" t="s">
        <v>497</v>
      </c>
      <c r="C126" s="238" t="s">
        <v>498</v>
      </c>
      <c r="D126" s="339">
        <f t="shared" si="6"/>
        <v>0</v>
      </c>
      <c r="E126" s="339">
        <v>0</v>
      </c>
      <c r="F126" s="339">
        <v>0</v>
      </c>
      <c r="G126" s="339">
        <v>0</v>
      </c>
      <c r="H126" s="339">
        <v>0</v>
      </c>
      <c r="I126" s="339">
        <v>0</v>
      </c>
      <c r="J126" s="339">
        <v>0</v>
      </c>
      <c r="K126" s="339">
        <v>0</v>
      </c>
      <c r="L126" s="339">
        <v>0</v>
      </c>
      <c r="M126" s="339">
        <v>0</v>
      </c>
      <c r="N126" s="339">
        <v>0</v>
      </c>
      <c r="O126" s="339">
        <v>0</v>
      </c>
      <c r="P126" s="339">
        <v>0</v>
      </c>
      <c r="Q126" s="340"/>
      <c r="R126" s="341"/>
    </row>
    <row r="127" spans="1:18" ht="24" x14ac:dyDescent="0.2">
      <c r="A127" s="336">
        <v>117</v>
      </c>
      <c r="B127" s="248" t="s">
        <v>379</v>
      </c>
      <c r="C127" s="238" t="s">
        <v>499</v>
      </c>
      <c r="D127" s="339">
        <f t="shared" si="6"/>
        <v>0</v>
      </c>
      <c r="E127" s="339">
        <v>0</v>
      </c>
      <c r="F127" s="339">
        <v>0</v>
      </c>
      <c r="G127" s="339">
        <v>0</v>
      </c>
      <c r="H127" s="339">
        <v>0</v>
      </c>
      <c r="I127" s="339">
        <v>0</v>
      </c>
      <c r="J127" s="339">
        <v>0</v>
      </c>
      <c r="K127" s="339">
        <v>0</v>
      </c>
      <c r="L127" s="339">
        <v>0</v>
      </c>
      <c r="M127" s="339">
        <v>0</v>
      </c>
      <c r="N127" s="339">
        <v>0</v>
      </c>
      <c r="O127" s="339">
        <v>0</v>
      </c>
      <c r="P127" s="339">
        <v>0</v>
      </c>
      <c r="Q127" s="340"/>
      <c r="R127" s="341"/>
    </row>
    <row r="128" spans="1:18" x14ac:dyDescent="0.2">
      <c r="A128" s="336">
        <v>118</v>
      </c>
      <c r="B128" s="248" t="s">
        <v>172</v>
      </c>
      <c r="C128" s="238" t="s">
        <v>173</v>
      </c>
      <c r="D128" s="339">
        <f t="shared" si="6"/>
        <v>0</v>
      </c>
      <c r="E128" s="339">
        <v>0</v>
      </c>
      <c r="F128" s="339">
        <v>0</v>
      </c>
      <c r="G128" s="339">
        <v>0</v>
      </c>
      <c r="H128" s="339">
        <v>0</v>
      </c>
      <c r="I128" s="339">
        <v>0</v>
      </c>
      <c r="J128" s="339">
        <v>0</v>
      </c>
      <c r="K128" s="339">
        <v>0</v>
      </c>
      <c r="L128" s="339">
        <v>0</v>
      </c>
      <c r="M128" s="339">
        <v>0</v>
      </c>
      <c r="N128" s="339">
        <v>0</v>
      </c>
      <c r="O128" s="339">
        <v>0</v>
      </c>
      <c r="P128" s="339">
        <v>0</v>
      </c>
      <c r="Q128" s="340"/>
      <c r="R128" s="341"/>
    </row>
    <row r="129" spans="1:18" ht="12.75" x14ac:dyDescent="0.2">
      <c r="A129" s="336">
        <v>119</v>
      </c>
      <c r="B129" s="343" t="s">
        <v>381</v>
      </c>
      <c r="C129" s="344" t="s">
        <v>500</v>
      </c>
      <c r="D129" s="339">
        <f t="shared" si="6"/>
        <v>0</v>
      </c>
      <c r="E129" s="339">
        <v>0</v>
      </c>
      <c r="F129" s="339">
        <v>0</v>
      </c>
      <c r="G129" s="339">
        <v>0</v>
      </c>
      <c r="H129" s="339">
        <v>0</v>
      </c>
      <c r="I129" s="339">
        <v>0</v>
      </c>
      <c r="J129" s="339">
        <v>0</v>
      </c>
      <c r="K129" s="339">
        <v>0</v>
      </c>
      <c r="L129" s="339">
        <v>0</v>
      </c>
      <c r="M129" s="339">
        <v>0</v>
      </c>
      <c r="N129" s="339">
        <v>0</v>
      </c>
      <c r="O129" s="339">
        <v>0</v>
      </c>
      <c r="P129" s="339">
        <v>0</v>
      </c>
      <c r="Q129" s="340"/>
      <c r="R129" s="341"/>
    </row>
    <row r="130" spans="1:18" x14ac:dyDescent="0.2">
      <c r="A130" s="336">
        <v>120</v>
      </c>
      <c r="B130" s="354" t="s">
        <v>174</v>
      </c>
      <c r="C130" s="355" t="s">
        <v>175</v>
      </c>
      <c r="D130" s="339">
        <f t="shared" si="6"/>
        <v>0</v>
      </c>
      <c r="E130" s="339">
        <v>0</v>
      </c>
      <c r="F130" s="339">
        <v>0</v>
      </c>
      <c r="G130" s="339">
        <v>0</v>
      </c>
      <c r="H130" s="339">
        <v>0</v>
      </c>
      <c r="I130" s="339">
        <v>0</v>
      </c>
      <c r="J130" s="339">
        <v>0</v>
      </c>
      <c r="K130" s="339">
        <v>0</v>
      </c>
      <c r="L130" s="339">
        <v>0</v>
      </c>
      <c r="M130" s="339">
        <v>0</v>
      </c>
      <c r="N130" s="339">
        <v>0</v>
      </c>
      <c r="O130" s="339">
        <v>0</v>
      </c>
      <c r="P130" s="339">
        <v>0</v>
      </c>
      <c r="Q130" s="340"/>
      <c r="R130" s="341"/>
    </row>
    <row r="131" spans="1:18" ht="12.75" x14ac:dyDescent="0.2">
      <c r="A131" s="336">
        <v>121</v>
      </c>
      <c r="B131" s="282" t="s">
        <v>176</v>
      </c>
      <c r="C131" s="283" t="s">
        <v>526</v>
      </c>
      <c r="D131" s="339">
        <f t="shared" si="6"/>
        <v>0</v>
      </c>
      <c r="E131" s="339">
        <v>0</v>
      </c>
      <c r="F131" s="339">
        <v>0</v>
      </c>
      <c r="G131" s="339">
        <v>0</v>
      </c>
      <c r="H131" s="339">
        <v>0</v>
      </c>
      <c r="I131" s="339">
        <v>0</v>
      </c>
      <c r="J131" s="339">
        <v>0</v>
      </c>
      <c r="K131" s="339">
        <v>0</v>
      </c>
      <c r="L131" s="339">
        <v>0</v>
      </c>
      <c r="M131" s="339">
        <v>0</v>
      </c>
      <c r="N131" s="339">
        <v>0</v>
      </c>
      <c r="O131" s="339">
        <v>0</v>
      </c>
      <c r="P131" s="339">
        <v>0</v>
      </c>
      <c r="Q131" s="340"/>
      <c r="R131" s="341"/>
    </row>
    <row r="132" spans="1:18" x14ac:dyDescent="0.2">
      <c r="A132" s="336">
        <v>122</v>
      </c>
      <c r="B132" s="248" t="s">
        <v>383</v>
      </c>
      <c r="C132" s="238" t="s">
        <v>501</v>
      </c>
      <c r="D132" s="339">
        <f t="shared" si="6"/>
        <v>0</v>
      </c>
      <c r="E132" s="339">
        <v>0</v>
      </c>
      <c r="F132" s="339">
        <v>0</v>
      </c>
      <c r="G132" s="339">
        <v>0</v>
      </c>
      <c r="H132" s="339">
        <v>0</v>
      </c>
      <c r="I132" s="339">
        <v>0</v>
      </c>
      <c r="J132" s="339">
        <v>0</v>
      </c>
      <c r="K132" s="339">
        <v>0</v>
      </c>
      <c r="L132" s="339">
        <v>0</v>
      </c>
      <c r="M132" s="339">
        <v>0</v>
      </c>
      <c r="N132" s="339">
        <v>0</v>
      </c>
      <c r="O132" s="339">
        <v>0</v>
      </c>
      <c r="P132" s="339">
        <v>0</v>
      </c>
      <c r="Q132" s="340"/>
      <c r="R132" s="341"/>
    </row>
    <row r="133" spans="1:18" x14ac:dyDescent="0.2">
      <c r="A133" s="336">
        <v>123</v>
      </c>
      <c r="B133" s="237" t="s">
        <v>502</v>
      </c>
      <c r="C133" s="253" t="s">
        <v>503</v>
      </c>
      <c r="D133" s="339">
        <f t="shared" si="6"/>
        <v>0</v>
      </c>
      <c r="E133" s="339">
        <v>0</v>
      </c>
      <c r="F133" s="339">
        <v>0</v>
      </c>
      <c r="G133" s="339">
        <v>0</v>
      </c>
      <c r="H133" s="339">
        <v>0</v>
      </c>
      <c r="I133" s="339">
        <v>0</v>
      </c>
      <c r="J133" s="339">
        <v>0</v>
      </c>
      <c r="K133" s="339">
        <v>0</v>
      </c>
      <c r="L133" s="339">
        <v>0</v>
      </c>
      <c r="M133" s="339">
        <v>0</v>
      </c>
      <c r="N133" s="339">
        <v>0</v>
      </c>
      <c r="O133" s="339">
        <v>0</v>
      </c>
      <c r="P133" s="339">
        <v>0</v>
      </c>
      <c r="Q133" s="340"/>
      <c r="R133" s="341"/>
    </row>
    <row r="134" spans="1:18" ht="24" x14ac:dyDescent="0.2">
      <c r="A134" s="336">
        <v>124</v>
      </c>
      <c r="B134" s="248" t="s">
        <v>504</v>
      </c>
      <c r="C134" s="238" t="s">
        <v>505</v>
      </c>
      <c r="D134" s="339">
        <f t="shared" si="6"/>
        <v>0</v>
      </c>
      <c r="E134" s="339">
        <v>0</v>
      </c>
      <c r="F134" s="339">
        <v>0</v>
      </c>
      <c r="G134" s="339">
        <v>0</v>
      </c>
      <c r="H134" s="339">
        <v>0</v>
      </c>
      <c r="I134" s="339">
        <v>0</v>
      </c>
      <c r="J134" s="339">
        <v>0</v>
      </c>
      <c r="K134" s="339">
        <v>0</v>
      </c>
      <c r="L134" s="339">
        <v>0</v>
      </c>
      <c r="M134" s="339">
        <v>0</v>
      </c>
      <c r="N134" s="339">
        <v>0</v>
      </c>
      <c r="O134" s="339">
        <v>0</v>
      </c>
      <c r="P134" s="339">
        <v>0</v>
      </c>
      <c r="Q134" s="340"/>
      <c r="R134" s="341"/>
    </row>
    <row r="135" spans="1:18" ht="24" x14ac:dyDescent="0.2">
      <c r="A135" s="336">
        <v>125</v>
      </c>
      <c r="B135" s="248" t="s">
        <v>177</v>
      </c>
      <c r="C135" s="238" t="s">
        <v>178</v>
      </c>
      <c r="D135" s="339">
        <f t="shared" si="6"/>
        <v>0</v>
      </c>
      <c r="E135" s="339">
        <v>0</v>
      </c>
      <c r="F135" s="339">
        <v>0</v>
      </c>
      <c r="G135" s="339">
        <v>0</v>
      </c>
      <c r="H135" s="339">
        <v>0</v>
      </c>
      <c r="I135" s="339">
        <v>0</v>
      </c>
      <c r="J135" s="339">
        <v>0</v>
      </c>
      <c r="K135" s="339">
        <v>0</v>
      </c>
      <c r="L135" s="339">
        <v>0</v>
      </c>
      <c r="M135" s="339">
        <v>0</v>
      </c>
      <c r="N135" s="339">
        <v>0</v>
      </c>
      <c r="O135" s="339">
        <v>0</v>
      </c>
      <c r="P135" s="339">
        <v>0</v>
      </c>
      <c r="Q135" s="340"/>
      <c r="R135" s="341"/>
    </row>
    <row r="136" spans="1:18" ht="12.75" x14ac:dyDescent="0.2">
      <c r="A136" s="336">
        <v>126</v>
      </c>
      <c r="B136" s="342" t="s">
        <v>179</v>
      </c>
      <c r="C136" s="344" t="s">
        <v>506</v>
      </c>
      <c r="D136" s="339">
        <f t="shared" si="6"/>
        <v>12</v>
      </c>
      <c r="E136" s="339">
        <v>12</v>
      </c>
      <c r="F136" s="339">
        <v>0</v>
      </c>
      <c r="G136" s="339">
        <v>0</v>
      </c>
      <c r="H136" s="339">
        <v>0</v>
      </c>
      <c r="I136" s="339">
        <v>0</v>
      </c>
      <c r="J136" s="339">
        <v>0</v>
      </c>
      <c r="K136" s="339">
        <v>6</v>
      </c>
      <c r="L136" s="339">
        <v>0</v>
      </c>
      <c r="M136" s="339">
        <v>0</v>
      </c>
      <c r="N136" s="339">
        <v>0</v>
      </c>
      <c r="O136" s="339">
        <v>0</v>
      </c>
      <c r="P136" s="339">
        <v>0</v>
      </c>
      <c r="Q136" s="340"/>
      <c r="R136" s="341"/>
    </row>
    <row r="137" spans="1:18" x14ac:dyDescent="0.2">
      <c r="A137" s="336">
        <v>127</v>
      </c>
      <c r="B137" s="254" t="s">
        <v>507</v>
      </c>
      <c r="C137" s="255" t="s">
        <v>508</v>
      </c>
      <c r="D137" s="339">
        <f t="shared" si="6"/>
        <v>0</v>
      </c>
      <c r="E137" s="339">
        <v>0</v>
      </c>
      <c r="F137" s="339">
        <v>0</v>
      </c>
      <c r="G137" s="339">
        <v>0</v>
      </c>
      <c r="H137" s="339">
        <v>0</v>
      </c>
      <c r="I137" s="339">
        <v>0</v>
      </c>
      <c r="J137" s="339">
        <v>0</v>
      </c>
      <c r="K137" s="339">
        <v>0</v>
      </c>
      <c r="L137" s="339">
        <v>0</v>
      </c>
      <c r="M137" s="339">
        <v>0</v>
      </c>
      <c r="N137" s="339">
        <v>0</v>
      </c>
      <c r="O137" s="339">
        <v>0</v>
      </c>
      <c r="P137" s="339">
        <v>0</v>
      </c>
      <c r="Q137" s="340"/>
      <c r="R137" s="341"/>
    </row>
    <row r="138" spans="1:18" x14ac:dyDescent="0.2">
      <c r="A138" s="336">
        <v>128</v>
      </c>
      <c r="B138" s="248" t="s">
        <v>509</v>
      </c>
      <c r="C138" s="238" t="s">
        <v>510</v>
      </c>
      <c r="D138" s="339">
        <f t="shared" si="6"/>
        <v>0</v>
      </c>
      <c r="E138" s="339">
        <v>0</v>
      </c>
      <c r="F138" s="339">
        <v>0</v>
      </c>
      <c r="G138" s="339">
        <v>0</v>
      </c>
      <c r="H138" s="339">
        <v>0</v>
      </c>
      <c r="I138" s="339">
        <v>0</v>
      </c>
      <c r="J138" s="339">
        <v>0</v>
      </c>
      <c r="K138" s="339">
        <v>0</v>
      </c>
      <c r="L138" s="339">
        <v>0</v>
      </c>
      <c r="M138" s="339">
        <v>0</v>
      </c>
      <c r="N138" s="339">
        <v>0</v>
      </c>
      <c r="O138" s="339">
        <v>0</v>
      </c>
      <c r="P138" s="339">
        <v>0</v>
      </c>
      <c r="Q138" s="340"/>
      <c r="R138" s="341"/>
    </row>
    <row r="139" spans="1:18" ht="12.75" x14ac:dyDescent="0.2">
      <c r="A139" s="336">
        <v>129</v>
      </c>
      <c r="B139" s="337" t="s">
        <v>386</v>
      </c>
      <c r="C139" s="338" t="s">
        <v>511</v>
      </c>
      <c r="D139" s="339">
        <f t="shared" si="6"/>
        <v>0</v>
      </c>
      <c r="E139" s="339">
        <v>0</v>
      </c>
      <c r="F139" s="339">
        <v>0</v>
      </c>
      <c r="G139" s="339">
        <v>0</v>
      </c>
      <c r="H139" s="339">
        <v>0</v>
      </c>
      <c r="I139" s="339">
        <v>0</v>
      </c>
      <c r="J139" s="339">
        <v>0</v>
      </c>
      <c r="K139" s="339">
        <v>0</v>
      </c>
      <c r="L139" s="339">
        <v>0</v>
      </c>
      <c r="M139" s="339">
        <v>0</v>
      </c>
      <c r="N139" s="339">
        <v>0</v>
      </c>
      <c r="O139" s="339">
        <v>0</v>
      </c>
      <c r="P139" s="339">
        <v>0</v>
      </c>
      <c r="Q139" s="340"/>
      <c r="R139" s="341"/>
    </row>
    <row r="140" spans="1:18" x14ac:dyDescent="0.2">
      <c r="A140" s="336">
        <v>130</v>
      </c>
      <c r="B140" s="246" t="s">
        <v>388</v>
      </c>
      <c r="C140" s="234" t="s">
        <v>512</v>
      </c>
      <c r="D140" s="339">
        <f t="shared" ref="D140:D158" si="7">E140+F140+G140+H140+I140+J140</f>
        <v>0</v>
      </c>
      <c r="E140" s="339">
        <v>0</v>
      </c>
      <c r="F140" s="339">
        <v>0</v>
      </c>
      <c r="G140" s="339">
        <v>0</v>
      </c>
      <c r="H140" s="339">
        <v>0</v>
      </c>
      <c r="I140" s="339">
        <v>0</v>
      </c>
      <c r="J140" s="339">
        <v>0</v>
      </c>
      <c r="K140" s="339">
        <v>0</v>
      </c>
      <c r="L140" s="339">
        <v>0</v>
      </c>
      <c r="M140" s="339">
        <v>0</v>
      </c>
      <c r="N140" s="339">
        <v>0</v>
      </c>
      <c r="O140" s="339">
        <v>0</v>
      </c>
      <c r="P140" s="339">
        <v>0</v>
      </c>
      <c r="Q140" s="340"/>
      <c r="R140" s="341"/>
    </row>
    <row r="141" spans="1:18" ht="12.75" x14ac:dyDescent="0.2">
      <c r="A141" s="336">
        <v>131</v>
      </c>
      <c r="B141" s="343" t="s">
        <v>390</v>
      </c>
      <c r="C141" s="344" t="s">
        <v>513</v>
      </c>
      <c r="D141" s="339">
        <f t="shared" si="7"/>
        <v>0</v>
      </c>
      <c r="E141" s="339">
        <v>0</v>
      </c>
      <c r="F141" s="339">
        <v>0</v>
      </c>
      <c r="G141" s="339">
        <v>0</v>
      </c>
      <c r="H141" s="339">
        <v>0</v>
      </c>
      <c r="I141" s="339">
        <v>0</v>
      </c>
      <c r="J141" s="339">
        <v>0</v>
      </c>
      <c r="K141" s="339">
        <v>0</v>
      </c>
      <c r="L141" s="339">
        <v>0</v>
      </c>
      <c r="M141" s="339">
        <v>0</v>
      </c>
      <c r="N141" s="339">
        <v>0</v>
      </c>
      <c r="O141" s="339">
        <v>0</v>
      </c>
      <c r="P141" s="339">
        <v>0</v>
      </c>
      <c r="Q141" s="340"/>
      <c r="R141" s="341"/>
    </row>
    <row r="142" spans="1:18" x14ac:dyDescent="0.2">
      <c r="A142" s="336">
        <v>132</v>
      </c>
      <c r="B142" s="248" t="s">
        <v>514</v>
      </c>
      <c r="C142" s="238" t="s">
        <v>515</v>
      </c>
      <c r="D142" s="339">
        <f t="shared" si="7"/>
        <v>0</v>
      </c>
      <c r="E142" s="339">
        <v>0</v>
      </c>
      <c r="F142" s="339">
        <v>0</v>
      </c>
      <c r="G142" s="339">
        <v>0</v>
      </c>
      <c r="H142" s="339">
        <v>0</v>
      </c>
      <c r="I142" s="339">
        <v>0</v>
      </c>
      <c r="J142" s="339">
        <v>0</v>
      </c>
      <c r="K142" s="339">
        <v>0</v>
      </c>
      <c r="L142" s="339">
        <v>0</v>
      </c>
      <c r="M142" s="339">
        <v>0</v>
      </c>
      <c r="N142" s="339">
        <v>0</v>
      </c>
      <c r="O142" s="339">
        <v>0</v>
      </c>
      <c r="P142" s="339">
        <v>0</v>
      </c>
      <c r="Q142" s="340"/>
      <c r="R142" s="341"/>
    </row>
    <row r="143" spans="1:18" ht="12.75" x14ac:dyDescent="0.2">
      <c r="A143" s="336">
        <v>133</v>
      </c>
      <c r="B143" s="343" t="s">
        <v>15</v>
      </c>
      <c r="C143" s="344" t="s">
        <v>180</v>
      </c>
      <c r="D143" s="339">
        <f t="shared" si="7"/>
        <v>0</v>
      </c>
      <c r="E143" s="339">
        <v>0</v>
      </c>
      <c r="F143" s="339">
        <v>0</v>
      </c>
      <c r="G143" s="339">
        <v>0</v>
      </c>
      <c r="H143" s="339">
        <v>0</v>
      </c>
      <c r="I143" s="339">
        <v>0</v>
      </c>
      <c r="J143" s="339">
        <v>0</v>
      </c>
      <c r="K143" s="339">
        <v>0</v>
      </c>
      <c r="L143" s="339">
        <v>0</v>
      </c>
      <c r="M143" s="339">
        <v>0</v>
      </c>
      <c r="N143" s="339">
        <v>0</v>
      </c>
      <c r="O143" s="339">
        <v>0</v>
      </c>
      <c r="P143" s="339">
        <v>0</v>
      </c>
      <c r="Q143" s="340"/>
      <c r="R143" s="341"/>
    </row>
    <row r="144" spans="1:18" ht="12.75" x14ac:dyDescent="0.2">
      <c r="A144" s="336">
        <v>134</v>
      </c>
      <c r="B144" s="343" t="s">
        <v>181</v>
      </c>
      <c r="C144" s="344" t="s">
        <v>182</v>
      </c>
      <c r="D144" s="339">
        <f t="shared" si="7"/>
        <v>0</v>
      </c>
      <c r="E144" s="339">
        <v>0</v>
      </c>
      <c r="F144" s="339">
        <v>0</v>
      </c>
      <c r="G144" s="339">
        <v>0</v>
      </c>
      <c r="H144" s="339">
        <v>0</v>
      </c>
      <c r="I144" s="339">
        <v>0</v>
      </c>
      <c r="J144" s="339">
        <v>0</v>
      </c>
      <c r="K144" s="339">
        <v>0</v>
      </c>
      <c r="L144" s="339">
        <v>0</v>
      </c>
      <c r="M144" s="339">
        <v>0</v>
      </c>
      <c r="N144" s="339">
        <v>0</v>
      </c>
      <c r="O144" s="339">
        <v>0</v>
      </c>
      <c r="P144" s="339">
        <v>0</v>
      </c>
      <c r="Q144" s="340"/>
      <c r="R144" s="341"/>
    </row>
    <row r="145" spans="1:18" ht="12.75" x14ac:dyDescent="0.2">
      <c r="A145" s="336">
        <v>135</v>
      </c>
      <c r="B145" s="343" t="s">
        <v>14</v>
      </c>
      <c r="C145" s="344" t="s">
        <v>13</v>
      </c>
      <c r="D145" s="339">
        <f t="shared" si="7"/>
        <v>0</v>
      </c>
      <c r="E145" s="339">
        <v>0</v>
      </c>
      <c r="F145" s="339">
        <v>0</v>
      </c>
      <c r="G145" s="339">
        <v>0</v>
      </c>
      <c r="H145" s="339">
        <v>0</v>
      </c>
      <c r="I145" s="339">
        <v>0</v>
      </c>
      <c r="J145" s="339">
        <v>0</v>
      </c>
      <c r="K145" s="339">
        <v>0</v>
      </c>
      <c r="L145" s="339">
        <v>0</v>
      </c>
      <c r="M145" s="339">
        <v>0</v>
      </c>
      <c r="N145" s="339">
        <v>0</v>
      </c>
      <c r="O145" s="339">
        <v>0</v>
      </c>
      <c r="P145" s="339">
        <v>0</v>
      </c>
      <c r="Q145" s="340"/>
      <c r="R145" s="341"/>
    </row>
    <row r="146" spans="1:18" ht="12.75" x14ac:dyDescent="0.2">
      <c r="A146" s="336">
        <v>136</v>
      </c>
      <c r="B146" s="337" t="s">
        <v>10</v>
      </c>
      <c r="C146" s="338" t="s">
        <v>7</v>
      </c>
      <c r="D146" s="339">
        <f t="shared" si="7"/>
        <v>6427</v>
      </c>
      <c r="E146" s="339">
        <v>0</v>
      </c>
      <c r="F146" s="339">
        <v>0</v>
      </c>
      <c r="G146" s="339">
        <v>0</v>
      </c>
      <c r="H146" s="339">
        <v>0</v>
      </c>
      <c r="I146" s="339">
        <v>0</v>
      </c>
      <c r="J146" s="339">
        <v>6427</v>
      </c>
      <c r="K146" s="339">
        <v>0</v>
      </c>
      <c r="L146" s="339">
        <v>0</v>
      </c>
      <c r="M146" s="339">
        <v>0</v>
      </c>
      <c r="N146" s="339">
        <v>0</v>
      </c>
      <c r="O146" s="339">
        <v>0</v>
      </c>
      <c r="P146" s="339">
        <v>3214</v>
      </c>
      <c r="Q146" s="340"/>
      <c r="R146" s="341"/>
    </row>
    <row r="147" spans="1:18" ht="12.75" x14ac:dyDescent="0.2">
      <c r="A147" s="336">
        <v>137</v>
      </c>
      <c r="B147" s="343" t="s">
        <v>393</v>
      </c>
      <c r="C147" s="344" t="s">
        <v>516</v>
      </c>
      <c r="D147" s="339">
        <f t="shared" si="7"/>
        <v>0</v>
      </c>
      <c r="E147" s="339">
        <v>0</v>
      </c>
      <c r="F147" s="339">
        <v>0</v>
      </c>
      <c r="G147" s="339">
        <v>0</v>
      </c>
      <c r="H147" s="339">
        <v>0</v>
      </c>
      <c r="I147" s="339">
        <v>0</v>
      </c>
      <c r="J147" s="339">
        <v>0</v>
      </c>
      <c r="K147" s="339">
        <v>0</v>
      </c>
      <c r="L147" s="339">
        <v>0</v>
      </c>
      <c r="M147" s="339">
        <v>0</v>
      </c>
      <c r="N147" s="339">
        <v>0</v>
      </c>
      <c r="O147" s="339">
        <v>0</v>
      </c>
      <c r="P147" s="339">
        <v>0</v>
      </c>
      <c r="Q147" s="340"/>
      <c r="R147" s="341"/>
    </row>
    <row r="148" spans="1:18" ht="12.75" x14ac:dyDescent="0.2">
      <c r="A148" s="336">
        <v>138</v>
      </c>
      <c r="B148" s="337" t="s">
        <v>183</v>
      </c>
      <c r="C148" s="344" t="s">
        <v>184</v>
      </c>
      <c r="D148" s="339">
        <f t="shared" si="7"/>
        <v>0</v>
      </c>
      <c r="E148" s="339">
        <v>0</v>
      </c>
      <c r="F148" s="339">
        <v>0</v>
      </c>
      <c r="G148" s="339">
        <v>0</v>
      </c>
      <c r="H148" s="339">
        <v>0</v>
      </c>
      <c r="I148" s="339">
        <v>0</v>
      </c>
      <c r="J148" s="339">
        <v>0</v>
      </c>
      <c r="K148" s="339">
        <v>0</v>
      </c>
      <c r="L148" s="339">
        <v>0</v>
      </c>
      <c r="M148" s="339">
        <v>0</v>
      </c>
      <c r="N148" s="339">
        <v>0</v>
      </c>
      <c r="O148" s="339">
        <v>0</v>
      </c>
      <c r="P148" s="339">
        <v>0</v>
      </c>
      <c r="Q148" s="340"/>
      <c r="R148" s="341"/>
    </row>
    <row r="149" spans="1:18" ht="12.75" x14ac:dyDescent="0.2">
      <c r="A149" s="336">
        <v>139</v>
      </c>
      <c r="B149" s="345" t="s">
        <v>185</v>
      </c>
      <c r="C149" s="346" t="s">
        <v>186</v>
      </c>
      <c r="D149" s="339">
        <f t="shared" si="7"/>
        <v>0</v>
      </c>
      <c r="E149" s="339">
        <v>0</v>
      </c>
      <c r="F149" s="339">
        <v>0</v>
      </c>
      <c r="G149" s="339">
        <v>0</v>
      </c>
      <c r="H149" s="339">
        <v>0</v>
      </c>
      <c r="I149" s="339">
        <v>0</v>
      </c>
      <c r="J149" s="339">
        <v>0</v>
      </c>
      <c r="K149" s="339">
        <v>0</v>
      </c>
      <c r="L149" s="339">
        <v>0</v>
      </c>
      <c r="M149" s="339">
        <v>0</v>
      </c>
      <c r="N149" s="339">
        <v>0</v>
      </c>
      <c r="O149" s="339">
        <v>0</v>
      </c>
      <c r="P149" s="339">
        <v>0</v>
      </c>
      <c r="Q149" s="340"/>
      <c r="R149" s="341"/>
    </row>
    <row r="150" spans="1:18" ht="12.75" x14ac:dyDescent="0.2">
      <c r="A150" s="336">
        <v>140</v>
      </c>
      <c r="B150" s="343" t="s">
        <v>187</v>
      </c>
      <c r="C150" s="344" t="s">
        <v>188</v>
      </c>
      <c r="D150" s="339">
        <f t="shared" si="7"/>
        <v>0</v>
      </c>
      <c r="E150" s="339">
        <v>0</v>
      </c>
      <c r="F150" s="339">
        <v>0</v>
      </c>
      <c r="G150" s="339">
        <v>0</v>
      </c>
      <c r="H150" s="339">
        <v>0</v>
      </c>
      <c r="I150" s="339">
        <v>0</v>
      </c>
      <c r="J150" s="339">
        <v>0</v>
      </c>
      <c r="K150" s="339">
        <v>0</v>
      </c>
      <c r="L150" s="339">
        <v>0</v>
      </c>
      <c r="M150" s="339">
        <v>0</v>
      </c>
      <c r="N150" s="339">
        <v>0</v>
      </c>
      <c r="O150" s="339">
        <v>0</v>
      </c>
      <c r="P150" s="339">
        <v>0</v>
      </c>
      <c r="Q150" s="340"/>
      <c r="R150" s="341"/>
    </row>
    <row r="151" spans="1:18" ht="12.75" x14ac:dyDescent="0.2">
      <c r="A151" s="336">
        <v>141</v>
      </c>
      <c r="B151" s="343" t="s">
        <v>395</v>
      </c>
      <c r="C151" s="344" t="s">
        <v>396</v>
      </c>
      <c r="D151" s="339">
        <f t="shared" si="7"/>
        <v>0</v>
      </c>
      <c r="E151" s="339">
        <v>0</v>
      </c>
      <c r="F151" s="339">
        <v>0</v>
      </c>
      <c r="G151" s="339">
        <v>0</v>
      </c>
      <c r="H151" s="339">
        <v>0</v>
      </c>
      <c r="I151" s="339">
        <v>0</v>
      </c>
      <c r="J151" s="339">
        <v>0</v>
      </c>
      <c r="K151" s="339">
        <v>0</v>
      </c>
      <c r="L151" s="339">
        <v>0</v>
      </c>
      <c r="M151" s="339">
        <v>0</v>
      </c>
      <c r="N151" s="339">
        <v>0</v>
      </c>
      <c r="O151" s="339">
        <v>0</v>
      </c>
      <c r="P151" s="339">
        <v>0</v>
      </c>
      <c r="Q151" s="340"/>
      <c r="R151" s="341"/>
    </row>
    <row r="152" spans="1:18" ht="12.75" x14ac:dyDescent="0.2">
      <c r="A152" s="336">
        <v>142</v>
      </c>
      <c r="B152" s="343" t="s">
        <v>189</v>
      </c>
      <c r="C152" s="344" t="s">
        <v>190</v>
      </c>
      <c r="D152" s="339">
        <f t="shared" si="7"/>
        <v>2267</v>
      </c>
      <c r="E152" s="339">
        <v>0</v>
      </c>
      <c r="F152" s="339">
        <v>0</v>
      </c>
      <c r="G152" s="339">
        <v>0</v>
      </c>
      <c r="H152" s="339">
        <v>0</v>
      </c>
      <c r="I152" s="339">
        <v>2267</v>
      </c>
      <c r="J152" s="339">
        <v>0</v>
      </c>
      <c r="K152" s="339">
        <v>0</v>
      </c>
      <c r="L152" s="339">
        <v>0</v>
      </c>
      <c r="M152" s="339">
        <v>0</v>
      </c>
      <c r="N152" s="339">
        <v>0</v>
      </c>
      <c r="O152" s="339">
        <v>1134</v>
      </c>
      <c r="P152" s="339">
        <v>0</v>
      </c>
      <c r="Q152" s="340"/>
      <c r="R152" s="341"/>
    </row>
    <row r="153" spans="1:18" ht="12.75" x14ac:dyDescent="0.2">
      <c r="A153" s="336">
        <v>143</v>
      </c>
      <c r="B153" s="345" t="s">
        <v>12</v>
      </c>
      <c r="C153" s="346" t="s">
        <v>2</v>
      </c>
      <c r="D153" s="339">
        <f t="shared" si="7"/>
        <v>0</v>
      </c>
      <c r="E153" s="339">
        <v>0</v>
      </c>
      <c r="F153" s="339">
        <v>0</v>
      </c>
      <c r="G153" s="339">
        <v>0</v>
      </c>
      <c r="H153" s="339">
        <v>0</v>
      </c>
      <c r="I153" s="339">
        <v>0</v>
      </c>
      <c r="J153" s="339">
        <v>0</v>
      </c>
      <c r="K153" s="339">
        <v>0</v>
      </c>
      <c r="L153" s="339">
        <v>0</v>
      </c>
      <c r="M153" s="339">
        <v>0</v>
      </c>
      <c r="N153" s="339">
        <v>0</v>
      </c>
      <c r="O153" s="339">
        <v>0</v>
      </c>
      <c r="P153" s="339">
        <v>0</v>
      </c>
      <c r="Q153" s="340"/>
      <c r="R153" s="341"/>
    </row>
    <row r="154" spans="1:18" ht="12.75" x14ac:dyDescent="0.2">
      <c r="A154" s="336">
        <v>144</v>
      </c>
      <c r="B154" s="342" t="s">
        <v>3</v>
      </c>
      <c r="C154" s="346" t="s">
        <v>191</v>
      </c>
      <c r="D154" s="339">
        <f t="shared" si="7"/>
        <v>884</v>
      </c>
      <c r="E154" s="339">
        <v>0</v>
      </c>
      <c r="F154" s="339">
        <v>0</v>
      </c>
      <c r="G154" s="339">
        <v>430</v>
      </c>
      <c r="H154" s="339">
        <v>454</v>
      </c>
      <c r="I154" s="339">
        <v>0</v>
      </c>
      <c r="J154" s="339">
        <v>0</v>
      </c>
      <c r="K154" s="339">
        <v>0</v>
      </c>
      <c r="L154" s="339">
        <v>0</v>
      </c>
      <c r="M154" s="339">
        <v>215</v>
      </c>
      <c r="N154" s="339">
        <v>227</v>
      </c>
      <c r="O154" s="339">
        <v>0</v>
      </c>
      <c r="P154" s="339">
        <v>0</v>
      </c>
      <c r="Q154" s="340"/>
      <c r="R154" s="341"/>
    </row>
    <row r="155" spans="1:18" ht="12.75" x14ac:dyDescent="0.2">
      <c r="A155" s="336">
        <v>145</v>
      </c>
      <c r="B155" s="343" t="s">
        <v>11</v>
      </c>
      <c r="C155" s="344" t="s">
        <v>8</v>
      </c>
      <c r="D155" s="339">
        <f t="shared" si="7"/>
        <v>0</v>
      </c>
      <c r="E155" s="339">
        <v>0</v>
      </c>
      <c r="F155" s="339">
        <v>0</v>
      </c>
      <c r="G155" s="339">
        <v>0</v>
      </c>
      <c r="H155" s="339">
        <v>0</v>
      </c>
      <c r="I155" s="339">
        <v>0</v>
      </c>
      <c r="J155" s="339">
        <v>0</v>
      </c>
      <c r="K155" s="339">
        <v>0</v>
      </c>
      <c r="L155" s="339">
        <v>0</v>
      </c>
      <c r="M155" s="339">
        <v>0</v>
      </c>
      <c r="N155" s="339">
        <v>0</v>
      </c>
      <c r="O155" s="339">
        <v>0</v>
      </c>
      <c r="P155" s="339">
        <v>0</v>
      </c>
      <c r="Q155" s="340"/>
      <c r="R155" s="341"/>
    </row>
    <row r="156" spans="1:18" ht="12.75" x14ac:dyDescent="0.2">
      <c r="A156" s="336">
        <v>146</v>
      </c>
      <c r="B156" s="337" t="s">
        <v>398</v>
      </c>
      <c r="C156" s="338" t="s">
        <v>399</v>
      </c>
      <c r="D156" s="339">
        <f t="shared" si="7"/>
        <v>12716</v>
      </c>
      <c r="E156" s="339">
        <v>0</v>
      </c>
      <c r="F156" s="339">
        <v>0</v>
      </c>
      <c r="G156" s="339">
        <v>0</v>
      </c>
      <c r="H156" s="339">
        <v>0</v>
      </c>
      <c r="I156" s="339">
        <v>8442</v>
      </c>
      <c r="J156" s="339">
        <v>4274</v>
      </c>
      <c r="K156" s="339">
        <v>0</v>
      </c>
      <c r="L156" s="339">
        <v>0</v>
      </c>
      <c r="M156" s="339">
        <v>0</v>
      </c>
      <c r="N156" s="339">
        <v>0</v>
      </c>
      <c r="O156" s="339">
        <v>4221</v>
      </c>
      <c r="P156" s="339">
        <v>2137</v>
      </c>
      <c r="Q156" s="340"/>
      <c r="R156" s="341"/>
    </row>
    <row r="157" spans="1:18" x14ac:dyDescent="0.2">
      <c r="A157" s="336">
        <v>147</v>
      </c>
      <c r="B157" s="237" t="s">
        <v>400</v>
      </c>
      <c r="C157" s="234" t="s">
        <v>517</v>
      </c>
      <c r="D157" s="339">
        <f t="shared" si="7"/>
        <v>0</v>
      </c>
      <c r="E157" s="339">
        <v>0</v>
      </c>
      <c r="F157" s="339">
        <v>0</v>
      </c>
      <c r="G157" s="339">
        <v>0</v>
      </c>
      <c r="H157" s="339">
        <v>0</v>
      </c>
      <c r="I157" s="339">
        <v>0</v>
      </c>
      <c r="J157" s="339">
        <v>0</v>
      </c>
      <c r="K157" s="339">
        <v>0</v>
      </c>
      <c r="L157" s="339">
        <v>0</v>
      </c>
      <c r="M157" s="339">
        <v>0</v>
      </c>
      <c r="N157" s="339">
        <v>0</v>
      </c>
      <c r="O157" s="339">
        <v>0</v>
      </c>
      <c r="P157" s="339">
        <v>0</v>
      </c>
      <c r="Q157" s="340"/>
      <c r="R157" s="341"/>
    </row>
    <row r="158" spans="1:18" ht="12.75" x14ac:dyDescent="0.2">
      <c r="A158" s="336">
        <v>148</v>
      </c>
      <c r="B158" s="258" t="s">
        <v>192</v>
      </c>
      <c r="C158" s="259" t="s">
        <v>193</v>
      </c>
      <c r="D158" s="339">
        <f t="shared" si="7"/>
        <v>0</v>
      </c>
      <c r="E158" s="339">
        <v>0</v>
      </c>
      <c r="F158" s="339">
        <v>0</v>
      </c>
      <c r="G158" s="339">
        <v>0</v>
      </c>
      <c r="H158" s="339">
        <v>0</v>
      </c>
      <c r="I158" s="339">
        <v>0</v>
      </c>
      <c r="J158" s="339">
        <v>0</v>
      </c>
      <c r="K158" s="339">
        <v>0</v>
      </c>
      <c r="L158" s="339">
        <v>0</v>
      </c>
      <c r="M158" s="339">
        <v>0</v>
      </c>
      <c r="N158" s="339">
        <v>0</v>
      </c>
      <c r="O158" s="339">
        <v>0</v>
      </c>
      <c r="P158" s="339">
        <v>0</v>
      </c>
      <c r="Q158" s="340"/>
      <c r="R158" s="341"/>
    </row>
    <row r="159" spans="1:18" x14ac:dyDescent="0.2">
      <c r="E159" s="356"/>
    </row>
    <row r="162" spans="4:16" x14ac:dyDescent="0.2">
      <c r="D162" s="340"/>
      <c r="E162" s="340"/>
      <c r="F162" s="340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</row>
    <row r="163" spans="4:16" x14ac:dyDescent="0.2">
      <c r="D163" s="340"/>
      <c r="E163" s="340"/>
      <c r="F163" s="340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</row>
    <row r="165" spans="4:16" x14ac:dyDescent="0.2">
      <c r="I165" s="340"/>
      <c r="J165" s="340"/>
    </row>
    <row r="168" spans="4:16" ht="20.25" x14ac:dyDescent="0.3">
      <c r="D168" s="357"/>
      <c r="E168" s="357"/>
      <c r="F168" s="357"/>
    </row>
  </sheetData>
  <mergeCells count="24">
    <mergeCell ref="A8:C8"/>
    <mergeCell ref="A9:C9"/>
    <mergeCell ref="A10:C10"/>
    <mergeCell ref="G4:H4"/>
    <mergeCell ref="I4:J4"/>
    <mergeCell ref="E5:F5"/>
    <mergeCell ref="G5:H5"/>
    <mergeCell ref="I5:J5"/>
    <mergeCell ref="A1:P1"/>
    <mergeCell ref="A2:A6"/>
    <mergeCell ref="B2:B6"/>
    <mergeCell ref="C2:C6"/>
    <mergeCell ref="D2:J2"/>
    <mergeCell ref="K2:P2"/>
    <mergeCell ref="D3:D6"/>
    <mergeCell ref="E3:J3"/>
    <mergeCell ref="K3:P3"/>
    <mergeCell ref="E4:F4"/>
    <mergeCell ref="O5:P5"/>
    <mergeCell ref="K4:L4"/>
    <mergeCell ref="M4:N4"/>
    <mergeCell ref="O4:P4"/>
    <mergeCell ref="K5:L5"/>
    <mergeCell ref="M5:N5"/>
  </mergeCells>
  <pageMargins left="0.45" right="0.11811023622047245" top="0.15748031496062992" bottom="0.15748031496062992" header="0.31496062992125984" footer="0.31496062992125984"/>
  <pageSetup paperSize="9" scale="7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2"/>
  <sheetViews>
    <sheetView workbookViewId="0">
      <pane xSplit="3" ySplit="10" topLeftCell="D158" activePane="bottomRight" state="frozen"/>
      <selection pane="topRight" activeCell="D1" sqref="D1"/>
      <selection pane="bottomLeft" activeCell="A11" sqref="A11"/>
      <selection pane="bottomRight" activeCell="S1" sqref="S1:T1048576"/>
    </sheetView>
  </sheetViews>
  <sheetFormatPr defaultRowHeight="12" x14ac:dyDescent="0.2"/>
  <cols>
    <col min="1" max="1" width="5" style="340" customWidth="1"/>
    <col min="2" max="2" width="7.7109375" style="340" customWidth="1"/>
    <col min="3" max="3" width="30.85546875" style="340" customWidth="1"/>
    <col min="4" max="4" width="13.28515625" style="340" customWidth="1"/>
    <col min="5" max="7" width="10.7109375" style="340" customWidth="1"/>
    <col min="8" max="8" width="12.28515625" style="340" customWidth="1"/>
    <col min="9" max="9" width="12.140625" style="340" customWidth="1"/>
    <col min="10" max="12" width="10.7109375" style="340" customWidth="1"/>
    <col min="13" max="13" width="13" style="340" customWidth="1"/>
    <col min="14" max="16384" width="9.140625" style="340"/>
  </cols>
  <sheetData>
    <row r="1" spans="1:20" ht="51" customHeight="1" x14ac:dyDescent="0.2">
      <c r="A1" s="823" t="s">
        <v>544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</row>
    <row r="2" spans="1:20" ht="42.75" customHeight="1" x14ac:dyDescent="0.2">
      <c r="A2" s="824" t="s">
        <v>0</v>
      </c>
      <c r="B2" s="825" t="s">
        <v>431</v>
      </c>
      <c r="C2" s="824" t="s">
        <v>432</v>
      </c>
      <c r="D2" s="828" t="s">
        <v>545</v>
      </c>
      <c r="E2" s="829"/>
      <c r="F2" s="829"/>
      <c r="G2" s="829"/>
      <c r="H2" s="830"/>
      <c r="I2" s="831" t="s">
        <v>546</v>
      </c>
      <c r="J2" s="832"/>
      <c r="K2" s="832"/>
      <c r="L2" s="832"/>
      <c r="M2" s="833"/>
    </row>
    <row r="3" spans="1:20" ht="15" customHeight="1" x14ac:dyDescent="0.2">
      <c r="A3" s="824"/>
      <c r="B3" s="826"/>
      <c r="C3" s="824"/>
      <c r="D3" s="837" t="s">
        <v>1</v>
      </c>
      <c r="E3" s="828" t="s">
        <v>18</v>
      </c>
      <c r="F3" s="829"/>
      <c r="G3" s="829"/>
      <c r="H3" s="830"/>
      <c r="I3" s="834"/>
      <c r="J3" s="835"/>
      <c r="K3" s="835"/>
      <c r="L3" s="835"/>
      <c r="M3" s="836"/>
    </row>
    <row r="4" spans="1:20" ht="39.75" customHeight="1" x14ac:dyDescent="0.2">
      <c r="A4" s="824"/>
      <c r="B4" s="826"/>
      <c r="C4" s="824"/>
      <c r="D4" s="838"/>
      <c r="E4" s="840" t="s">
        <v>519</v>
      </c>
      <c r="F4" s="841"/>
      <c r="G4" s="842" t="s">
        <v>520</v>
      </c>
      <c r="H4" s="841"/>
      <c r="I4" s="837" t="s">
        <v>1</v>
      </c>
      <c r="J4" s="842" t="s">
        <v>519</v>
      </c>
      <c r="K4" s="841"/>
      <c r="L4" s="842" t="s">
        <v>520</v>
      </c>
      <c r="M4" s="841"/>
    </row>
    <row r="5" spans="1:20" ht="28.5" customHeight="1" x14ac:dyDescent="0.2">
      <c r="A5" s="824"/>
      <c r="B5" s="826"/>
      <c r="C5" s="824"/>
      <c r="D5" s="838"/>
      <c r="E5" s="842" t="s">
        <v>299</v>
      </c>
      <c r="F5" s="841"/>
      <c r="G5" s="845" t="s">
        <v>299</v>
      </c>
      <c r="H5" s="845"/>
      <c r="I5" s="838"/>
      <c r="J5" s="845" t="s">
        <v>299</v>
      </c>
      <c r="K5" s="845"/>
      <c r="L5" s="845" t="s">
        <v>299</v>
      </c>
      <c r="M5" s="845"/>
    </row>
    <row r="6" spans="1:20" ht="34.5" customHeight="1" x14ac:dyDescent="0.2">
      <c r="A6" s="824"/>
      <c r="B6" s="827"/>
      <c r="C6" s="824"/>
      <c r="D6" s="839"/>
      <c r="E6" s="358" t="s">
        <v>304</v>
      </c>
      <c r="F6" s="359" t="s">
        <v>305</v>
      </c>
      <c r="G6" s="360" t="s">
        <v>304</v>
      </c>
      <c r="H6" s="359" t="s">
        <v>305</v>
      </c>
      <c r="I6" s="839"/>
      <c r="J6" s="360" t="s">
        <v>304</v>
      </c>
      <c r="K6" s="359" t="s">
        <v>305</v>
      </c>
      <c r="L6" s="360" t="s">
        <v>304</v>
      </c>
      <c r="M6" s="359" t="s">
        <v>305</v>
      </c>
    </row>
    <row r="7" spans="1:20" s="334" customFormat="1" ht="11.25" x14ac:dyDescent="0.2">
      <c r="A7" s="361">
        <v>1</v>
      </c>
      <c r="B7" s="361">
        <v>2</v>
      </c>
      <c r="C7" s="361">
        <v>3</v>
      </c>
      <c r="D7" s="361">
        <v>4</v>
      </c>
      <c r="E7" s="361">
        <v>5</v>
      </c>
      <c r="F7" s="361">
        <v>6</v>
      </c>
      <c r="G7" s="361">
        <v>7</v>
      </c>
      <c r="H7" s="361">
        <v>8</v>
      </c>
      <c r="I7" s="361">
        <v>9</v>
      </c>
      <c r="J7" s="361">
        <v>10</v>
      </c>
      <c r="K7" s="361">
        <v>11</v>
      </c>
      <c r="L7" s="361">
        <v>12</v>
      </c>
      <c r="M7" s="361">
        <v>13</v>
      </c>
    </row>
    <row r="8" spans="1:20" s="334" customFormat="1" x14ac:dyDescent="0.2">
      <c r="A8" s="819" t="s">
        <v>1</v>
      </c>
      <c r="B8" s="819"/>
      <c r="C8" s="819"/>
      <c r="D8" s="332">
        <f>E8+F8+G8+H8</f>
        <v>138552</v>
      </c>
      <c r="E8" s="333">
        <f t="shared" ref="E8:H8" si="0">E9+E10</f>
        <v>3904</v>
      </c>
      <c r="F8" s="333">
        <f t="shared" si="0"/>
        <v>35790</v>
      </c>
      <c r="G8" s="333">
        <f t="shared" si="0"/>
        <v>64808</v>
      </c>
      <c r="H8" s="333">
        <f t="shared" si="0"/>
        <v>34050</v>
      </c>
      <c r="I8" s="332">
        <f>J8+K8+L8+M8</f>
        <v>86840</v>
      </c>
      <c r="J8" s="333">
        <f t="shared" ref="J8:M8" si="1">J9+J10</f>
        <v>2421</v>
      </c>
      <c r="K8" s="333">
        <f t="shared" si="1"/>
        <v>19524</v>
      </c>
      <c r="L8" s="333">
        <f t="shared" si="1"/>
        <v>44965</v>
      </c>
      <c r="M8" s="333">
        <f t="shared" si="1"/>
        <v>19930</v>
      </c>
    </row>
    <row r="9" spans="1:20" s="334" customFormat="1" x14ac:dyDescent="0.2">
      <c r="A9" s="820" t="s">
        <v>19</v>
      </c>
      <c r="B9" s="821"/>
      <c r="C9" s="822"/>
      <c r="D9" s="332">
        <f t="shared" ref="D9:D10" si="2">E9+F9+G9+H9</f>
        <v>0</v>
      </c>
      <c r="E9" s="333">
        <v>0</v>
      </c>
      <c r="F9" s="333">
        <v>0</v>
      </c>
      <c r="G9" s="333">
        <v>0</v>
      </c>
      <c r="H9" s="333">
        <v>0</v>
      </c>
      <c r="I9" s="332">
        <f t="shared" ref="I9:I10" si="3">J9+K9+L9+M9</f>
        <v>0</v>
      </c>
      <c r="J9" s="333">
        <v>0</v>
      </c>
      <c r="K9" s="333">
        <v>0</v>
      </c>
      <c r="L9" s="333">
        <v>0</v>
      </c>
      <c r="M9" s="333">
        <v>0</v>
      </c>
    </row>
    <row r="10" spans="1:20" s="334" customFormat="1" x14ac:dyDescent="0.2">
      <c r="A10" s="820" t="s">
        <v>20</v>
      </c>
      <c r="B10" s="821"/>
      <c r="C10" s="822"/>
      <c r="D10" s="332">
        <f t="shared" si="2"/>
        <v>138552</v>
      </c>
      <c r="E10" s="333">
        <f t="shared" ref="E10:H10" si="4">SUM(E11:E158)</f>
        <v>3904</v>
      </c>
      <c r="F10" s="333">
        <f t="shared" si="4"/>
        <v>35790</v>
      </c>
      <c r="G10" s="333">
        <f t="shared" si="4"/>
        <v>64808</v>
      </c>
      <c r="H10" s="333">
        <f t="shared" si="4"/>
        <v>34050</v>
      </c>
      <c r="I10" s="332">
        <f t="shared" si="3"/>
        <v>86840</v>
      </c>
      <c r="J10" s="333">
        <f t="shared" ref="J10:M10" si="5">SUM(J11:J158)</f>
        <v>2421</v>
      </c>
      <c r="K10" s="333">
        <f t="shared" si="5"/>
        <v>19524</v>
      </c>
      <c r="L10" s="333">
        <f t="shared" si="5"/>
        <v>44965</v>
      </c>
      <c r="M10" s="333">
        <f t="shared" si="5"/>
        <v>19930</v>
      </c>
    </row>
    <row r="11" spans="1:20" ht="12.75" x14ac:dyDescent="0.2">
      <c r="A11" s="362">
        <v>1</v>
      </c>
      <c r="B11" s="363" t="s">
        <v>21</v>
      </c>
      <c r="C11" s="364" t="s">
        <v>22</v>
      </c>
      <c r="D11" s="339">
        <f>E11+F11+G11+H11</f>
        <v>0</v>
      </c>
      <c r="E11" s="339">
        <v>0</v>
      </c>
      <c r="F11" s="339">
        <v>0</v>
      </c>
      <c r="G11" s="339">
        <v>0</v>
      </c>
      <c r="H11" s="339">
        <v>0</v>
      </c>
      <c r="I11" s="339">
        <f>J11+K11+L11+M11</f>
        <v>0</v>
      </c>
      <c r="J11" s="339">
        <v>0</v>
      </c>
      <c r="K11" s="339">
        <v>0</v>
      </c>
      <c r="L11" s="339">
        <v>0</v>
      </c>
      <c r="M11" s="339">
        <v>0</v>
      </c>
      <c r="O11" s="341"/>
      <c r="T11" s="334"/>
    </row>
    <row r="12" spans="1:20" ht="12.75" x14ac:dyDescent="0.2">
      <c r="A12" s="362">
        <v>2</v>
      </c>
      <c r="B12" s="363" t="s">
        <v>23</v>
      </c>
      <c r="C12" s="364" t="s">
        <v>521</v>
      </c>
      <c r="D12" s="339">
        <f t="shared" ref="D12:D75" si="6">E12+F12+G12+H12</f>
        <v>0</v>
      </c>
      <c r="E12" s="339">
        <v>0</v>
      </c>
      <c r="F12" s="339">
        <v>0</v>
      </c>
      <c r="G12" s="339">
        <v>0</v>
      </c>
      <c r="H12" s="339">
        <v>0</v>
      </c>
      <c r="I12" s="339">
        <f t="shared" ref="I12:I75" si="7">J12+K12+L12+M12</f>
        <v>0</v>
      </c>
      <c r="J12" s="339">
        <v>0</v>
      </c>
      <c r="K12" s="339">
        <v>0</v>
      </c>
      <c r="L12" s="339">
        <v>0</v>
      </c>
      <c r="M12" s="339">
        <v>0</v>
      </c>
      <c r="O12" s="341"/>
      <c r="T12" s="334"/>
    </row>
    <row r="13" spans="1:20" ht="12.75" x14ac:dyDescent="0.2">
      <c r="A13" s="362">
        <v>3</v>
      </c>
      <c r="B13" s="365" t="s">
        <v>24</v>
      </c>
      <c r="C13" s="366" t="s">
        <v>25</v>
      </c>
      <c r="D13" s="339">
        <f t="shared" si="6"/>
        <v>0</v>
      </c>
      <c r="E13" s="339">
        <v>0</v>
      </c>
      <c r="F13" s="339">
        <v>0</v>
      </c>
      <c r="G13" s="339">
        <v>0</v>
      </c>
      <c r="H13" s="339">
        <v>0</v>
      </c>
      <c r="I13" s="339">
        <f t="shared" si="7"/>
        <v>0</v>
      </c>
      <c r="J13" s="339">
        <v>0</v>
      </c>
      <c r="K13" s="339">
        <v>0</v>
      </c>
      <c r="L13" s="339">
        <v>0</v>
      </c>
      <c r="M13" s="339">
        <v>0</v>
      </c>
      <c r="O13" s="341"/>
      <c r="T13" s="334"/>
    </row>
    <row r="14" spans="1:20" ht="12.75" x14ac:dyDescent="0.2">
      <c r="A14" s="362">
        <v>4</v>
      </c>
      <c r="B14" s="363" t="s">
        <v>26</v>
      </c>
      <c r="C14" s="364" t="s">
        <v>448</v>
      </c>
      <c r="D14" s="339">
        <f t="shared" si="6"/>
        <v>253</v>
      </c>
      <c r="E14" s="339">
        <v>0</v>
      </c>
      <c r="F14" s="339">
        <v>0</v>
      </c>
      <c r="G14" s="339">
        <v>186</v>
      </c>
      <c r="H14" s="339">
        <v>67</v>
      </c>
      <c r="I14" s="339">
        <f t="shared" si="7"/>
        <v>253</v>
      </c>
      <c r="J14" s="339">
        <v>0</v>
      </c>
      <c r="K14" s="339">
        <v>0</v>
      </c>
      <c r="L14" s="339">
        <v>186</v>
      </c>
      <c r="M14" s="339">
        <v>67</v>
      </c>
      <c r="O14" s="341"/>
      <c r="T14" s="334"/>
    </row>
    <row r="15" spans="1:20" ht="12.75" x14ac:dyDescent="0.2">
      <c r="A15" s="362">
        <v>5</v>
      </c>
      <c r="B15" s="363" t="s">
        <v>27</v>
      </c>
      <c r="C15" s="364" t="s">
        <v>28</v>
      </c>
      <c r="D15" s="339">
        <f t="shared" si="6"/>
        <v>1820</v>
      </c>
      <c r="E15" s="339">
        <v>0</v>
      </c>
      <c r="F15" s="339">
        <v>0</v>
      </c>
      <c r="G15" s="339">
        <v>1695</v>
      </c>
      <c r="H15" s="339">
        <v>125</v>
      </c>
      <c r="I15" s="339">
        <f t="shared" si="7"/>
        <v>1070</v>
      </c>
      <c r="J15" s="339">
        <v>0</v>
      </c>
      <c r="K15" s="339">
        <v>0</v>
      </c>
      <c r="L15" s="339">
        <v>945</v>
      </c>
      <c r="M15" s="339">
        <v>125</v>
      </c>
      <c r="O15" s="341"/>
      <c r="T15" s="334"/>
    </row>
    <row r="16" spans="1:20" ht="12.75" x14ac:dyDescent="0.2">
      <c r="A16" s="362">
        <v>6</v>
      </c>
      <c r="B16" s="365" t="s">
        <v>4</v>
      </c>
      <c r="C16" s="366" t="s">
        <v>29</v>
      </c>
      <c r="D16" s="339">
        <f t="shared" si="6"/>
        <v>10668</v>
      </c>
      <c r="E16" s="339">
        <v>0</v>
      </c>
      <c r="F16" s="339">
        <v>0</v>
      </c>
      <c r="G16" s="339">
        <v>7333</v>
      </c>
      <c r="H16" s="339">
        <v>3335</v>
      </c>
      <c r="I16" s="339">
        <f t="shared" si="7"/>
        <v>5997</v>
      </c>
      <c r="J16" s="339">
        <v>0</v>
      </c>
      <c r="K16" s="339">
        <v>0</v>
      </c>
      <c r="L16" s="339">
        <v>4123</v>
      </c>
      <c r="M16" s="339">
        <v>1874</v>
      </c>
      <c r="O16" s="341"/>
      <c r="T16" s="334"/>
    </row>
    <row r="17" spans="1:20" ht="12.75" x14ac:dyDescent="0.2">
      <c r="A17" s="362">
        <v>7</v>
      </c>
      <c r="B17" s="367" t="s">
        <v>30</v>
      </c>
      <c r="C17" s="368" t="s">
        <v>449</v>
      </c>
      <c r="D17" s="339">
        <f t="shared" si="6"/>
        <v>2806</v>
      </c>
      <c r="E17" s="339">
        <v>0</v>
      </c>
      <c r="F17" s="339">
        <v>0</v>
      </c>
      <c r="G17" s="339">
        <v>561</v>
      </c>
      <c r="H17" s="339">
        <v>2245</v>
      </c>
      <c r="I17" s="339">
        <f t="shared" si="7"/>
        <v>1711</v>
      </c>
      <c r="J17" s="339">
        <v>0</v>
      </c>
      <c r="K17" s="339">
        <v>0</v>
      </c>
      <c r="L17" s="339">
        <v>556</v>
      </c>
      <c r="M17" s="339">
        <v>1155</v>
      </c>
      <c r="O17" s="341"/>
      <c r="T17" s="334"/>
    </row>
    <row r="18" spans="1:20" ht="12.75" x14ac:dyDescent="0.2">
      <c r="A18" s="362">
        <v>8</v>
      </c>
      <c r="B18" s="365" t="s">
        <v>31</v>
      </c>
      <c r="C18" s="366" t="s">
        <v>32</v>
      </c>
      <c r="D18" s="339">
        <f t="shared" si="6"/>
        <v>0</v>
      </c>
      <c r="E18" s="339">
        <v>0</v>
      </c>
      <c r="F18" s="339">
        <v>0</v>
      </c>
      <c r="G18" s="339">
        <v>0</v>
      </c>
      <c r="H18" s="339">
        <v>0</v>
      </c>
      <c r="I18" s="339">
        <f t="shared" si="7"/>
        <v>0</v>
      </c>
      <c r="J18" s="339">
        <v>0</v>
      </c>
      <c r="K18" s="339">
        <v>0</v>
      </c>
      <c r="L18" s="339">
        <v>0</v>
      </c>
      <c r="M18" s="339">
        <v>0</v>
      </c>
      <c r="O18" s="341"/>
      <c r="T18" s="334"/>
    </row>
    <row r="19" spans="1:20" ht="12.75" x14ac:dyDescent="0.2">
      <c r="A19" s="362">
        <v>9</v>
      </c>
      <c r="B19" s="365" t="s">
        <v>33</v>
      </c>
      <c r="C19" s="366" t="s">
        <v>34</v>
      </c>
      <c r="D19" s="339">
        <f t="shared" si="6"/>
        <v>215</v>
      </c>
      <c r="E19" s="339">
        <v>0</v>
      </c>
      <c r="F19" s="339">
        <v>0</v>
      </c>
      <c r="G19" s="339">
        <v>172</v>
      </c>
      <c r="H19" s="339">
        <v>43</v>
      </c>
      <c r="I19" s="339">
        <f t="shared" si="7"/>
        <v>215</v>
      </c>
      <c r="J19" s="339">
        <v>0</v>
      </c>
      <c r="K19" s="339">
        <v>0</v>
      </c>
      <c r="L19" s="339">
        <v>172</v>
      </c>
      <c r="M19" s="339">
        <v>43</v>
      </c>
      <c r="O19" s="341"/>
      <c r="T19" s="334"/>
    </row>
    <row r="20" spans="1:20" ht="12.75" x14ac:dyDescent="0.2">
      <c r="A20" s="362">
        <v>10</v>
      </c>
      <c r="B20" s="365" t="s">
        <v>35</v>
      </c>
      <c r="C20" s="366" t="s">
        <v>36</v>
      </c>
      <c r="D20" s="339">
        <f t="shared" si="6"/>
        <v>142</v>
      </c>
      <c r="E20" s="339">
        <v>0</v>
      </c>
      <c r="F20" s="339">
        <v>0</v>
      </c>
      <c r="G20" s="339">
        <v>97</v>
      </c>
      <c r="H20" s="339">
        <v>45</v>
      </c>
      <c r="I20" s="339">
        <f t="shared" si="7"/>
        <v>142</v>
      </c>
      <c r="J20" s="339">
        <v>0</v>
      </c>
      <c r="K20" s="339">
        <v>0</v>
      </c>
      <c r="L20" s="339">
        <v>97</v>
      </c>
      <c r="M20" s="339">
        <v>45</v>
      </c>
      <c r="O20" s="341"/>
      <c r="T20" s="334"/>
    </row>
    <row r="21" spans="1:20" ht="12.75" x14ac:dyDescent="0.2">
      <c r="A21" s="362">
        <v>11</v>
      </c>
      <c r="B21" s="365" t="s">
        <v>37</v>
      </c>
      <c r="C21" s="366" t="s">
        <v>38</v>
      </c>
      <c r="D21" s="339">
        <f t="shared" si="6"/>
        <v>192</v>
      </c>
      <c r="E21" s="339">
        <v>0</v>
      </c>
      <c r="F21" s="339">
        <v>0</v>
      </c>
      <c r="G21" s="339">
        <v>188</v>
      </c>
      <c r="H21" s="339">
        <v>4</v>
      </c>
      <c r="I21" s="339">
        <f t="shared" si="7"/>
        <v>192</v>
      </c>
      <c r="J21" s="339">
        <v>0</v>
      </c>
      <c r="K21" s="339">
        <v>0</v>
      </c>
      <c r="L21" s="339">
        <v>188</v>
      </c>
      <c r="M21" s="339">
        <v>4</v>
      </c>
      <c r="O21" s="341"/>
      <c r="T21" s="334"/>
    </row>
    <row r="22" spans="1:20" ht="12.75" x14ac:dyDescent="0.2">
      <c r="A22" s="362">
        <v>12</v>
      </c>
      <c r="B22" s="365" t="s">
        <v>39</v>
      </c>
      <c r="C22" s="366" t="s">
        <v>40</v>
      </c>
      <c r="D22" s="339">
        <f t="shared" si="6"/>
        <v>325</v>
      </c>
      <c r="E22" s="339">
        <v>0</v>
      </c>
      <c r="F22" s="339">
        <v>0</v>
      </c>
      <c r="G22" s="339">
        <v>225</v>
      </c>
      <c r="H22" s="339">
        <v>100</v>
      </c>
      <c r="I22" s="339">
        <f t="shared" si="7"/>
        <v>325</v>
      </c>
      <c r="J22" s="339">
        <v>0</v>
      </c>
      <c r="K22" s="339">
        <v>0</v>
      </c>
      <c r="L22" s="339">
        <v>225</v>
      </c>
      <c r="M22" s="339">
        <v>100</v>
      </c>
      <c r="O22" s="341"/>
      <c r="T22" s="334"/>
    </row>
    <row r="23" spans="1:20" x14ac:dyDescent="0.2">
      <c r="A23" s="362">
        <v>13</v>
      </c>
      <c r="B23" s="237" t="s">
        <v>307</v>
      </c>
      <c r="C23" s="238" t="s">
        <v>450</v>
      </c>
      <c r="D23" s="339">
        <f t="shared" si="6"/>
        <v>0</v>
      </c>
      <c r="E23" s="339">
        <v>0</v>
      </c>
      <c r="F23" s="339">
        <v>0</v>
      </c>
      <c r="G23" s="339">
        <v>0</v>
      </c>
      <c r="H23" s="339">
        <v>0</v>
      </c>
      <c r="I23" s="339">
        <f t="shared" si="7"/>
        <v>0</v>
      </c>
      <c r="J23" s="339">
        <v>0</v>
      </c>
      <c r="K23" s="339">
        <v>0</v>
      </c>
      <c r="L23" s="339">
        <v>0</v>
      </c>
      <c r="M23" s="339">
        <v>0</v>
      </c>
      <c r="O23" s="341"/>
      <c r="T23" s="334"/>
    </row>
    <row r="24" spans="1:20" x14ac:dyDescent="0.2">
      <c r="A24" s="362">
        <v>14</v>
      </c>
      <c r="B24" s="237" t="s">
        <v>309</v>
      </c>
      <c r="C24" s="234" t="s">
        <v>451</v>
      </c>
      <c r="D24" s="339">
        <f t="shared" si="6"/>
        <v>0</v>
      </c>
      <c r="E24" s="339">
        <v>0</v>
      </c>
      <c r="F24" s="339">
        <v>0</v>
      </c>
      <c r="G24" s="339">
        <v>0</v>
      </c>
      <c r="H24" s="339">
        <v>0</v>
      </c>
      <c r="I24" s="339">
        <f t="shared" si="7"/>
        <v>0</v>
      </c>
      <c r="J24" s="339">
        <v>0</v>
      </c>
      <c r="K24" s="339">
        <v>0</v>
      </c>
      <c r="L24" s="339">
        <v>0</v>
      </c>
      <c r="M24" s="339">
        <v>0</v>
      </c>
      <c r="O24" s="341"/>
      <c r="T24" s="334"/>
    </row>
    <row r="25" spans="1:20" ht="12.75" x14ac:dyDescent="0.2">
      <c r="A25" s="362">
        <v>15</v>
      </c>
      <c r="B25" s="365" t="s">
        <v>41</v>
      </c>
      <c r="C25" s="366" t="s">
        <v>42</v>
      </c>
      <c r="D25" s="339">
        <f t="shared" si="6"/>
        <v>0</v>
      </c>
      <c r="E25" s="339">
        <v>0</v>
      </c>
      <c r="F25" s="339">
        <v>0</v>
      </c>
      <c r="G25" s="339">
        <v>0</v>
      </c>
      <c r="H25" s="339">
        <v>0</v>
      </c>
      <c r="I25" s="339">
        <f t="shared" si="7"/>
        <v>0</v>
      </c>
      <c r="J25" s="339">
        <v>0</v>
      </c>
      <c r="K25" s="339">
        <v>0</v>
      </c>
      <c r="L25" s="339">
        <v>0</v>
      </c>
      <c r="M25" s="339">
        <v>0</v>
      </c>
      <c r="O25" s="341"/>
      <c r="T25" s="334"/>
    </row>
    <row r="26" spans="1:20" ht="12.75" x14ac:dyDescent="0.2">
      <c r="A26" s="362">
        <v>16</v>
      </c>
      <c r="B26" s="365" t="s">
        <v>43</v>
      </c>
      <c r="C26" s="366" t="s">
        <v>44</v>
      </c>
      <c r="D26" s="339">
        <f t="shared" si="6"/>
        <v>200</v>
      </c>
      <c r="E26" s="339">
        <v>0</v>
      </c>
      <c r="F26" s="339">
        <v>0</v>
      </c>
      <c r="G26" s="339">
        <v>186</v>
      </c>
      <c r="H26" s="339">
        <v>14</v>
      </c>
      <c r="I26" s="339">
        <f t="shared" si="7"/>
        <v>200</v>
      </c>
      <c r="J26" s="339">
        <v>0</v>
      </c>
      <c r="K26" s="339">
        <v>0</v>
      </c>
      <c r="L26" s="339">
        <v>186</v>
      </c>
      <c r="M26" s="339">
        <v>14</v>
      </c>
      <c r="O26" s="341"/>
      <c r="T26" s="334"/>
    </row>
    <row r="27" spans="1:20" ht="12.75" x14ac:dyDescent="0.2">
      <c r="A27" s="362">
        <v>17</v>
      </c>
      <c r="B27" s="365" t="s">
        <v>45</v>
      </c>
      <c r="C27" s="366" t="s">
        <v>452</v>
      </c>
      <c r="D27" s="339">
        <f t="shared" si="6"/>
        <v>2544</v>
      </c>
      <c r="E27" s="339">
        <v>0</v>
      </c>
      <c r="F27" s="339">
        <v>0</v>
      </c>
      <c r="G27" s="339">
        <v>2507</v>
      </c>
      <c r="H27" s="339">
        <v>37</v>
      </c>
      <c r="I27" s="339">
        <f t="shared" si="7"/>
        <v>1544</v>
      </c>
      <c r="J27" s="339">
        <v>0</v>
      </c>
      <c r="K27" s="339">
        <v>0</v>
      </c>
      <c r="L27" s="339">
        <v>1507</v>
      </c>
      <c r="M27" s="339">
        <v>37</v>
      </c>
      <c r="O27" s="341"/>
      <c r="T27" s="334"/>
    </row>
    <row r="28" spans="1:20" ht="12.75" x14ac:dyDescent="0.2">
      <c r="A28" s="362">
        <v>18</v>
      </c>
      <c r="B28" s="365" t="s">
        <v>46</v>
      </c>
      <c r="C28" s="366" t="s">
        <v>47</v>
      </c>
      <c r="D28" s="339">
        <f t="shared" si="6"/>
        <v>2424</v>
      </c>
      <c r="E28" s="339">
        <v>0</v>
      </c>
      <c r="F28" s="339">
        <v>0</v>
      </c>
      <c r="G28" s="339">
        <v>1933</v>
      </c>
      <c r="H28" s="339">
        <v>491</v>
      </c>
      <c r="I28" s="339">
        <f t="shared" si="7"/>
        <v>1404</v>
      </c>
      <c r="J28" s="339">
        <v>0</v>
      </c>
      <c r="K28" s="339">
        <v>0</v>
      </c>
      <c r="L28" s="339">
        <v>1133</v>
      </c>
      <c r="M28" s="339">
        <v>271</v>
      </c>
      <c r="O28" s="341"/>
      <c r="T28" s="334"/>
    </row>
    <row r="29" spans="1:20" ht="12.75" x14ac:dyDescent="0.2">
      <c r="A29" s="362">
        <v>19</v>
      </c>
      <c r="B29" s="363" t="s">
        <v>48</v>
      </c>
      <c r="C29" s="364" t="s">
        <v>49</v>
      </c>
      <c r="D29" s="339">
        <f t="shared" si="6"/>
        <v>42</v>
      </c>
      <c r="E29" s="339">
        <v>0</v>
      </c>
      <c r="F29" s="339">
        <v>0</v>
      </c>
      <c r="G29" s="339">
        <v>37</v>
      </c>
      <c r="H29" s="339">
        <v>5</v>
      </c>
      <c r="I29" s="339">
        <f t="shared" si="7"/>
        <v>42</v>
      </c>
      <c r="J29" s="339">
        <v>0</v>
      </c>
      <c r="K29" s="339">
        <v>0</v>
      </c>
      <c r="L29" s="339">
        <v>37</v>
      </c>
      <c r="M29" s="339">
        <v>5</v>
      </c>
      <c r="O29" s="341"/>
      <c r="T29" s="334"/>
    </row>
    <row r="30" spans="1:20" ht="12.75" x14ac:dyDescent="0.2">
      <c r="A30" s="362">
        <v>20</v>
      </c>
      <c r="B30" s="363" t="s">
        <v>50</v>
      </c>
      <c r="C30" s="364" t="s">
        <v>453</v>
      </c>
      <c r="D30" s="339">
        <f t="shared" si="6"/>
        <v>0</v>
      </c>
      <c r="E30" s="339">
        <v>0</v>
      </c>
      <c r="F30" s="339">
        <v>0</v>
      </c>
      <c r="G30" s="339">
        <v>0</v>
      </c>
      <c r="H30" s="339">
        <v>0</v>
      </c>
      <c r="I30" s="339">
        <f t="shared" si="7"/>
        <v>0</v>
      </c>
      <c r="J30" s="339">
        <v>0</v>
      </c>
      <c r="K30" s="339">
        <v>0</v>
      </c>
      <c r="L30" s="339">
        <v>0</v>
      </c>
      <c r="M30" s="339">
        <v>0</v>
      </c>
      <c r="O30" s="341"/>
      <c r="T30" s="334"/>
    </row>
    <row r="31" spans="1:20" ht="12.75" x14ac:dyDescent="0.2">
      <c r="A31" s="362">
        <v>21</v>
      </c>
      <c r="B31" s="363" t="s">
        <v>51</v>
      </c>
      <c r="C31" s="364" t="s">
        <v>52</v>
      </c>
      <c r="D31" s="339">
        <f t="shared" si="6"/>
        <v>3943</v>
      </c>
      <c r="E31" s="339">
        <v>0</v>
      </c>
      <c r="F31" s="339">
        <v>0</v>
      </c>
      <c r="G31" s="339">
        <v>2681</v>
      </c>
      <c r="H31" s="339">
        <v>1262</v>
      </c>
      <c r="I31" s="339">
        <f t="shared" si="7"/>
        <v>2302</v>
      </c>
      <c r="J31" s="339">
        <v>0</v>
      </c>
      <c r="K31" s="339">
        <v>0</v>
      </c>
      <c r="L31" s="339">
        <v>1617</v>
      </c>
      <c r="M31" s="339">
        <v>685</v>
      </c>
      <c r="O31" s="341"/>
      <c r="T31" s="334"/>
    </row>
    <row r="32" spans="1:20" ht="12.75" x14ac:dyDescent="0.2">
      <c r="A32" s="362">
        <v>22</v>
      </c>
      <c r="B32" s="363" t="s">
        <v>53</v>
      </c>
      <c r="C32" s="364" t="s">
        <v>54</v>
      </c>
      <c r="D32" s="339">
        <f t="shared" si="6"/>
        <v>3341</v>
      </c>
      <c r="E32" s="339">
        <v>0</v>
      </c>
      <c r="F32" s="339">
        <v>0</v>
      </c>
      <c r="G32" s="339">
        <v>260</v>
      </c>
      <c r="H32" s="339">
        <v>3081</v>
      </c>
      <c r="I32" s="339">
        <f t="shared" si="7"/>
        <v>1811</v>
      </c>
      <c r="J32" s="339">
        <v>0</v>
      </c>
      <c r="K32" s="339">
        <v>0</v>
      </c>
      <c r="L32" s="339">
        <v>230</v>
      </c>
      <c r="M32" s="339">
        <v>1581</v>
      </c>
      <c r="O32" s="341"/>
      <c r="T32" s="334"/>
    </row>
    <row r="33" spans="1:20" ht="12.75" x14ac:dyDescent="0.2">
      <c r="A33" s="362">
        <v>23</v>
      </c>
      <c r="B33" s="365" t="s">
        <v>55</v>
      </c>
      <c r="C33" s="366" t="s">
        <v>56</v>
      </c>
      <c r="D33" s="339">
        <f t="shared" si="6"/>
        <v>1484</v>
      </c>
      <c r="E33" s="339">
        <v>0</v>
      </c>
      <c r="F33" s="339">
        <v>0</v>
      </c>
      <c r="G33" s="339">
        <v>730</v>
      </c>
      <c r="H33" s="339">
        <v>754</v>
      </c>
      <c r="I33" s="339">
        <f t="shared" si="7"/>
        <v>742</v>
      </c>
      <c r="J33" s="339">
        <v>0</v>
      </c>
      <c r="K33" s="339">
        <v>0</v>
      </c>
      <c r="L33" s="339">
        <v>365</v>
      </c>
      <c r="M33" s="339">
        <v>377</v>
      </c>
      <c r="O33" s="341"/>
      <c r="T33" s="334"/>
    </row>
    <row r="34" spans="1:20" x14ac:dyDescent="0.2">
      <c r="A34" s="362">
        <v>24</v>
      </c>
      <c r="B34" s="248" t="s">
        <v>57</v>
      </c>
      <c r="C34" s="238" t="s">
        <v>58</v>
      </c>
      <c r="D34" s="339">
        <f t="shared" si="6"/>
        <v>0</v>
      </c>
      <c r="E34" s="339">
        <v>0</v>
      </c>
      <c r="F34" s="339">
        <v>0</v>
      </c>
      <c r="G34" s="339">
        <v>0</v>
      </c>
      <c r="H34" s="339">
        <v>0</v>
      </c>
      <c r="I34" s="339">
        <f t="shared" si="7"/>
        <v>0</v>
      </c>
      <c r="J34" s="339">
        <v>0</v>
      </c>
      <c r="K34" s="339">
        <v>0</v>
      </c>
      <c r="L34" s="339">
        <v>0</v>
      </c>
      <c r="M34" s="339">
        <v>0</v>
      </c>
      <c r="O34" s="341"/>
      <c r="T34" s="334"/>
    </row>
    <row r="35" spans="1:20" ht="24" x14ac:dyDescent="0.2">
      <c r="A35" s="362">
        <v>25</v>
      </c>
      <c r="B35" s="248" t="s">
        <v>454</v>
      </c>
      <c r="C35" s="238" t="s">
        <v>455</v>
      </c>
      <c r="D35" s="339">
        <f t="shared" si="6"/>
        <v>0</v>
      </c>
      <c r="E35" s="339">
        <v>0</v>
      </c>
      <c r="F35" s="339">
        <v>0</v>
      </c>
      <c r="G35" s="339">
        <v>0</v>
      </c>
      <c r="H35" s="339">
        <v>0</v>
      </c>
      <c r="I35" s="339">
        <f t="shared" si="7"/>
        <v>0</v>
      </c>
      <c r="J35" s="339">
        <v>0</v>
      </c>
      <c r="K35" s="339">
        <v>0</v>
      </c>
      <c r="L35" s="339">
        <v>0</v>
      </c>
      <c r="M35" s="339">
        <v>0</v>
      </c>
      <c r="O35" s="341"/>
      <c r="T35" s="334"/>
    </row>
    <row r="36" spans="1:20" ht="12.75" x14ac:dyDescent="0.2">
      <c r="A36" s="362">
        <v>26</v>
      </c>
      <c r="B36" s="363" t="s">
        <v>6</v>
      </c>
      <c r="C36" s="368" t="s">
        <v>59</v>
      </c>
      <c r="D36" s="339">
        <f t="shared" si="6"/>
        <v>0</v>
      </c>
      <c r="E36" s="339">
        <v>0</v>
      </c>
      <c r="F36" s="339">
        <v>0</v>
      </c>
      <c r="G36" s="339">
        <v>0</v>
      </c>
      <c r="H36" s="339">
        <v>0</v>
      </c>
      <c r="I36" s="339">
        <f t="shared" si="7"/>
        <v>0</v>
      </c>
      <c r="J36" s="339">
        <v>0</v>
      </c>
      <c r="K36" s="339">
        <v>0</v>
      </c>
      <c r="L36" s="339">
        <v>0</v>
      </c>
      <c r="M36" s="339">
        <v>0</v>
      </c>
      <c r="O36" s="341"/>
      <c r="T36" s="334"/>
    </row>
    <row r="37" spans="1:20" ht="12.75" x14ac:dyDescent="0.2">
      <c r="A37" s="362">
        <v>27</v>
      </c>
      <c r="B37" s="365" t="s">
        <v>5</v>
      </c>
      <c r="C37" s="366" t="s">
        <v>17</v>
      </c>
      <c r="D37" s="339">
        <f t="shared" si="6"/>
        <v>4383</v>
      </c>
      <c r="E37" s="339">
        <v>0</v>
      </c>
      <c r="F37" s="339">
        <v>0</v>
      </c>
      <c r="G37" s="339">
        <v>4383</v>
      </c>
      <c r="H37" s="339">
        <v>0</v>
      </c>
      <c r="I37" s="339">
        <f t="shared" si="7"/>
        <v>4383</v>
      </c>
      <c r="J37" s="339">
        <v>0</v>
      </c>
      <c r="K37" s="339">
        <v>0</v>
      </c>
      <c r="L37" s="339">
        <v>4383</v>
      </c>
      <c r="M37" s="339">
        <v>0</v>
      </c>
      <c r="O37" s="341"/>
      <c r="T37" s="334"/>
    </row>
    <row r="38" spans="1:20" ht="12.75" x14ac:dyDescent="0.2">
      <c r="A38" s="362">
        <v>28</v>
      </c>
      <c r="B38" s="365" t="s">
        <v>60</v>
      </c>
      <c r="C38" s="366" t="s">
        <v>61</v>
      </c>
      <c r="D38" s="339">
        <f t="shared" si="6"/>
        <v>0</v>
      </c>
      <c r="E38" s="339">
        <v>0</v>
      </c>
      <c r="F38" s="339">
        <v>0</v>
      </c>
      <c r="G38" s="339">
        <v>0</v>
      </c>
      <c r="H38" s="339">
        <v>0</v>
      </c>
      <c r="I38" s="339">
        <f t="shared" si="7"/>
        <v>0</v>
      </c>
      <c r="J38" s="339">
        <v>0</v>
      </c>
      <c r="K38" s="339">
        <v>0</v>
      </c>
      <c r="L38" s="339">
        <v>0</v>
      </c>
      <c r="M38" s="339">
        <v>0</v>
      </c>
      <c r="O38" s="341"/>
      <c r="T38" s="334"/>
    </row>
    <row r="39" spans="1:20" ht="12.75" x14ac:dyDescent="0.2">
      <c r="A39" s="362">
        <v>29</v>
      </c>
      <c r="B39" s="363" t="s">
        <v>315</v>
      </c>
      <c r="C39" s="364" t="s">
        <v>316</v>
      </c>
      <c r="D39" s="339">
        <f t="shared" si="6"/>
        <v>0</v>
      </c>
      <c r="E39" s="339">
        <v>0</v>
      </c>
      <c r="F39" s="339">
        <v>0</v>
      </c>
      <c r="G39" s="339">
        <v>0</v>
      </c>
      <c r="H39" s="339">
        <v>0</v>
      </c>
      <c r="I39" s="339">
        <f t="shared" si="7"/>
        <v>0</v>
      </c>
      <c r="J39" s="339">
        <v>0</v>
      </c>
      <c r="K39" s="339">
        <v>0</v>
      </c>
      <c r="L39" s="339">
        <v>0</v>
      </c>
      <c r="M39" s="339">
        <v>0</v>
      </c>
      <c r="O39" s="341"/>
      <c r="T39" s="334"/>
    </row>
    <row r="40" spans="1:20" ht="12.75" x14ac:dyDescent="0.2">
      <c r="A40" s="362">
        <v>30</v>
      </c>
      <c r="B40" s="363" t="s">
        <v>317</v>
      </c>
      <c r="C40" s="368" t="s">
        <v>318</v>
      </c>
      <c r="D40" s="339">
        <f t="shared" si="6"/>
        <v>3603</v>
      </c>
      <c r="E40" s="339">
        <v>2019</v>
      </c>
      <c r="F40" s="339">
        <v>1584</v>
      </c>
      <c r="G40" s="339">
        <v>0</v>
      </c>
      <c r="H40" s="339">
        <v>0</v>
      </c>
      <c r="I40" s="339">
        <f t="shared" si="7"/>
        <v>2463</v>
      </c>
      <c r="J40" s="339">
        <v>1079</v>
      </c>
      <c r="K40" s="339">
        <v>1384</v>
      </c>
      <c r="L40" s="339">
        <v>0</v>
      </c>
      <c r="M40" s="339">
        <v>0</v>
      </c>
      <c r="O40" s="341"/>
      <c r="T40" s="334"/>
    </row>
    <row r="41" spans="1:20" ht="24" x14ac:dyDescent="0.2">
      <c r="A41" s="362">
        <v>31</v>
      </c>
      <c r="B41" s="237" t="s">
        <v>456</v>
      </c>
      <c r="C41" s="234" t="s">
        <v>457</v>
      </c>
      <c r="D41" s="339">
        <f t="shared" si="6"/>
        <v>0</v>
      </c>
      <c r="E41" s="339">
        <v>0</v>
      </c>
      <c r="F41" s="339">
        <v>0</v>
      </c>
      <c r="G41" s="339">
        <v>0</v>
      </c>
      <c r="H41" s="339">
        <v>0</v>
      </c>
      <c r="I41" s="339">
        <f t="shared" si="7"/>
        <v>0</v>
      </c>
      <c r="J41" s="339">
        <v>0</v>
      </c>
      <c r="K41" s="339">
        <v>0</v>
      </c>
      <c r="L41" s="339">
        <v>0</v>
      </c>
      <c r="M41" s="339">
        <v>0</v>
      </c>
      <c r="O41" s="341"/>
      <c r="T41" s="334"/>
    </row>
    <row r="42" spans="1:20" ht="25.5" x14ac:dyDescent="0.2">
      <c r="A42" s="362">
        <v>32</v>
      </c>
      <c r="B42" s="365" t="s">
        <v>62</v>
      </c>
      <c r="C42" s="366" t="s">
        <v>63</v>
      </c>
      <c r="D42" s="339">
        <f t="shared" si="6"/>
        <v>127</v>
      </c>
      <c r="E42" s="339">
        <v>0</v>
      </c>
      <c r="F42" s="339">
        <v>0</v>
      </c>
      <c r="G42" s="339">
        <v>127</v>
      </c>
      <c r="H42" s="339">
        <v>0</v>
      </c>
      <c r="I42" s="339">
        <f t="shared" si="7"/>
        <v>64</v>
      </c>
      <c r="J42" s="339">
        <v>0</v>
      </c>
      <c r="K42" s="339">
        <v>0</v>
      </c>
      <c r="L42" s="339">
        <v>64</v>
      </c>
      <c r="M42" s="339">
        <v>0</v>
      </c>
      <c r="O42" s="341"/>
      <c r="T42" s="334"/>
    </row>
    <row r="43" spans="1:20" ht="12.75" x14ac:dyDescent="0.2">
      <c r="A43" s="362">
        <v>33</v>
      </c>
      <c r="B43" s="363" t="s">
        <v>64</v>
      </c>
      <c r="C43" s="364" t="s">
        <v>65</v>
      </c>
      <c r="D43" s="339">
        <f t="shared" si="6"/>
        <v>389</v>
      </c>
      <c r="E43" s="339">
        <v>0</v>
      </c>
      <c r="F43" s="339">
        <v>0</v>
      </c>
      <c r="G43" s="339">
        <v>319</v>
      </c>
      <c r="H43" s="339">
        <v>70</v>
      </c>
      <c r="I43" s="339">
        <f t="shared" si="7"/>
        <v>389</v>
      </c>
      <c r="J43" s="339">
        <v>0</v>
      </c>
      <c r="K43" s="339">
        <v>0</v>
      </c>
      <c r="L43" s="339">
        <v>319</v>
      </c>
      <c r="M43" s="339">
        <v>70</v>
      </c>
      <c r="O43" s="341"/>
      <c r="T43" s="334"/>
    </row>
    <row r="44" spans="1:20" ht="12.75" x14ac:dyDescent="0.2">
      <c r="A44" s="362">
        <v>34</v>
      </c>
      <c r="B44" s="367" t="s">
        <v>66</v>
      </c>
      <c r="C44" s="368" t="s">
        <v>67</v>
      </c>
      <c r="D44" s="339">
        <f t="shared" si="6"/>
        <v>8083</v>
      </c>
      <c r="E44" s="339">
        <v>0</v>
      </c>
      <c r="F44" s="339">
        <v>0</v>
      </c>
      <c r="G44" s="339">
        <v>2447</v>
      </c>
      <c r="H44" s="339">
        <v>5636</v>
      </c>
      <c r="I44" s="339">
        <f t="shared" si="7"/>
        <v>4834</v>
      </c>
      <c r="J44" s="339">
        <v>0</v>
      </c>
      <c r="K44" s="339">
        <v>0</v>
      </c>
      <c r="L44" s="339">
        <v>1610</v>
      </c>
      <c r="M44" s="339">
        <v>3224</v>
      </c>
      <c r="O44" s="341"/>
      <c r="T44" s="334"/>
    </row>
    <row r="45" spans="1:20" ht="12.75" x14ac:dyDescent="0.2">
      <c r="A45" s="362">
        <v>35</v>
      </c>
      <c r="B45" s="363" t="s">
        <v>320</v>
      </c>
      <c r="C45" s="364" t="s">
        <v>321</v>
      </c>
      <c r="D45" s="339">
        <f t="shared" si="6"/>
        <v>0</v>
      </c>
      <c r="E45" s="339">
        <v>0</v>
      </c>
      <c r="F45" s="339">
        <v>0</v>
      </c>
      <c r="G45" s="339">
        <v>0</v>
      </c>
      <c r="H45" s="339">
        <v>0</v>
      </c>
      <c r="I45" s="339">
        <f t="shared" si="7"/>
        <v>0</v>
      </c>
      <c r="J45" s="339">
        <v>0</v>
      </c>
      <c r="K45" s="339">
        <v>0</v>
      </c>
      <c r="L45" s="339">
        <v>0</v>
      </c>
      <c r="M45" s="339">
        <v>0</v>
      </c>
      <c r="O45" s="341"/>
      <c r="T45" s="334"/>
    </row>
    <row r="46" spans="1:20" ht="12.75" x14ac:dyDescent="0.2">
      <c r="A46" s="362">
        <v>36</v>
      </c>
      <c r="B46" s="363" t="s">
        <v>68</v>
      </c>
      <c r="C46" s="364" t="s">
        <v>69</v>
      </c>
      <c r="D46" s="339">
        <f t="shared" si="6"/>
        <v>2915</v>
      </c>
      <c r="E46" s="339">
        <v>0</v>
      </c>
      <c r="F46" s="339">
        <v>0</v>
      </c>
      <c r="G46" s="339">
        <v>2905</v>
      </c>
      <c r="H46" s="339">
        <v>10</v>
      </c>
      <c r="I46" s="339">
        <f t="shared" si="7"/>
        <v>1765</v>
      </c>
      <c r="J46" s="339">
        <v>0</v>
      </c>
      <c r="K46" s="339">
        <v>0</v>
      </c>
      <c r="L46" s="339">
        <v>1755</v>
      </c>
      <c r="M46" s="339">
        <v>10</v>
      </c>
      <c r="O46" s="341"/>
      <c r="T46" s="334"/>
    </row>
    <row r="47" spans="1:20" ht="12.75" x14ac:dyDescent="0.2">
      <c r="A47" s="362">
        <v>37</v>
      </c>
      <c r="B47" s="365" t="s">
        <v>70</v>
      </c>
      <c r="C47" s="366" t="s">
        <v>71</v>
      </c>
      <c r="D47" s="339">
        <f t="shared" si="6"/>
        <v>2534</v>
      </c>
      <c r="E47" s="339">
        <v>0</v>
      </c>
      <c r="F47" s="339">
        <v>0</v>
      </c>
      <c r="G47" s="339">
        <v>1907</v>
      </c>
      <c r="H47" s="339">
        <v>627</v>
      </c>
      <c r="I47" s="339">
        <f t="shared" si="7"/>
        <v>2534</v>
      </c>
      <c r="J47" s="339">
        <v>0</v>
      </c>
      <c r="K47" s="339">
        <v>0</v>
      </c>
      <c r="L47" s="339">
        <v>1907</v>
      </c>
      <c r="M47" s="339">
        <v>627</v>
      </c>
      <c r="O47" s="341"/>
      <c r="T47" s="334"/>
    </row>
    <row r="48" spans="1:20" ht="12.75" x14ac:dyDescent="0.2">
      <c r="A48" s="362">
        <v>38</v>
      </c>
      <c r="B48" s="363" t="s">
        <v>72</v>
      </c>
      <c r="C48" s="364" t="s">
        <v>73</v>
      </c>
      <c r="D48" s="339">
        <f t="shared" si="6"/>
        <v>2294</v>
      </c>
      <c r="E48" s="339">
        <v>0</v>
      </c>
      <c r="F48" s="339">
        <v>0</v>
      </c>
      <c r="G48" s="339">
        <v>1142</v>
      </c>
      <c r="H48" s="339">
        <v>1152</v>
      </c>
      <c r="I48" s="339">
        <f t="shared" si="7"/>
        <v>1212</v>
      </c>
      <c r="J48" s="339">
        <v>0</v>
      </c>
      <c r="K48" s="339">
        <v>0</v>
      </c>
      <c r="L48" s="339">
        <v>636</v>
      </c>
      <c r="M48" s="339">
        <v>576</v>
      </c>
      <c r="O48" s="341"/>
      <c r="T48" s="334"/>
    </row>
    <row r="49" spans="1:20" ht="12.75" x14ac:dyDescent="0.2">
      <c r="A49" s="362">
        <v>39</v>
      </c>
      <c r="B49" s="363" t="s">
        <v>74</v>
      </c>
      <c r="C49" s="364" t="s">
        <v>458</v>
      </c>
      <c r="D49" s="339">
        <f t="shared" si="6"/>
        <v>5633</v>
      </c>
      <c r="E49" s="339">
        <v>0</v>
      </c>
      <c r="F49" s="339">
        <v>0</v>
      </c>
      <c r="G49" s="339">
        <v>5538</v>
      </c>
      <c r="H49" s="339">
        <v>95</v>
      </c>
      <c r="I49" s="339">
        <f t="shared" si="7"/>
        <v>3045</v>
      </c>
      <c r="J49" s="339">
        <v>0</v>
      </c>
      <c r="K49" s="339">
        <v>0</v>
      </c>
      <c r="L49" s="339">
        <v>2950</v>
      </c>
      <c r="M49" s="339">
        <v>95</v>
      </c>
      <c r="O49" s="341"/>
      <c r="T49" s="334"/>
    </row>
    <row r="50" spans="1:20" ht="12.75" x14ac:dyDescent="0.2">
      <c r="A50" s="362">
        <v>40</v>
      </c>
      <c r="B50" s="369" t="s">
        <v>75</v>
      </c>
      <c r="C50" s="370" t="s">
        <v>459</v>
      </c>
      <c r="D50" s="339">
        <f t="shared" si="6"/>
        <v>562</v>
      </c>
      <c r="E50" s="339">
        <v>0</v>
      </c>
      <c r="F50" s="339">
        <v>0</v>
      </c>
      <c r="G50" s="339">
        <v>368</v>
      </c>
      <c r="H50" s="339">
        <v>194</v>
      </c>
      <c r="I50" s="339">
        <f t="shared" si="7"/>
        <v>562</v>
      </c>
      <c r="J50" s="339">
        <v>0</v>
      </c>
      <c r="K50" s="339">
        <v>0</v>
      </c>
      <c r="L50" s="339">
        <v>368</v>
      </c>
      <c r="M50" s="339">
        <v>194</v>
      </c>
      <c r="O50" s="341"/>
      <c r="T50" s="334"/>
    </row>
    <row r="51" spans="1:20" ht="12.75" x14ac:dyDescent="0.2">
      <c r="A51" s="362">
        <v>41</v>
      </c>
      <c r="B51" s="363" t="s">
        <v>76</v>
      </c>
      <c r="C51" s="364" t="s">
        <v>460</v>
      </c>
      <c r="D51" s="339">
        <f t="shared" si="6"/>
        <v>4904</v>
      </c>
      <c r="E51" s="339">
        <v>0</v>
      </c>
      <c r="F51" s="339">
        <v>0</v>
      </c>
      <c r="G51" s="339">
        <v>1478</v>
      </c>
      <c r="H51" s="339">
        <v>3426</v>
      </c>
      <c r="I51" s="339">
        <f t="shared" si="7"/>
        <v>2478</v>
      </c>
      <c r="J51" s="339">
        <v>0</v>
      </c>
      <c r="K51" s="339">
        <v>0</v>
      </c>
      <c r="L51" s="339">
        <v>765</v>
      </c>
      <c r="M51" s="339">
        <v>1713</v>
      </c>
      <c r="O51" s="341"/>
      <c r="T51" s="334"/>
    </row>
    <row r="52" spans="1:20" ht="12.75" x14ac:dyDescent="0.2">
      <c r="A52" s="362">
        <v>42</v>
      </c>
      <c r="B52" s="367" t="s">
        <v>77</v>
      </c>
      <c r="C52" s="368" t="s">
        <v>78</v>
      </c>
      <c r="D52" s="339">
        <f t="shared" si="6"/>
        <v>196</v>
      </c>
      <c r="E52" s="339">
        <v>0</v>
      </c>
      <c r="F52" s="339">
        <v>0</v>
      </c>
      <c r="G52" s="339">
        <v>170</v>
      </c>
      <c r="H52" s="339">
        <v>26</v>
      </c>
      <c r="I52" s="339">
        <f t="shared" si="7"/>
        <v>196</v>
      </c>
      <c r="J52" s="339">
        <v>0</v>
      </c>
      <c r="K52" s="339">
        <v>0</v>
      </c>
      <c r="L52" s="339">
        <v>170</v>
      </c>
      <c r="M52" s="339">
        <v>26</v>
      </c>
      <c r="O52" s="341"/>
      <c r="T52" s="334"/>
    </row>
    <row r="53" spans="1:20" ht="12.75" x14ac:dyDescent="0.2">
      <c r="A53" s="362">
        <v>43</v>
      </c>
      <c r="B53" s="365" t="s">
        <v>322</v>
      </c>
      <c r="C53" s="366" t="s">
        <v>323</v>
      </c>
      <c r="D53" s="339">
        <f t="shared" si="6"/>
        <v>782</v>
      </c>
      <c r="E53" s="339">
        <v>0</v>
      </c>
      <c r="F53" s="339">
        <v>0</v>
      </c>
      <c r="G53" s="339">
        <v>649</v>
      </c>
      <c r="H53" s="339">
        <v>133</v>
      </c>
      <c r="I53" s="339">
        <f t="shared" si="7"/>
        <v>464</v>
      </c>
      <c r="J53" s="339">
        <v>0</v>
      </c>
      <c r="K53" s="339">
        <v>0</v>
      </c>
      <c r="L53" s="339">
        <v>391</v>
      </c>
      <c r="M53" s="339">
        <v>73</v>
      </c>
      <c r="O53" s="341"/>
      <c r="T53" s="334"/>
    </row>
    <row r="54" spans="1:20" ht="12.75" x14ac:dyDescent="0.2">
      <c r="A54" s="362">
        <v>44</v>
      </c>
      <c r="B54" s="363" t="s">
        <v>79</v>
      </c>
      <c r="C54" s="364" t="s">
        <v>80</v>
      </c>
      <c r="D54" s="339">
        <f t="shared" si="6"/>
        <v>0</v>
      </c>
      <c r="E54" s="339">
        <v>0</v>
      </c>
      <c r="F54" s="339">
        <v>0</v>
      </c>
      <c r="G54" s="339">
        <v>0</v>
      </c>
      <c r="H54" s="339">
        <v>0</v>
      </c>
      <c r="I54" s="339">
        <f t="shared" si="7"/>
        <v>0</v>
      </c>
      <c r="J54" s="339">
        <v>0</v>
      </c>
      <c r="K54" s="339">
        <v>0</v>
      </c>
      <c r="L54" s="339">
        <v>0</v>
      </c>
      <c r="M54" s="339">
        <v>0</v>
      </c>
      <c r="O54" s="341"/>
      <c r="T54" s="334"/>
    </row>
    <row r="55" spans="1:20" ht="12.75" x14ac:dyDescent="0.2">
      <c r="A55" s="362">
        <v>45</v>
      </c>
      <c r="B55" s="365" t="s">
        <v>81</v>
      </c>
      <c r="C55" s="366" t="s">
        <v>82</v>
      </c>
      <c r="D55" s="339">
        <f t="shared" si="6"/>
        <v>3187</v>
      </c>
      <c r="E55" s="339">
        <v>0</v>
      </c>
      <c r="F55" s="339">
        <v>0</v>
      </c>
      <c r="G55" s="339">
        <v>1</v>
      </c>
      <c r="H55" s="339">
        <v>3186</v>
      </c>
      <c r="I55" s="339">
        <f t="shared" si="7"/>
        <v>1918</v>
      </c>
      <c r="J55" s="339">
        <v>0</v>
      </c>
      <c r="K55" s="339">
        <v>0</v>
      </c>
      <c r="L55" s="339">
        <v>1</v>
      </c>
      <c r="M55" s="339">
        <v>1917</v>
      </c>
      <c r="O55" s="341"/>
      <c r="T55" s="334"/>
    </row>
    <row r="56" spans="1:20" ht="12.75" x14ac:dyDescent="0.2">
      <c r="A56" s="362">
        <v>46</v>
      </c>
      <c r="B56" s="363" t="s">
        <v>83</v>
      </c>
      <c r="C56" s="364" t="s">
        <v>461</v>
      </c>
      <c r="D56" s="339">
        <f t="shared" si="6"/>
        <v>111</v>
      </c>
      <c r="E56" s="339">
        <v>0</v>
      </c>
      <c r="F56" s="339">
        <v>0</v>
      </c>
      <c r="G56" s="339">
        <v>96</v>
      </c>
      <c r="H56" s="339">
        <v>15</v>
      </c>
      <c r="I56" s="339">
        <f t="shared" si="7"/>
        <v>111</v>
      </c>
      <c r="J56" s="339">
        <v>0</v>
      </c>
      <c r="K56" s="339">
        <v>0</v>
      </c>
      <c r="L56" s="339">
        <v>96</v>
      </c>
      <c r="M56" s="339">
        <v>15</v>
      </c>
      <c r="O56" s="341"/>
      <c r="T56" s="334"/>
    </row>
    <row r="57" spans="1:20" ht="12.75" x14ac:dyDescent="0.2">
      <c r="A57" s="362">
        <v>47</v>
      </c>
      <c r="B57" s="363" t="s">
        <v>84</v>
      </c>
      <c r="C57" s="364" t="s">
        <v>85</v>
      </c>
      <c r="D57" s="339">
        <f t="shared" si="6"/>
        <v>234</v>
      </c>
      <c r="E57" s="339">
        <v>0</v>
      </c>
      <c r="F57" s="339">
        <v>0</v>
      </c>
      <c r="G57" s="339">
        <v>140</v>
      </c>
      <c r="H57" s="339">
        <v>94</v>
      </c>
      <c r="I57" s="339">
        <f t="shared" si="7"/>
        <v>234</v>
      </c>
      <c r="J57" s="339">
        <v>0</v>
      </c>
      <c r="K57" s="339">
        <v>0</v>
      </c>
      <c r="L57" s="339">
        <v>140</v>
      </c>
      <c r="M57" s="339">
        <v>94</v>
      </c>
      <c r="O57" s="341"/>
      <c r="T57" s="334"/>
    </row>
    <row r="58" spans="1:20" ht="12.75" x14ac:dyDescent="0.2">
      <c r="A58" s="362">
        <v>48</v>
      </c>
      <c r="B58" s="371" t="s">
        <v>86</v>
      </c>
      <c r="C58" s="372" t="s">
        <v>87</v>
      </c>
      <c r="D58" s="339">
        <f t="shared" si="6"/>
        <v>0</v>
      </c>
      <c r="E58" s="339">
        <v>0</v>
      </c>
      <c r="F58" s="339">
        <v>0</v>
      </c>
      <c r="G58" s="339">
        <v>0</v>
      </c>
      <c r="H58" s="339">
        <v>0</v>
      </c>
      <c r="I58" s="339">
        <f t="shared" si="7"/>
        <v>0</v>
      </c>
      <c r="J58" s="339">
        <v>0</v>
      </c>
      <c r="K58" s="339">
        <v>0</v>
      </c>
      <c r="L58" s="339">
        <v>0</v>
      </c>
      <c r="M58" s="339">
        <v>0</v>
      </c>
      <c r="O58" s="341"/>
      <c r="T58" s="334"/>
    </row>
    <row r="59" spans="1:20" ht="12.75" x14ac:dyDescent="0.2">
      <c r="A59" s="362">
        <v>49</v>
      </c>
      <c r="B59" s="365" t="s">
        <v>88</v>
      </c>
      <c r="C59" s="366" t="s">
        <v>462</v>
      </c>
      <c r="D59" s="339">
        <f t="shared" si="6"/>
        <v>988</v>
      </c>
      <c r="E59" s="339">
        <v>0</v>
      </c>
      <c r="F59" s="339">
        <v>0</v>
      </c>
      <c r="G59" s="339">
        <v>790</v>
      </c>
      <c r="H59" s="339">
        <v>198</v>
      </c>
      <c r="I59" s="339">
        <f t="shared" si="7"/>
        <v>688</v>
      </c>
      <c r="J59" s="339">
        <v>0</v>
      </c>
      <c r="K59" s="339">
        <v>0</v>
      </c>
      <c r="L59" s="339">
        <v>490</v>
      </c>
      <c r="M59" s="339">
        <v>198</v>
      </c>
      <c r="O59" s="341"/>
      <c r="T59" s="334"/>
    </row>
    <row r="60" spans="1:20" ht="12.75" x14ac:dyDescent="0.2">
      <c r="A60" s="362">
        <v>50</v>
      </c>
      <c r="B60" s="363" t="s">
        <v>89</v>
      </c>
      <c r="C60" s="364" t="s">
        <v>90</v>
      </c>
      <c r="D60" s="339">
        <f t="shared" si="6"/>
        <v>869</v>
      </c>
      <c r="E60" s="339">
        <v>0</v>
      </c>
      <c r="F60" s="339">
        <v>0</v>
      </c>
      <c r="G60" s="339">
        <v>432</v>
      </c>
      <c r="H60" s="339">
        <v>437</v>
      </c>
      <c r="I60" s="339">
        <f t="shared" si="7"/>
        <v>869</v>
      </c>
      <c r="J60" s="339">
        <v>0</v>
      </c>
      <c r="K60" s="339">
        <v>0</v>
      </c>
      <c r="L60" s="339">
        <v>432</v>
      </c>
      <c r="M60" s="339">
        <v>437</v>
      </c>
      <c r="O60" s="341"/>
      <c r="T60" s="334"/>
    </row>
    <row r="61" spans="1:20" ht="12.75" x14ac:dyDescent="0.2">
      <c r="A61" s="362">
        <v>51</v>
      </c>
      <c r="B61" s="365" t="s">
        <v>91</v>
      </c>
      <c r="C61" s="366" t="s">
        <v>92</v>
      </c>
      <c r="D61" s="339">
        <f t="shared" si="6"/>
        <v>31</v>
      </c>
      <c r="E61" s="339">
        <v>0</v>
      </c>
      <c r="F61" s="339">
        <v>0</v>
      </c>
      <c r="G61" s="339">
        <v>24</v>
      </c>
      <c r="H61" s="339">
        <v>7</v>
      </c>
      <c r="I61" s="339">
        <f t="shared" si="7"/>
        <v>31</v>
      </c>
      <c r="J61" s="339">
        <v>0</v>
      </c>
      <c r="K61" s="339">
        <v>0</v>
      </c>
      <c r="L61" s="339">
        <v>24</v>
      </c>
      <c r="M61" s="339">
        <v>7</v>
      </c>
      <c r="O61" s="341"/>
      <c r="T61" s="334"/>
    </row>
    <row r="62" spans="1:20" ht="12.75" x14ac:dyDescent="0.2">
      <c r="A62" s="362">
        <v>52</v>
      </c>
      <c r="B62" s="363" t="s">
        <v>93</v>
      </c>
      <c r="C62" s="364" t="s">
        <v>94</v>
      </c>
      <c r="D62" s="339">
        <f t="shared" si="6"/>
        <v>167</v>
      </c>
      <c r="E62" s="339">
        <v>0</v>
      </c>
      <c r="F62" s="339">
        <v>0</v>
      </c>
      <c r="G62" s="339">
        <v>111</v>
      </c>
      <c r="H62" s="339">
        <v>56</v>
      </c>
      <c r="I62" s="339">
        <f t="shared" si="7"/>
        <v>167</v>
      </c>
      <c r="J62" s="339">
        <v>0</v>
      </c>
      <c r="K62" s="339">
        <v>0</v>
      </c>
      <c r="L62" s="339">
        <v>111</v>
      </c>
      <c r="M62" s="339">
        <v>56</v>
      </c>
      <c r="O62" s="341"/>
      <c r="T62" s="334"/>
    </row>
    <row r="63" spans="1:20" ht="12.75" x14ac:dyDescent="0.2">
      <c r="A63" s="362">
        <v>53</v>
      </c>
      <c r="B63" s="365" t="s">
        <v>95</v>
      </c>
      <c r="C63" s="366" t="s">
        <v>463</v>
      </c>
      <c r="D63" s="339">
        <f t="shared" si="6"/>
        <v>1031</v>
      </c>
      <c r="E63" s="339">
        <v>0</v>
      </c>
      <c r="F63" s="339">
        <v>0</v>
      </c>
      <c r="G63" s="339">
        <v>983</v>
      </c>
      <c r="H63" s="339">
        <v>48</v>
      </c>
      <c r="I63" s="339">
        <f t="shared" si="7"/>
        <v>621</v>
      </c>
      <c r="J63" s="339">
        <v>0</v>
      </c>
      <c r="K63" s="339">
        <v>0</v>
      </c>
      <c r="L63" s="339">
        <v>588</v>
      </c>
      <c r="M63" s="339">
        <v>33</v>
      </c>
      <c r="O63" s="341"/>
      <c r="T63" s="334"/>
    </row>
    <row r="64" spans="1:20" ht="12.75" x14ac:dyDescent="0.2">
      <c r="A64" s="362">
        <v>54</v>
      </c>
      <c r="B64" s="365" t="s">
        <v>96</v>
      </c>
      <c r="C64" s="366" t="s">
        <v>97</v>
      </c>
      <c r="D64" s="339">
        <f t="shared" si="6"/>
        <v>593</v>
      </c>
      <c r="E64" s="339">
        <v>0</v>
      </c>
      <c r="F64" s="339">
        <v>0</v>
      </c>
      <c r="G64" s="339">
        <v>498</v>
      </c>
      <c r="H64" s="339">
        <v>95</v>
      </c>
      <c r="I64" s="339">
        <f t="shared" si="7"/>
        <v>593</v>
      </c>
      <c r="J64" s="339">
        <v>0</v>
      </c>
      <c r="K64" s="339">
        <v>0</v>
      </c>
      <c r="L64" s="339">
        <v>498</v>
      </c>
      <c r="M64" s="339">
        <v>95</v>
      </c>
      <c r="O64" s="341"/>
      <c r="T64" s="334"/>
    </row>
    <row r="65" spans="1:20" ht="12.75" x14ac:dyDescent="0.2">
      <c r="A65" s="362">
        <v>55</v>
      </c>
      <c r="B65" s="365" t="s">
        <v>98</v>
      </c>
      <c r="C65" s="366" t="s">
        <v>464</v>
      </c>
      <c r="D65" s="339">
        <f t="shared" si="6"/>
        <v>1022</v>
      </c>
      <c r="E65" s="339">
        <v>0</v>
      </c>
      <c r="F65" s="339">
        <v>0</v>
      </c>
      <c r="G65" s="339">
        <v>978</v>
      </c>
      <c r="H65" s="339">
        <v>44</v>
      </c>
      <c r="I65" s="339">
        <f t="shared" si="7"/>
        <v>647</v>
      </c>
      <c r="J65" s="339">
        <v>0</v>
      </c>
      <c r="K65" s="339">
        <v>0</v>
      </c>
      <c r="L65" s="339">
        <v>603</v>
      </c>
      <c r="M65" s="339">
        <v>44</v>
      </c>
      <c r="O65" s="341"/>
      <c r="T65" s="334"/>
    </row>
    <row r="66" spans="1:20" x14ac:dyDescent="0.2">
      <c r="A66" s="362">
        <v>56</v>
      </c>
      <c r="B66" s="248" t="s">
        <v>325</v>
      </c>
      <c r="C66" s="238" t="s">
        <v>465</v>
      </c>
      <c r="D66" s="339">
        <f t="shared" si="6"/>
        <v>0</v>
      </c>
      <c r="E66" s="339">
        <v>0</v>
      </c>
      <c r="F66" s="339">
        <v>0</v>
      </c>
      <c r="G66" s="339">
        <v>0</v>
      </c>
      <c r="H66" s="339">
        <v>0</v>
      </c>
      <c r="I66" s="339">
        <f t="shared" si="7"/>
        <v>0</v>
      </c>
      <c r="J66" s="339">
        <v>0</v>
      </c>
      <c r="K66" s="339">
        <v>0</v>
      </c>
      <c r="L66" s="339">
        <v>0</v>
      </c>
      <c r="M66" s="339">
        <v>0</v>
      </c>
      <c r="O66" s="341"/>
      <c r="T66" s="334"/>
    </row>
    <row r="67" spans="1:20" x14ac:dyDescent="0.2">
      <c r="A67" s="362">
        <v>57</v>
      </c>
      <c r="B67" s="248" t="s">
        <v>466</v>
      </c>
      <c r="C67" s="238" t="s">
        <v>467</v>
      </c>
      <c r="D67" s="339">
        <f t="shared" si="6"/>
        <v>0</v>
      </c>
      <c r="E67" s="339">
        <v>0</v>
      </c>
      <c r="F67" s="339">
        <v>0</v>
      </c>
      <c r="G67" s="339">
        <v>0</v>
      </c>
      <c r="H67" s="339">
        <v>0</v>
      </c>
      <c r="I67" s="339">
        <f t="shared" si="7"/>
        <v>0</v>
      </c>
      <c r="J67" s="339">
        <v>0</v>
      </c>
      <c r="K67" s="339">
        <v>0</v>
      </c>
      <c r="L67" s="339">
        <v>0</v>
      </c>
      <c r="M67" s="339">
        <v>0</v>
      </c>
      <c r="O67" s="341"/>
      <c r="T67" s="334"/>
    </row>
    <row r="68" spans="1:20" ht="25.5" x14ac:dyDescent="0.2">
      <c r="A68" s="362">
        <v>58</v>
      </c>
      <c r="B68" s="365" t="s">
        <v>99</v>
      </c>
      <c r="C68" s="366" t="s">
        <v>100</v>
      </c>
      <c r="D68" s="339">
        <f t="shared" si="6"/>
        <v>0</v>
      </c>
      <c r="E68" s="339">
        <v>0</v>
      </c>
      <c r="F68" s="339">
        <v>0</v>
      </c>
      <c r="G68" s="339">
        <v>0</v>
      </c>
      <c r="H68" s="339">
        <v>0</v>
      </c>
      <c r="I68" s="339">
        <f t="shared" si="7"/>
        <v>0</v>
      </c>
      <c r="J68" s="339">
        <v>0</v>
      </c>
      <c r="K68" s="339">
        <v>0</v>
      </c>
      <c r="L68" s="339">
        <v>0</v>
      </c>
      <c r="M68" s="339">
        <v>0</v>
      </c>
      <c r="O68" s="341"/>
      <c r="T68" s="334"/>
    </row>
    <row r="69" spans="1:20" ht="25.5" x14ac:dyDescent="0.2">
      <c r="A69" s="362">
        <v>59</v>
      </c>
      <c r="B69" s="363" t="s">
        <v>101</v>
      </c>
      <c r="C69" s="366" t="s">
        <v>468</v>
      </c>
      <c r="D69" s="339">
        <f t="shared" si="6"/>
        <v>0</v>
      </c>
      <c r="E69" s="339">
        <v>0</v>
      </c>
      <c r="F69" s="339">
        <v>0</v>
      </c>
      <c r="G69" s="339">
        <v>0</v>
      </c>
      <c r="H69" s="339">
        <v>0</v>
      </c>
      <c r="I69" s="339">
        <f t="shared" si="7"/>
        <v>0</v>
      </c>
      <c r="J69" s="339">
        <v>0</v>
      </c>
      <c r="K69" s="339">
        <v>0</v>
      </c>
      <c r="L69" s="339">
        <v>0</v>
      </c>
      <c r="M69" s="339">
        <v>0</v>
      </c>
      <c r="O69" s="341"/>
      <c r="T69" s="334"/>
    </row>
    <row r="70" spans="1:20" ht="25.5" x14ac:dyDescent="0.2">
      <c r="A70" s="362">
        <v>60</v>
      </c>
      <c r="B70" s="367" t="s">
        <v>102</v>
      </c>
      <c r="C70" s="368" t="s">
        <v>103</v>
      </c>
      <c r="D70" s="339">
        <f t="shared" si="6"/>
        <v>692</v>
      </c>
      <c r="E70" s="339">
        <v>0</v>
      </c>
      <c r="F70" s="339">
        <v>0</v>
      </c>
      <c r="G70" s="339">
        <v>0</v>
      </c>
      <c r="H70" s="339">
        <v>692</v>
      </c>
      <c r="I70" s="339">
        <f t="shared" si="7"/>
        <v>692</v>
      </c>
      <c r="J70" s="339">
        <v>0</v>
      </c>
      <c r="K70" s="339">
        <v>0</v>
      </c>
      <c r="L70" s="339">
        <v>0</v>
      </c>
      <c r="M70" s="339">
        <v>692</v>
      </c>
      <c r="O70" s="341"/>
      <c r="T70" s="334"/>
    </row>
    <row r="71" spans="1:20" ht="25.5" x14ac:dyDescent="0.2">
      <c r="A71" s="362">
        <v>61</v>
      </c>
      <c r="B71" s="363" t="s">
        <v>104</v>
      </c>
      <c r="C71" s="366" t="s">
        <v>469</v>
      </c>
      <c r="D71" s="339">
        <f t="shared" si="6"/>
        <v>0</v>
      </c>
      <c r="E71" s="339">
        <v>0</v>
      </c>
      <c r="F71" s="339">
        <v>0</v>
      </c>
      <c r="G71" s="339">
        <v>0</v>
      </c>
      <c r="H71" s="339">
        <v>0</v>
      </c>
      <c r="I71" s="339">
        <f t="shared" si="7"/>
        <v>0</v>
      </c>
      <c r="J71" s="339">
        <v>0</v>
      </c>
      <c r="K71" s="339">
        <v>0</v>
      </c>
      <c r="L71" s="339">
        <v>0</v>
      </c>
      <c r="M71" s="339">
        <v>0</v>
      </c>
      <c r="O71" s="341"/>
      <c r="T71" s="334"/>
    </row>
    <row r="72" spans="1:20" ht="25.5" x14ac:dyDescent="0.2">
      <c r="A72" s="362">
        <v>62</v>
      </c>
      <c r="B72" s="365" t="s">
        <v>105</v>
      </c>
      <c r="C72" s="366" t="s">
        <v>106</v>
      </c>
      <c r="D72" s="339">
        <f t="shared" si="6"/>
        <v>0</v>
      </c>
      <c r="E72" s="339">
        <v>0</v>
      </c>
      <c r="F72" s="339">
        <v>0</v>
      </c>
      <c r="G72" s="339">
        <v>0</v>
      </c>
      <c r="H72" s="339">
        <v>0</v>
      </c>
      <c r="I72" s="339">
        <f t="shared" si="7"/>
        <v>0</v>
      </c>
      <c r="J72" s="339">
        <v>0</v>
      </c>
      <c r="K72" s="339">
        <v>0</v>
      </c>
      <c r="L72" s="339">
        <v>0</v>
      </c>
      <c r="M72" s="339">
        <v>0</v>
      </c>
      <c r="O72" s="341"/>
      <c r="T72" s="334"/>
    </row>
    <row r="73" spans="1:20" ht="38.25" x14ac:dyDescent="0.2">
      <c r="A73" s="362">
        <v>63</v>
      </c>
      <c r="B73" s="363" t="s">
        <v>332</v>
      </c>
      <c r="C73" s="366" t="s">
        <v>470</v>
      </c>
      <c r="D73" s="339">
        <f t="shared" si="6"/>
        <v>7183</v>
      </c>
      <c r="E73" s="339">
        <v>0</v>
      </c>
      <c r="F73" s="339">
        <v>7183</v>
      </c>
      <c r="G73" s="339">
        <v>0</v>
      </c>
      <c r="H73" s="339">
        <v>0</v>
      </c>
      <c r="I73" s="339">
        <f t="shared" si="7"/>
        <v>3592</v>
      </c>
      <c r="J73" s="339">
        <v>0</v>
      </c>
      <c r="K73" s="339">
        <v>3592</v>
      </c>
      <c r="L73" s="339">
        <v>0</v>
      </c>
      <c r="M73" s="339">
        <v>0</v>
      </c>
      <c r="O73" s="341"/>
      <c r="T73" s="334"/>
    </row>
    <row r="74" spans="1:20" ht="38.25" x14ac:dyDescent="0.2">
      <c r="A74" s="362">
        <v>64</v>
      </c>
      <c r="B74" s="363" t="s">
        <v>334</v>
      </c>
      <c r="C74" s="366" t="s">
        <v>471</v>
      </c>
      <c r="D74" s="339">
        <f t="shared" si="6"/>
        <v>22746</v>
      </c>
      <c r="E74" s="339">
        <v>0</v>
      </c>
      <c r="F74" s="339">
        <v>22746</v>
      </c>
      <c r="G74" s="339">
        <v>0</v>
      </c>
      <c r="H74" s="339">
        <v>0</v>
      </c>
      <c r="I74" s="339">
        <f t="shared" si="7"/>
        <v>12096</v>
      </c>
      <c r="J74" s="339">
        <v>0</v>
      </c>
      <c r="K74" s="339">
        <v>12096</v>
      </c>
      <c r="L74" s="339">
        <v>0</v>
      </c>
      <c r="M74" s="339">
        <v>0</v>
      </c>
      <c r="O74" s="341"/>
      <c r="T74" s="334"/>
    </row>
    <row r="75" spans="1:20" ht="12.75" x14ac:dyDescent="0.2">
      <c r="A75" s="362">
        <v>65</v>
      </c>
      <c r="B75" s="363" t="s">
        <v>107</v>
      </c>
      <c r="C75" s="366" t="s">
        <v>472</v>
      </c>
      <c r="D75" s="339">
        <f t="shared" si="6"/>
        <v>0</v>
      </c>
      <c r="E75" s="339">
        <v>0</v>
      </c>
      <c r="F75" s="339">
        <v>0</v>
      </c>
      <c r="G75" s="339">
        <v>0</v>
      </c>
      <c r="H75" s="339">
        <v>0</v>
      </c>
      <c r="I75" s="339">
        <f t="shared" si="7"/>
        <v>0</v>
      </c>
      <c r="J75" s="339">
        <v>0</v>
      </c>
      <c r="K75" s="339">
        <v>0</v>
      </c>
      <c r="L75" s="339">
        <v>0</v>
      </c>
      <c r="M75" s="339">
        <v>0</v>
      </c>
      <c r="O75" s="341"/>
      <c r="T75" s="334"/>
    </row>
    <row r="76" spans="1:20" ht="12.75" x14ac:dyDescent="0.2">
      <c r="A76" s="362">
        <v>66</v>
      </c>
      <c r="B76" s="363" t="s">
        <v>108</v>
      </c>
      <c r="C76" s="366" t="s">
        <v>473</v>
      </c>
      <c r="D76" s="339">
        <f t="shared" ref="D76:D139" si="8">E76+F76+G76+H76</f>
        <v>0</v>
      </c>
      <c r="E76" s="339">
        <v>0</v>
      </c>
      <c r="F76" s="339">
        <v>0</v>
      </c>
      <c r="G76" s="339">
        <v>0</v>
      </c>
      <c r="H76" s="339">
        <v>0</v>
      </c>
      <c r="I76" s="339">
        <f t="shared" ref="I76:I139" si="9">J76+K76+L76+M76</f>
        <v>0</v>
      </c>
      <c r="J76" s="339">
        <v>0</v>
      </c>
      <c r="K76" s="339">
        <v>0</v>
      </c>
      <c r="L76" s="339">
        <v>0</v>
      </c>
      <c r="M76" s="339">
        <v>0</v>
      </c>
      <c r="O76" s="341"/>
      <c r="T76" s="334"/>
    </row>
    <row r="77" spans="1:20" ht="12.75" x14ac:dyDescent="0.2">
      <c r="A77" s="362">
        <v>67</v>
      </c>
      <c r="B77" s="363" t="s">
        <v>109</v>
      </c>
      <c r="C77" s="366" t="s">
        <v>474</v>
      </c>
      <c r="D77" s="339">
        <f t="shared" si="8"/>
        <v>169</v>
      </c>
      <c r="E77" s="339">
        <v>0</v>
      </c>
      <c r="F77" s="339">
        <v>0</v>
      </c>
      <c r="G77" s="339">
        <v>169</v>
      </c>
      <c r="H77" s="339">
        <v>0</v>
      </c>
      <c r="I77" s="339">
        <f t="shared" si="9"/>
        <v>109</v>
      </c>
      <c r="J77" s="339">
        <v>0</v>
      </c>
      <c r="K77" s="339">
        <v>0</v>
      </c>
      <c r="L77" s="339">
        <v>109</v>
      </c>
      <c r="M77" s="339">
        <v>0</v>
      </c>
      <c r="O77" s="341"/>
      <c r="T77" s="334"/>
    </row>
    <row r="78" spans="1:20" ht="12.75" x14ac:dyDescent="0.2">
      <c r="A78" s="362">
        <v>68</v>
      </c>
      <c r="B78" s="363" t="s">
        <v>110</v>
      </c>
      <c r="C78" s="366" t="s">
        <v>475</v>
      </c>
      <c r="D78" s="339">
        <f t="shared" si="8"/>
        <v>0</v>
      </c>
      <c r="E78" s="339">
        <v>0</v>
      </c>
      <c r="F78" s="339">
        <v>0</v>
      </c>
      <c r="G78" s="339">
        <v>0</v>
      </c>
      <c r="H78" s="339">
        <v>0</v>
      </c>
      <c r="I78" s="339">
        <f t="shared" si="9"/>
        <v>0</v>
      </c>
      <c r="J78" s="339">
        <v>0</v>
      </c>
      <c r="K78" s="339">
        <v>0</v>
      </c>
      <c r="L78" s="339">
        <v>0</v>
      </c>
      <c r="M78" s="339">
        <v>0</v>
      </c>
      <c r="O78" s="341"/>
      <c r="T78" s="334"/>
    </row>
    <row r="79" spans="1:20" ht="12.75" x14ac:dyDescent="0.2">
      <c r="A79" s="362">
        <v>69</v>
      </c>
      <c r="B79" s="363" t="s">
        <v>111</v>
      </c>
      <c r="C79" s="366" t="s">
        <v>476</v>
      </c>
      <c r="D79" s="339">
        <f t="shared" si="8"/>
        <v>0</v>
      </c>
      <c r="E79" s="339">
        <v>0</v>
      </c>
      <c r="F79" s="339">
        <v>0</v>
      </c>
      <c r="G79" s="339">
        <v>0</v>
      </c>
      <c r="H79" s="339">
        <v>0</v>
      </c>
      <c r="I79" s="339">
        <f t="shared" si="9"/>
        <v>0</v>
      </c>
      <c r="J79" s="339">
        <v>0</v>
      </c>
      <c r="K79" s="339">
        <v>0</v>
      </c>
      <c r="L79" s="339">
        <v>0</v>
      </c>
      <c r="M79" s="339">
        <v>0</v>
      </c>
      <c r="O79" s="341"/>
      <c r="T79" s="334"/>
    </row>
    <row r="80" spans="1:20" ht="12.75" x14ac:dyDescent="0.2">
      <c r="A80" s="362">
        <v>70</v>
      </c>
      <c r="B80" s="365" t="s">
        <v>112</v>
      </c>
      <c r="C80" s="366" t="s">
        <v>113</v>
      </c>
      <c r="D80" s="339">
        <f t="shared" si="8"/>
        <v>0</v>
      </c>
      <c r="E80" s="339">
        <v>0</v>
      </c>
      <c r="F80" s="339">
        <v>0</v>
      </c>
      <c r="G80" s="339">
        <v>0</v>
      </c>
      <c r="H80" s="339">
        <v>0</v>
      </c>
      <c r="I80" s="339">
        <f t="shared" si="9"/>
        <v>0</v>
      </c>
      <c r="J80" s="339">
        <v>0</v>
      </c>
      <c r="K80" s="339">
        <v>0</v>
      </c>
      <c r="L80" s="339">
        <v>0</v>
      </c>
      <c r="M80" s="339">
        <v>0</v>
      </c>
      <c r="O80" s="341"/>
      <c r="T80" s="334"/>
    </row>
    <row r="81" spans="1:20" ht="12.75" x14ac:dyDescent="0.2">
      <c r="A81" s="362">
        <v>71</v>
      </c>
      <c r="B81" s="363" t="s">
        <v>114</v>
      </c>
      <c r="C81" s="364" t="s">
        <v>115</v>
      </c>
      <c r="D81" s="339">
        <f t="shared" si="8"/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f t="shared" si="9"/>
        <v>0</v>
      </c>
      <c r="J81" s="339">
        <v>0</v>
      </c>
      <c r="K81" s="339">
        <v>0</v>
      </c>
      <c r="L81" s="339">
        <v>0</v>
      </c>
      <c r="M81" s="339">
        <v>0</v>
      </c>
      <c r="O81" s="341"/>
      <c r="T81" s="334"/>
    </row>
    <row r="82" spans="1:20" ht="12.75" x14ac:dyDescent="0.2">
      <c r="A82" s="362">
        <v>72</v>
      </c>
      <c r="B82" s="365" t="s">
        <v>116</v>
      </c>
      <c r="C82" s="366" t="s">
        <v>117</v>
      </c>
      <c r="D82" s="339">
        <f t="shared" si="8"/>
        <v>0</v>
      </c>
      <c r="E82" s="339">
        <v>0</v>
      </c>
      <c r="F82" s="339">
        <v>0</v>
      </c>
      <c r="G82" s="339">
        <v>0</v>
      </c>
      <c r="H82" s="339">
        <v>0</v>
      </c>
      <c r="I82" s="339">
        <f t="shared" si="9"/>
        <v>0</v>
      </c>
      <c r="J82" s="339">
        <v>0</v>
      </c>
      <c r="K82" s="339">
        <v>0</v>
      </c>
      <c r="L82" s="339">
        <v>0</v>
      </c>
      <c r="M82" s="339">
        <v>0</v>
      </c>
      <c r="O82" s="341"/>
      <c r="T82" s="334"/>
    </row>
    <row r="83" spans="1:20" ht="12.75" x14ac:dyDescent="0.2">
      <c r="A83" s="362">
        <v>73</v>
      </c>
      <c r="B83" s="363" t="s">
        <v>118</v>
      </c>
      <c r="C83" s="366" t="s">
        <v>477</v>
      </c>
      <c r="D83" s="339">
        <f t="shared" si="8"/>
        <v>0</v>
      </c>
      <c r="E83" s="339">
        <v>0</v>
      </c>
      <c r="F83" s="339">
        <v>0</v>
      </c>
      <c r="G83" s="339">
        <v>0</v>
      </c>
      <c r="H83" s="339">
        <v>0</v>
      </c>
      <c r="I83" s="339">
        <f t="shared" si="9"/>
        <v>0</v>
      </c>
      <c r="J83" s="339">
        <v>0</v>
      </c>
      <c r="K83" s="339">
        <v>0</v>
      </c>
      <c r="L83" s="339">
        <v>0</v>
      </c>
      <c r="M83" s="339">
        <v>0</v>
      </c>
      <c r="O83" s="341"/>
      <c r="T83" s="334"/>
    </row>
    <row r="84" spans="1:20" ht="12.75" x14ac:dyDescent="0.2">
      <c r="A84" s="362">
        <v>74</v>
      </c>
      <c r="B84" s="365" t="s">
        <v>119</v>
      </c>
      <c r="C84" s="366" t="s">
        <v>120</v>
      </c>
      <c r="D84" s="339">
        <f t="shared" si="8"/>
        <v>0</v>
      </c>
      <c r="E84" s="339">
        <v>0</v>
      </c>
      <c r="F84" s="339">
        <v>0</v>
      </c>
      <c r="G84" s="339">
        <v>0</v>
      </c>
      <c r="H84" s="339">
        <v>0</v>
      </c>
      <c r="I84" s="339">
        <f t="shared" si="9"/>
        <v>0</v>
      </c>
      <c r="J84" s="339">
        <v>0</v>
      </c>
      <c r="K84" s="339">
        <v>0</v>
      </c>
      <c r="L84" s="339">
        <v>0</v>
      </c>
      <c r="M84" s="339">
        <v>0</v>
      </c>
      <c r="O84" s="341"/>
      <c r="T84" s="334"/>
    </row>
    <row r="85" spans="1:20" ht="12.75" x14ac:dyDescent="0.2">
      <c r="A85" s="362">
        <v>75</v>
      </c>
      <c r="B85" s="365" t="s">
        <v>121</v>
      </c>
      <c r="C85" s="366" t="s">
        <v>122</v>
      </c>
      <c r="D85" s="339">
        <f t="shared" si="8"/>
        <v>0</v>
      </c>
      <c r="E85" s="339">
        <v>0</v>
      </c>
      <c r="F85" s="339">
        <v>0</v>
      </c>
      <c r="G85" s="339">
        <v>0</v>
      </c>
      <c r="H85" s="339">
        <v>0</v>
      </c>
      <c r="I85" s="339">
        <f t="shared" si="9"/>
        <v>0</v>
      </c>
      <c r="J85" s="339">
        <v>0</v>
      </c>
      <c r="K85" s="339">
        <v>0</v>
      </c>
      <c r="L85" s="339">
        <v>0</v>
      </c>
      <c r="M85" s="339">
        <v>0</v>
      </c>
      <c r="O85" s="341"/>
      <c r="T85" s="334"/>
    </row>
    <row r="86" spans="1:20" ht="25.5" x14ac:dyDescent="0.2">
      <c r="A86" s="362">
        <v>76</v>
      </c>
      <c r="B86" s="373" t="s">
        <v>347</v>
      </c>
      <c r="C86" s="372" t="s">
        <v>478</v>
      </c>
      <c r="D86" s="339">
        <f t="shared" si="8"/>
        <v>473</v>
      </c>
      <c r="E86" s="339">
        <v>473</v>
      </c>
      <c r="F86" s="339">
        <v>0</v>
      </c>
      <c r="G86" s="339">
        <v>0</v>
      </c>
      <c r="H86" s="339">
        <v>0</v>
      </c>
      <c r="I86" s="339">
        <f t="shared" si="9"/>
        <v>313</v>
      </c>
      <c r="J86" s="339">
        <v>313</v>
      </c>
      <c r="K86" s="339">
        <v>0</v>
      </c>
      <c r="L86" s="339">
        <v>0</v>
      </c>
      <c r="M86" s="339">
        <v>0</v>
      </c>
      <c r="O86" s="341"/>
      <c r="T86" s="334"/>
    </row>
    <row r="87" spans="1:20" ht="25.5" x14ac:dyDescent="0.2">
      <c r="A87" s="362">
        <v>77</v>
      </c>
      <c r="B87" s="363" t="s">
        <v>349</v>
      </c>
      <c r="C87" s="366" t="s">
        <v>479</v>
      </c>
      <c r="D87" s="339">
        <f t="shared" si="8"/>
        <v>26</v>
      </c>
      <c r="E87" s="339">
        <v>26</v>
      </c>
      <c r="F87" s="339">
        <v>0</v>
      </c>
      <c r="G87" s="339">
        <v>0</v>
      </c>
      <c r="H87" s="339">
        <v>0</v>
      </c>
      <c r="I87" s="339">
        <f t="shared" si="9"/>
        <v>26</v>
      </c>
      <c r="J87" s="339">
        <v>26</v>
      </c>
      <c r="K87" s="339">
        <v>0</v>
      </c>
      <c r="L87" s="339">
        <v>0</v>
      </c>
      <c r="M87" s="339">
        <v>0</v>
      </c>
      <c r="O87" s="341"/>
      <c r="T87" s="334"/>
    </row>
    <row r="88" spans="1:20" ht="25.5" x14ac:dyDescent="0.2">
      <c r="A88" s="362">
        <v>78</v>
      </c>
      <c r="B88" s="363" t="s">
        <v>351</v>
      </c>
      <c r="C88" s="366" t="s">
        <v>480</v>
      </c>
      <c r="D88" s="339">
        <f t="shared" si="8"/>
        <v>173</v>
      </c>
      <c r="E88" s="339">
        <v>173</v>
      </c>
      <c r="F88" s="339">
        <v>0</v>
      </c>
      <c r="G88" s="339">
        <v>0</v>
      </c>
      <c r="H88" s="339">
        <v>0</v>
      </c>
      <c r="I88" s="339">
        <f t="shared" si="9"/>
        <v>107</v>
      </c>
      <c r="J88" s="339">
        <v>107</v>
      </c>
      <c r="K88" s="339">
        <v>0</v>
      </c>
      <c r="L88" s="339">
        <v>0</v>
      </c>
      <c r="M88" s="339">
        <v>0</v>
      </c>
      <c r="O88" s="341"/>
      <c r="T88" s="334"/>
    </row>
    <row r="89" spans="1:20" ht="25.5" x14ac:dyDescent="0.2">
      <c r="A89" s="362">
        <v>79</v>
      </c>
      <c r="B89" s="363" t="s">
        <v>353</v>
      </c>
      <c r="C89" s="366" t="s">
        <v>481</v>
      </c>
      <c r="D89" s="339">
        <f t="shared" si="8"/>
        <v>41</v>
      </c>
      <c r="E89" s="339">
        <v>41</v>
      </c>
      <c r="F89" s="339">
        <v>0</v>
      </c>
      <c r="G89" s="339">
        <v>0</v>
      </c>
      <c r="H89" s="339">
        <v>0</v>
      </c>
      <c r="I89" s="339">
        <f t="shared" si="9"/>
        <v>41</v>
      </c>
      <c r="J89" s="339">
        <v>41</v>
      </c>
      <c r="K89" s="339">
        <v>0</v>
      </c>
      <c r="L89" s="339">
        <v>0</v>
      </c>
      <c r="M89" s="339">
        <v>0</v>
      </c>
      <c r="O89" s="341"/>
      <c r="T89" s="334"/>
    </row>
    <row r="90" spans="1:20" ht="25.5" x14ac:dyDescent="0.2">
      <c r="A90" s="362">
        <v>80</v>
      </c>
      <c r="B90" s="363" t="s">
        <v>355</v>
      </c>
      <c r="C90" s="366" t="s">
        <v>482</v>
      </c>
      <c r="D90" s="339">
        <f t="shared" si="8"/>
        <v>5117</v>
      </c>
      <c r="E90" s="339">
        <v>840</v>
      </c>
      <c r="F90" s="339">
        <v>4277</v>
      </c>
      <c r="G90" s="339">
        <v>0</v>
      </c>
      <c r="H90" s="339">
        <v>0</v>
      </c>
      <c r="I90" s="339">
        <f t="shared" si="9"/>
        <v>3087</v>
      </c>
      <c r="J90" s="339">
        <v>635</v>
      </c>
      <c r="K90" s="339">
        <v>2452</v>
      </c>
      <c r="L90" s="339">
        <v>0</v>
      </c>
      <c r="M90" s="339">
        <v>0</v>
      </c>
      <c r="O90" s="341"/>
      <c r="T90" s="334"/>
    </row>
    <row r="91" spans="1:20" ht="25.5" x14ac:dyDescent="0.2">
      <c r="A91" s="362">
        <v>81</v>
      </c>
      <c r="B91" s="363" t="s">
        <v>357</v>
      </c>
      <c r="C91" s="366" t="s">
        <v>483</v>
      </c>
      <c r="D91" s="339">
        <f t="shared" si="8"/>
        <v>286</v>
      </c>
      <c r="E91" s="339">
        <v>286</v>
      </c>
      <c r="F91" s="339">
        <v>0</v>
      </c>
      <c r="G91" s="339">
        <v>0</v>
      </c>
      <c r="H91" s="339">
        <v>0</v>
      </c>
      <c r="I91" s="339">
        <f t="shared" si="9"/>
        <v>174</v>
      </c>
      <c r="J91" s="339">
        <v>174</v>
      </c>
      <c r="K91" s="339">
        <v>0</v>
      </c>
      <c r="L91" s="339">
        <v>0</v>
      </c>
      <c r="M91" s="339">
        <v>0</v>
      </c>
      <c r="O91" s="341"/>
      <c r="T91" s="334"/>
    </row>
    <row r="92" spans="1:20" ht="25.5" x14ac:dyDescent="0.2">
      <c r="A92" s="362">
        <v>82</v>
      </c>
      <c r="B92" s="363" t="s">
        <v>359</v>
      </c>
      <c r="C92" s="366" t="s">
        <v>484</v>
      </c>
      <c r="D92" s="339">
        <f t="shared" si="8"/>
        <v>46</v>
      </c>
      <c r="E92" s="339">
        <v>46</v>
      </c>
      <c r="F92" s="339">
        <v>0</v>
      </c>
      <c r="G92" s="339">
        <v>0</v>
      </c>
      <c r="H92" s="339">
        <v>0</v>
      </c>
      <c r="I92" s="339">
        <f t="shared" si="9"/>
        <v>46</v>
      </c>
      <c r="J92" s="339">
        <v>46</v>
      </c>
      <c r="K92" s="339">
        <v>0</v>
      </c>
      <c r="L92" s="339">
        <v>0</v>
      </c>
      <c r="M92" s="339">
        <v>0</v>
      </c>
      <c r="O92" s="341"/>
      <c r="T92" s="334"/>
    </row>
    <row r="93" spans="1:20" ht="25.5" x14ac:dyDescent="0.2">
      <c r="A93" s="362">
        <v>83</v>
      </c>
      <c r="B93" s="365" t="s">
        <v>123</v>
      </c>
      <c r="C93" s="366" t="s">
        <v>124</v>
      </c>
      <c r="D93" s="339">
        <f t="shared" si="8"/>
        <v>0</v>
      </c>
      <c r="E93" s="339">
        <v>0</v>
      </c>
      <c r="F93" s="339">
        <v>0</v>
      </c>
      <c r="G93" s="339">
        <v>0</v>
      </c>
      <c r="H93" s="339">
        <v>0</v>
      </c>
      <c r="I93" s="339">
        <f t="shared" si="9"/>
        <v>0</v>
      </c>
      <c r="J93" s="339">
        <v>0</v>
      </c>
      <c r="K93" s="339">
        <v>0</v>
      </c>
      <c r="L93" s="339">
        <v>0</v>
      </c>
      <c r="M93" s="339">
        <v>0</v>
      </c>
      <c r="O93" s="341"/>
      <c r="T93" s="334"/>
    </row>
    <row r="94" spans="1:20" ht="12.75" x14ac:dyDescent="0.2">
      <c r="A94" s="362">
        <v>84</v>
      </c>
      <c r="B94" s="363" t="s">
        <v>125</v>
      </c>
      <c r="C94" s="366" t="s">
        <v>485</v>
      </c>
      <c r="D94" s="339">
        <f t="shared" si="8"/>
        <v>0</v>
      </c>
      <c r="E94" s="339">
        <v>0</v>
      </c>
      <c r="F94" s="339">
        <v>0</v>
      </c>
      <c r="G94" s="339">
        <v>0</v>
      </c>
      <c r="H94" s="339">
        <v>0</v>
      </c>
      <c r="I94" s="339">
        <f t="shared" si="9"/>
        <v>0</v>
      </c>
      <c r="J94" s="339">
        <v>0</v>
      </c>
      <c r="K94" s="339">
        <v>0</v>
      </c>
      <c r="L94" s="339">
        <v>0</v>
      </c>
      <c r="M94" s="339">
        <v>0</v>
      </c>
      <c r="O94" s="341"/>
      <c r="T94" s="334"/>
    </row>
    <row r="95" spans="1:20" ht="12.75" x14ac:dyDescent="0.2">
      <c r="A95" s="362">
        <v>85</v>
      </c>
      <c r="B95" s="365" t="s">
        <v>126</v>
      </c>
      <c r="C95" s="366" t="s">
        <v>127</v>
      </c>
      <c r="D95" s="339">
        <f t="shared" si="8"/>
        <v>1800</v>
      </c>
      <c r="E95" s="339">
        <v>0</v>
      </c>
      <c r="F95" s="339">
        <v>0</v>
      </c>
      <c r="G95" s="339">
        <v>1800</v>
      </c>
      <c r="H95" s="339">
        <v>0</v>
      </c>
      <c r="I95" s="339">
        <f t="shared" si="9"/>
        <v>1800</v>
      </c>
      <c r="J95" s="339">
        <v>0</v>
      </c>
      <c r="K95" s="339">
        <v>0</v>
      </c>
      <c r="L95" s="339">
        <v>1800</v>
      </c>
      <c r="M95" s="339">
        <v>0</v>
      </c>
      <c r="O95" s="341"/>
      <c r="T95" s="334"/>
    </row>
    <row r="96" spans="1:20" ht="12.75" x14ac:dyDescent="0.2">
      <c r="A96" s="362">
        <v>86</v>
      </c>
      <c r="B96" s="367" t="s">
        <v>128</v>
      </c>
      <c r="C96" s="368" t="s">
        <v>129</v>
      </c>
      <c r="D96" s="339">
        <f t="shared" si="8"/>
        <v>3588</v>
      </c>
      <c r="E96" s="339">
        <v>0</v>
      </c>
      <c r="F96" s="339">
        <v>0</v>
      </c>
      <c r="G96" s="339">
        <v>3588</v>
      </c>
      <c r="H96" s="339">
        <v>0</v>
      </c>
      <c r="I96" s="339">
        <f t="shared" si="9"/>
        <v>2519</v>
      </c>
      <c r="J96" s="339">
        <v>0</v>
      </c>
      <c r="K96" s="339">
        <v>0</v>
      </c>
      <c r="L96" s="339">
        <v>2519</v>
      </c>
      <c r="M96" s="339">
        <v>0</v>
      </c>
      <c r="O96" s="341"/>
      <c r="T96" s="334"/>
    </row>
    <row r="97" spans="1:20" ht="12.75" x14ac:dyDescent="0.2">
      <c r="A97" s="362">
        <v>87</v>
      </c>
      <c r="B97" s="363" t="s">
        <v>130</v>
      </c>
      <c r="C97" s="366" t="s">
        <v>486</v>
      </c>
      <c r="D97" s="339">
        <f t="shared" si="8"/>
        <v>0</v>
      </c>
      <c r="E97" s="339">
        <v>0</v>
      </c>
      <c r="F97" s="339">
        <v>0</v>
      </c>
      <c r="G97" s="339">
        <v>0</v>
      </c>
      <c r="H97" s="339">
        <v>0</v>
      </c>
      <c r="I97" s="339">
        <f t="shared" si="9"/>
        <v>0</v>
      </c>
      <c r="J97" s="339">
        <v>0</v>
      </c>
      <c r="K97" s="339">
        <v>0</v>
      </c>
      <c r="L97" s="339">
        <v>0</v>
      </c>
      <c r="M97" s="339">
        <v>0</v>
      </c>
      <c r="O97" s="341"/>
      <c r="T97" s="334"/>
    </row>
    <row r="98" spans="1:20" ht="12.75" x14ac:dyDescent="0.2">
      <c r="A98" s="362">
        <v>88</v>
      </c>
      <c r="B98" s="363" t="s">
        <v>131</v>
      </c>
      <c r="C98" s="366" t="s">
        <v>132</v>
      </c>
      <c r="D98" s="339">
        <f t="shared" si="8"/>
        <v>366</v>
      </c>
      <c r="E98" s="339">
        <v>0</v>
      </c>
      <c r="F98" s="339">
        <v>0</v>
      </c>
      <c r="G98" s="339">
        <v>366</v>
      </c>
      <c r="H98" s="339">
        <v>0</v>
      </c>
      <c r="I98" s="339">
        <f t="shared" si="9"/>
        <v>366</v>
      </c>
      <c r="J98" s="339">
        <v>0</v>
      </c>
      <c r="K98" s="339">
        <v>0</v>
      </c>
      <c r="L98" s="339">
        <v>366</v>
      </c>
      <c r="M98" s="339">
        <v>0</v>
      </c>
      <c r="O98" s="341"/>
      <c r="T98" s="334"/>
    </row>
    <row r="99" spans="1:20" ht="12.75" x14ac:dyDescent="0.2">
      <c r="A99" s="362">
        <v>89</v>
      </c>
      <c r="B99" s="367" t="s">
        <v>133</v>
      </c>
      <c r="C99" s="368" t="s">
        <v>134</v>
      </c>
      <c r="D99" s="339">
        <f t="shared" si="8"/>
        <v>0</v>
      </c>
      <c r="E99" s="339">
        <v>0</v>
      </c>
      <c r="F99" s="339">
        <v>0</v>
      </c>
      <c r="G99" s="339">
        <v>0</v>
      </c>
      <c r="H99" s="339">
        <v>0</v>
      </c>
      <c r="I99" s="339">
        <f t="shared" si="9"/>
        <v>0</v>
      </c>
      <c r="J99" s="339">
        <v>0</v>
      </c>
      <c r="K99" s="339">
        <v>0</v>
      </c>
      <c r="L99" s="339">
        <v>0</v>
      </c>
      <c r="M99" s="339">
        <v>0</v>
      </c>
      <c r="O99" s="341"/>
      <c r="T99" s="334"/>
    </row>
    <row r="100" spans="1:20" ht="12.75" x14ac:dyDescent="0.2">
      <c r="A100" s="362">
        <v>90</v>
      </c>
      <c r="B100" s="363" t="s">
        <v>9</v>
      </c>
      <c r="C100" s="366" t="s">
        <v>487</v>
      </c>
      <c r="D100" s="339">
        <f t="shared" si="8"/>
        <v>84</v>
      </c>
      <c r="E100" s="339">
        <v>0</v>
      </c>
      <c r="F100" s="339">
        <v>0</v>
      </c>
      <c r="G100" s="339">
        <v>84</v>
      </c>
      <c r="H100" s="339">
        <v>0</v>
      </c>
      <c r="I100" s="339">
        <f t="shared" si="9"/>
        <v>84</v>
      </c>
      <c r="J100" s="339">
        <v>0</v>
      </c>
      <c r="K100" s="339">
        <v>0</v>
      </c>
      <c r="L100" s="339">
        <v>84</v>
      </c>
      <c r="M100" s="339">
        <v>0</v>
      </c>
      <c r="O100" s="341"/>
      <c r="T100" s="334"/>
    </row>
    <row r="101" spans="1:20" ht="12.75" x14ac:dyDescent="0.2">
      <c r="A101" s="362">
        <v>91</v>
      </c>
      <c r="B101" s="367" t="s">
        <v>135</v>
      </c>
      <c r="C101" s="368" t="s">
        <v>136</v>
      </c>
      <c r="D101" s="339">
        <f t="shared" si="8"/>
        <v>0</v>
      </c>
      <c r="E101" s="339">
        <v>0</v>
      </c>
      <c r="F101" s="339">
        <v>0</v>
      </c>
      <c r="G101" s="339">
        <v>0</v>
      </c>
      <c r="H101" s="339">
        <v>0</v>
      </c>
      <c r="I101" s="339">
        <f t="shared" si="9"/>
        <v>0</v>
      </c>
      <c r="J101" s="339">
        <v>0</v>
      </c>
      <c r="K101" s="339">
        <v>0</v>
      </c>
      <c r="L101" s="339">
        <v>0</v>
      </c>
      <c r="M101" s="339">
        <v>0</v>
      </c>
      <c r="O101" s="341"/>
      <c r="T101" s="334"/>
    </row>
    <row r="102" spans="1:20" x14ac:dyDescent="0.2">
      <c r="A102" s="362">
        <v>92</v>
      </c>
      <c r="B102" s="246" t="s">
        <v>488</v>
      </c>
      <c r="C102" s="238" t="s">
        <v>489</v>
      </c>
      <c r="D102" s="339">
        <f t="shared" si="8"/>
        <v>0</v>
      </c>
      <c r="E102" s="339">
        <v>0</v>
      </c>
      <c r="F102" s="339">
        <v>0</v>
      </c>
      <c r="G102" s="339">
        <v>0</v>
      </c>
      <c r="H102" s="339">
        <v>0</v>
      </c>
      <c r="I102" s="339">
        <f t="shared" si="9"/>
        <v>0</v>
      </c>
      <c r="J102" s="339">
        <v>0</v>
      </c>
      <c r="K102" s="339">
        <v>0</v>
      </c>
      <c r="L102" s="339">
        <v>0</v>
      </c>
      <c r="M102" s="339">
        <v>0</v>
      </c>
      <c r="O102" s="341"/>
      <c r="T102" s="334"/>
    </row>
    <row r="103" spans="1:20" ht="25.5" x14ac:dyDescent="0.2">
      <c r="A103" s="362">
        <v>93</v>
      </c>
      <c r="B103" s="365" t="s">
        <v>137</v>
      </c>
      <c r="C103" s="366" t="s">
        <v>138</v>
      </c>
      <c r="D103" s="339">
        <f t="shared" si="8"/>
        <v>0</v>
      </c>
      <c r="E103" s="339">
        <v>0</v>
      </c>
      <c r="F103" s="339">
        <v>0</v>
      </c>
      <c r="G103" s="339">
        <v>0</v>
      </c>
      <c r="H103" s="339">
        <v>0</v>
      </c>
      <c r="I103" s="339">
        <f t="shared" si="9"/>
        <v>0</v>
      </c>
      <c r="J103" s="339">
        <v>0</v>
      </c>
      <c r="K103" s="339">
        <v>0</v>
      </c>
      <c r="L103" s="339">
        <v>0</v>
      </c>
      <c r="M103" s="339">
        <v>0</v>
      </c>
      <c r="O103" s="341"/>
      <c r="T103" s="334"/>
    </row>
    <row r="104" spans="1:20" ht="25.5" x14ac:dyDescent="0.2">
      <c r="A104" s="362">
        <v>94</v>
      </c>
      <c r="B104" s="363" t="s">
        <v>369</v>
      </c>
      <c r="C104" s="364" t="s">
        <v>490</v>
      </c>
      <c r="D104" s="339">
        <f t="shared" si="8"/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f t="shared" si="9"/>
        <v>0</v>
      </c>
      <c r="J104" s="339">
        <v>0</v>
      </c>
      <c r="K104" s="339">
        <v>0</v>
      </c>
      <c r="L104" s="339">
        <v>0</v>
      </c>
      <c r="M104" s="339">
        <v>0</v>
      </c>
      <c r="O104" s="341"/>
      <c r="T104" s="334"/>
    </row>
    <row r="105" spans="1:20" ht="12.75" x14ac:dyDescent="0.2">
      <c r="A105" s="362">
        <v>95</v>
      </c>
      <c r="B105" s="363" t="s">
        <v>139</v>
      </c>
      <c r="C105" s="368" t="s">
        <v>140</v>
      </c>
      <c r="D105" s="339">
        <f t="shared" si="8"/>
        <v>0</v>
      </c>
      <c r="E105" s="339">
        <v>0</v>
      </c>
      <c r="F105" s="339">
        <v>0</v>
      </c>
      <c r="G105" s="339">
        <v>0</v>
      </c>
      <c r="H105" s="339">
        <v>0</v>
      </c>
      <c r="I105" s="339">
        <f t="shared" si="9"/>
        <v>0</v>
      </c>
      <c r="J105" s="339">
        <v>0</v>
      </c>
      <c r="K105" s="339">
        <v>0</v>
      </c>
      <c r="L105" s="339">
        <v>0</v>
      </c>
      <c r="M105" s="339">
        <v>0</v>
      </c>
      <c r="O105" s="341"/>
      <c r="T105" s="334"/>
    </row>
    <row r="106" spans="1:20" ht="12.75" x14ac:dyDescent="0.2">
      <c r="A106" s="362">
        <v>96</v>
      </c>
      <c r="B106" s="365" t="s">
        <v>141</v>
      </c>
      <c r="C106" s="366" t="s">
        <v>142</v>
      </c>
      <c r="D106" s="339">
        <f t="shared" si="8"/>
        <v>0</v>
      </c>
      <c r="E106" s="339">
        <v>0</v>
      </c>
      <c r="F106" s="339">
        <v>0</v>
      </c>
      <c r="G106" s="339">
        <v>0</v>
      </c>
      <c r="H106" s="339">
        <v>0</v>
      </c>
      <c r="I106" s="339">
        <f t="shared" si="9"/>
        <v>0</v>
      </c>
      <c r="J106" s="339">
        <v>0</v>
      </c>
      <c r="K106" s="339">
        <v>0</v>
      </c>
      <c r="L106" s="339">
        <v>0</v>
      </c>
      <c r="M106" s="339">
        <v>0</v>
      </c>
      <c r="O106" s="341"/>
      <c r="T106" s="334"/>
    </row>
    <row r="107" spans="1:20" ht="12.75" x14ac:dyDescent="0.2">
      <c r="A107" s="362">
        <v>97</v>
      </c>
      <c r="B107" s="363" t="s">
        <v>143</v>
      </c>
      <c r="C107" s="374" t="s">
        <v>144</v>
      </c>
      <c r="D107" s="339">
        <f t="shared" si="8"/>
        <v>537</v>
      </c>
      <c r="E107" s="339">
        <v>0</v>
      </c>
      <c r="F107" s="339">
        <v>0</v>
      </c>
      <c r="G107" s="339">
        <v>109</v>
      </c>
      <c r="H107" s="339">
        <v>428</v>
      </c>
      <c r="I107" s="339">
        <f t="shared" si="9"/>
        <v>327</v>
      </c>
      <c r="J107" s="339">
        <v>0</v>
      </c>
      <c r="K107" s="339">
        <v>0</v>
      </c>
      <c r="L107" s="339">
        <v>109</v>
      </c>
      <c r="M107" s="339">
        <v>218</v>
      </c>
      <c r="O107" s="341"/>
      <c r="T107" s="334"/>
    </row>
    <row r="108" spans="1:20" ht="12.75" x14ac:dyDescent="0.2">
      <c r="A108" s="362">
        <v>98</v>
      </c>
      <c r="B108" s="365" t="s">
        <v>145</v>
      </c>
      <c r="C108" s="366" t="s">
        <v>146</v>
      </c>
      <c r="D108" s="339">
        <f t="shared" si="8"/>
        <v>27</v>
      </c>
      <c r="E108" s="339">
        <v>0</v>
      </c>
      <c r="F108" s="339">
        <v>0</v>
      </c>
      <c r="G108" s="339">
        <v>27</v>
      </c>
      <c r="H108" s="339">
        <v>0</v>
      </c>
      <c r="I108" s="339">
        <f t="shared" si="9"/>
        <v>27</v>
      </c>
      <c r="J108" s="339">
        <v>0</v>
      </c>
      <c r="K108" s="339">
        <v>0</v>
      </c>
      <c r="L108" s="339">
        <v>27</v>
      </c>
      <c r="M108" s="339">
        <v>0</v>
      </c>
      <c r="O108" s="341"/>
      <c r="T108" s="334"/>
    </row>
    <row r="109" spans="1:20" ht="12.75" x14ac:dyDescent="0.2">
      <c r="A109" s="362">
        <v>99</v>
      </c>
      <c r="B109" s="365" t="s">
        <v>147</v>
      </c>
      <c r="C109" s="366" t="s">
        <v>148</v>
      </c>
      <c r="D109" s="339">
        <f t="shared" si="8"/>
        <v>343</v>
      </c>
      <c r="E109" s="339">
        <v>0</v>
      </c>
      <c r="F109" s="339">
        <v>0</v>
      </c>
      <c r="G109" s="339">
        <v>343</v>
      </c>
      <c r="H109" s="339">
        <v>0</v>
      </c>
      <c r="I109" s="339">
        <f t="shared" si="9"/>
        <v>343</v>
      </c>
      <c r="J109" s="339">
        <v>0</v>
      </c>
      <c r="K109" s="339">
        <v>0</v>
      </c>
      <c r="L109" s="339">
        <v>343</v>
      </c>
      <c r="M109" s="339">
        <v>0</v>
      </c>
      <c r="O109" s="341"/>
      <c r="T109" s="334"/>
    </row>
    <row r="110" spans="1:20" ht="12.75" x14ac:dyDescent="0.2">
      <c r="A110" s="362">
        <v>100</v>
      </c>
      <c r="B110" s="363" t="s">
        <v>149</v>
      </c>
      <c r="C110" s="368" t="s">
        <v>150</v>
      </c>
      <c r="D110" s="339">
        <f t="shared" si="8"/>
        <v>119</v>
      </c>
      <c r="E110" s="339">
        <v>0</v>
      </c>
      <c r="F110" s="339">
        <v>0</v>
      </c>
      <c r="G110" s="339">
        <v>86</v>
      </c>
      <c r="H110" s="339">
        <v>33</v>
      </c>
      <c r="I110" s="339">
        <f t="shared" si="9"/>
        <v>119</v>
      </c>
      <c r="J110" s="339">
        <v>0</v>
      </c>
      <c r="K110" s="339">
        <v>0</v>
      </c>
      <c r="L110" s="339">
        <v>86</v>
      </c>
      <c r="M110" s="339">
        <v>33</v>
      </c>
      <c r="O110" s="341"/>
      <c r="T110" s="334"/>
    </row>
    <row r="111" spans="1:20" ht="12.75" x14ac:dyDescent="0.2">
      <c r="A111" s="362">
        <v>101</v>
      </c>
      <c r="B111" s="363" t="s">
        <v>151</v>
      </c>
      <c r="C111" s="364" t="s">
        <v>152</v>
      </c>
      <c r="D111" s="339">
        <f t="shared" si="8"/>
        <v>265</v>
      </c>
      <c r="E111" s="339">
        <v>0</v>
      </c>
      <c r="F111" s="339">
        <v>0</v>
      </c>
      <c r="G111" s="339">
        <v>265</v>
      </c>
      <c r="H111" s="339">
        <v>0</v>
      </c>
      <c r="I111" s="339">
        <f t="shared" si="9"/>
        <v>265</v>
      </c>
      <c r="J111" s="339">
        <v>0</v>
      </c>
      <c r="K111" s="339">
        <v>0</v>
      </c>
      <c r="L111" s="339">
        <v>265</v>
      </c>
      <c r="M111" s="339">
        <v>0</v>
      </c>
      <c r="O111" s="341"/>
      <c r="T111" s="334"/>
    </row>
    <row r="112" spans="1:20" ht="12.75" x14ac:dyDescent="0.2">
      <c r="A112" s="362">
        <v>102</v>
      </c>
      <c r="B112" s="363" t="s">
        <v>153</v>
      </c>
      <c r="C112" s="364" t="s">
        <v>154</v>
      </c>
      <c r="D112" s="339">
        <f t="shared" si="8"/>
        <v>5999</v>
      </c>
      <c r="E112" s="339">
        <v>0</v>
      </c>
      <c r="F112" s="339">
        <v>0</v>
      </c>
      <c r="G112" s="339">
        <v>2595</v>
      </c>
      <c r="H112" s="339">
        <v>3404</v>
      </c>
      <c r="I112" s="339">
        <f t="shared" si="9"/>
        <v>3059</v>
      </c>
      <c r="J112" s="339">
        <v>0</v>
      </c>
      <c r="K112" s="339">
        <v>0</v>
      </c>
      <c r="L112" s="339">
        <v>1345</v>
      </c>
      <c r="M112" s="339">
        <v>1714</v>
      </c>
      <c r="O112" s="341"/>
      <c r="T112" s="334"/>
    </row>
    <row r="113" spans="1:20" ht="12.75" x14ac:dyDescent="0.2">
      <c r="A113" s="362">
        <v>103</v>
      </c>
      <c r="B113" s="363" t="s">
        <v>155</v>
      </c>
      <c r="C113" s="364" t="s">
        <v>156</v>
      </c>
      <c r="D113" s="339">
        <f t="shared" si="8"/>
        <v>401</v>
      </c>
      <c r="E113" s="339">
        <v>0</v>
      </c>
      <c r="F113" s="339">
        <v>0</v>
      </c>
      <c r="G113" s="339">
        <v>358</v>
      </c>
      <c r="H113" s="339">
        <v>43</v>
      </c>
      <c r="I113" s="339">
        <f t="shared" si="9"/>
        <v>401</v>
      </c>
      <c r="J113" s="339">
        <v>0</v>
      </c>
      <c r="K113" s="339">
        <v>0</v>
      </c>
      <c r="L113" s="339">
        <v>358</v>
      </c>
      <c r="M113" s="339">
        <v>43</v>
      </c>
      <c r="O113" s="341"/>
      <c r="T113" s="334"/>
    </row>
    <row r="114" spans="1:20" ht="12.75" x14ac:dyDescent="0.2">
      <c r="A114" s="362">
        <v>104</v>
      </c>
      <c r="B114" s="365" t="s">
        <v>157</v>
      </c>
      <c r="C114" s="366" t="s">
        <v>158</v>
      </c>
      <c r="D114" s="339">
        <f t="shared" si="8"/>
        <v>1752</v>
      </c>
      <c r="E114" s="339">
        <v>0</v>
      </c>
      <c r="F114" s="339">
        <v>0</v>
      </c>
      <c r="G114" s="339">
        <v>1752</v>
      </c>
      <c r="H114" s="339">
        <v>0</v>
      </c>
      <c r="I114" s="339">
        <f t="shared" si="9"/>
        <v>1752</v>
      </c>
      <c r="J114" s="339">
        <v>0</v>
      </c>
      <c r="K114" s="339">
        <v>0</v>
      </c>
      <c r="L114" s="339">
        <v>1752</v>
      </c>
      <c r="M114" s="339">
        <v>0</v>
      </c>
      <c r="O114" s="341"/>
      <c r="T114" s="334"/>
    </row>
    <row r="115" spans="1:20" ht="12.75" x14ac:dyDescent="0.2">
      <c r="A115" s="362">
        <v>105</v>
      </c>
      <c r="B115" s="367" t="s">
        <v>159</v>
      </c>
      <c r="C115" s="368" t="s">
        <v>160</v>
      </c>
      <c r="D115" s="339">
        <f t="shared" si="8"/>
        <v>113</v>
      </c>
      <c r="E115" s="339">
        <v>0</v>
      </c>
      <c r="F115" s="339">
        <v>0</v>
      </c>
      <c r="G115" s="339">
        <v>84</v>
      </c>
      <c r="H115" s="339">
        <v>29</v>
      </c>
      <c r="I115" s="339">
        <f t="shared" si="9"/>
        <v>113</v>
      </c>
      <c r="J115" s="339">
        <v>0</v>
      </c>
      <c r="K115" s="339">
        <v>0</v>
      </c>
      <c r="L115" s="339">
        <v>84</v>
      </c>
      <c r="M115" s="339">
        <v>29</v>
      </c>
      <c r="O115" s="341"/>
      <c r="T115" s="334"/>
    </row>
    <row r="116" spans="1:20" ht="12.75" x14ac:dyDescent="0.2">
      <c r="A116" s="362">
        <v>106</v>
      </c>
      <c r="B116" s="363" t="s">
        <v>161</v>
      </c>
      <c r="C116" s="364" t="s">
        <v>162</v>
      </c>
      <c r="D116" s="339">
        <f t="shared" si="8"/>
        <v>601</v>
      </c>
      <c r="E116" s="339">
        <v>0</v>
      </c>
      <c r="F116" s="339">
        <v>0</v>
      </c>
      <c r="G116" s="339">
        <v>459</v>
      </c>
      <c r="H116" s="339">
        <v>142</v>
      </c>
      <c r="I116" s="339">
        <f t="shared" si="9"/>
        <v>601</v>
      </c>
      <c r="J116" s="339">
        <v>0</v>
      </c>
      <c r="K116" s="339">
        <v>0</v>
      </c>
      <c r="L116" s="339">
        <v>459</v>
      </c>
      <c r="M116" s="339">
        <v>142</v>
      </c>
      <c r="O116" s="341"/>
      <c r="T116" s="334"/>
    </row>
    <row r="117" spans="1:20" ht="12.75" x14ac:dyDescent="0.2">
      <c r="A117" s="362">
        <v>107</v>
      </c>
      <c r="B117" s="363" t="s">
        <v>163</v>
      </c>
      <c r="C117" s="364" t="s">
        <v>164</v>
      </c>
      <c r="D117" s="339">
        <f t="shared" si="8"/>
        <v>3875</v>
      </c>
      <c r="E117" s="339">
        <v>0</v>
      </c>
      <c r="F117" s="339">
        <v>0</v>
      </c>
      <c r="G117" s="339">
        <v>2375</v>
      </c>
      <c r="H117" s="339">
        <v>1500</v>
      </c>
      <c r="I117" s="339">
        <f t="shared" si="9"/>
        <v>2125</v>
      </c>
      <c r="J117" s="339">
        <v>0</v>
      </c>
      <c r="K117" s="339">
        <v>0</v>
      </c>
      <c r="L117" s="339">
        <v>1375</v>
      </c>
      <c r="M117" s="339">
        <v>750</v>
      </c>
      <c r="O117" s="341"/>
      <c r="T117" s="334"/>
    </row>
    <row r="118" spans="1:20" ht="12.75" x14ac:dyDescent="0.2">
      <c r="A118" s="362">
        <v>108</v>
      </c>
      <c r="B118" s="365" t="s">
        <v>165</v>
      </c>
      <c r="C118" s="366" t="s">
        <v>166</v>
      </c>
      <c r="D118" s="339">
        <f t="shared" si="8"/>
        <v>793</v>
      </c>
      <c r="E118" s="339">
        <v>0</v>
      </c>
      <c r="F118" s="339">
        <v>0</v>
      </c>
      <c r="G118" s="339">
        <v>668</v>
      </c>
      <c r="H118" s="339">
        <v>125</v>
      </c>
      <c r="I118" s="339">
        <f t="shared" si="9"/>
        <v>793</v>
      </c>
      <c r="J118" s="339">
        <v>0</v>
      </c>
      <c r="K118" s="339">
        <v>0</v>
      </c>
      <c r="L118" s="339">
        <v>668</v>
      </c>
      <c r="M118" s="339">
        <v>125</v>
      </c>
      <c r="O118" s="341"/>
      <c r="T118" s="334"/>
    </row>
    <row r="119" spans="1:20" ht="12.75" x14ac:dyDescent="0.2">
      <c r="A119" s="362">
        <v>109</v>
      </c>
      <c r="B119" s="365" t="s">
        <v>167</v>
      </c>
      <c r="C119" s="366" t="s">
        <v>168</v>
      </c>
      <c r="D119" s="339">
        <f t="shared" si="8"/>
        <v>567</v>
      </c>
      <c r="E119" s="339">
        <v>0</v>
      </c>
      <c r="F119" s="339">
        <v>0</v>
      </c>
      <c r="G119" s="339">
        <v>525</v>
      </c>
      <c r="H119" s="339">
        <v>42</v>
      </c>
      <c r="I119" s="339">
        <f t="shared" si="9"/>
        <v>567</v>
      </c>
      <c r="J119" s="339">
        <v>0</v>
      </c>
      <c r="K119" s="339">
        <v>0</v>
      </c>
      <c r="L119" s="339">
        <v>525</v>
      </c>
      <c r="M119" s="339">
        <v>42</v>
      </c>
      <c r="O119" s="341"/>
      <c r="T119" s="334"/>
    </row>
    <row r="120" spans="1:20" ht="12.75" x14ac:dyDescent="0.2">
      <c r="A120" s="362">
        <v>110</v>
      </c>
      <c r="B120" s="363" t="s">
        <v>169</v>
      </c>
      <c r="C120" s="364" t="s">
        <v>170</v>
      </c>
      <c r="D120" s="339">
        <f t="shared" si="8"/>
        <v>1948</v>
      </c>
      <c r="E120" s="339">
        <v>0</v>
      </c>
      <c r="F120" s="339">
        <v>0</v>
      </c>
      <c r="G120" s="339">
        <v>1948</v>
      </c>
      <c r="H120" s="339">
        <v>0</v>
      </c>
      <c r="I120" s="339">
        <f t="shared" si="9"/>
        <v>1198</v>
      </c>
      <c r="J120" s="339">
        <v>0</v>
      </c>
      <c r="K120" s="339">
        <v>0</v>
      </c>
      <c r="L120" s="339">
        <v>1198</v>
      </c>
      <c r="M120" s="339">
        <v>0</v>
      </c>
      <c r="O120" s="341"/>
      <c r="T120" s="334"/>
    </row>
    <row r="121" spans="1:20" ht="12.75" x14ac:dyDescent="0.2">
      <c r="A121" s="362">
        <v>111</v>
      </c>
      <c r="B121" s="363" t="s">
        <v>171</v>
      </c>
      <c r="C121" s="364" t="s">
        <v>491</v>
      </c>
      <c r="D121" s="339">
        <f t="shared" si="8"/>
        <v>1955</v>
      </c>
      <c r="E121" s="339">
        <v>0</v>
      </c>
      <c r="F121" s="339">
        <v>0</v>
      </c>
      <c r="G121" s="339">
        <v>1900</v>
      </c>
      <c r="H121" s="339">
        <v>55</v>
      </c>
      <c r="I121" s="339">
        <f t="shared" si="9"/>
        <v>1165</v>
      </c>
      <c r="J121" s="339">
        <v>0</v>
      </c>
      <c r="K121" s="339">
        <v>0</v>
      </c>
      <c r="L121" s="339">
        <v>1110</v>
      </c>
      <c r="M121" s="339">
        <v>55</v>
      </c>
      <c r="O121" s="341"/>
      <c r="T121" s="334"/>
    </row>
    <row r="122" spans="1:20" ht="12.75" x14ac:dyDescent="0.2">
      <c r="A122" s="362">
        <v>112</v>
      </c>
      <c r="B122" s="363" t="s">
        <v>373</v>
      </c>
      <c r="C122" s="366" t="s">
        <v>492</v>
      </c>
      <c r="D122" s="339">
        <f t="shared" si="8"/>
        <v>0</v>
      </c>
      <c r="E122" s="339">
        <v>0</v>
      </c>
      <c r="F122" s="339">
        <v>0</v>
      </c>
      <c r="G122" s="339">
        <v>0</v>
      </c>
      <c r="H122" s="339">
        <v>0</v>
      </c>
      <c r="I122" s="339">
        <f t="shared" si="9"/>
        <v>0</v>
      </c>
      <c r="J122" s="339">
        <v>0</v>
      </c>
      <c r="K122" s="339">
        <v>0</v>
      </c>
      <c r="L122" s="339">
        <v>0</v>
      </c>
      <c r="M122" s="339">
        <v>0</v>
      </c>
      <c r="O122" s="341"/>
      <c r="T122" s="334"/>
    </row>
    <row r="123" spans="1:20" x14ac:dyDescent="0.2">
      <c r="A123" s="362">
        <v>113</v>
      </c>
      <c r="B123" s="237" t="s">
        <v>493</v>
      </c>
      <c r="C123" s="234" t="s">
        <v>494</v>
      </c>
      <c r="D123" s="339">
        <f t="shared" si="8"/>
        <v>0</v>
      </c>
      <c r="E123" s="339">
        <v>0</v>
      </c>
      <c r="F123" s="339">
        <v>0</v>
      </c>
      <c r="G123" s="339">
        <v>0</v>
      </c>
      <c r="H123" s="339">
        <v>0</v>
      </c>
      <c r="I123" s="339">
        <f t="shared" si="9"/>
        <v>0</v>
      </c>
      <c r="J123" s="339">
        <v>0</v>
      </c>
      <c r="K123" s="339">
        <v>0</v>
      </c>
      <c r="L123" s="339">
        <v>0</v>
      </c>
      <c r="M123" s="339">
        <v>0</v>
      </c>
      <c r="O123" s="341"/>
      <c r="T123" s="334"/>
    </row>
    <row r="124" spans="1:20" ht="12.75" x14ac:dyDescent="0.2">
      <c r="A124" s="362">
        <v>114</v>
      </c>
      <c r="B124" s="365" t="s">
        <v>375</v>
      </c>
      <c r="C124" s="366" t="s">
        <v>495</v>
      </c>
      <c r="D124" s="339">
        <f t="shared" si="8"/>
        <v>0</v>
      </c>
      <c r="E124" s="339">
        <v>0</v>
      </c>
      <c r="F124" s="339">
        <v>0</v>
      </c>
      <c r="G124" s="339">
        <v>0</v>
      </c>
      <c r="H124" s="339">
        <v>0</v>
      </c>
      <c r="I124" s="339">
        <f t="shared" si="9"/>
        <v>0</v>
      </c>
      <c r="J124" s="339">
        <v>0</v>
      </c>
      <c r="K124" s="339">
        <v>0</v>
      </c>
      <c r="L124" s="339">
        <v>0</v>
      </c>
      <c r="M124" s="339">
        <v>0</v>
      </c>
      <c r="O124" s="341"/>
      <c r="T124" s="334"/>
    </row>
    <row r="125" spans="1:20" ht="12.75" x14ac:dyDescent="0.2">
      <c r="A125" s="362">
        <v>115</v>
      </c>
      <c r="B125" s="365" t="s">
        <v>377</v>
      </c>
      <c r="C125" s="366" t="s">
        <v>496</v>
      </c>
      <c r="D125" s="339">
        <f t="shared" si="8"/>
        <v>0</v>
      </c>
      <c r="E125" s="339">
        <v>0</v>
      </c>
      <c r="F125" s="339">
        <v>0</v>
      </c>
      <c r="G125" s="339">
        <v>0</v>
      </c>
      <c r="H125" s="339">
        <v>0</v>
      </c>
      <c r="I125" s="339">
        <f t="shared" si="9"/>
        <v>0</v>
      </c>
      <c r="J125" s="339">
        <v>0</v>
      </c>
      <c r="K125" s="339">
        <v>0</v>
      </c>
      <c r="L125" s="339">
        <v>0</v>
      </c>
      <c r="M125" s="339">
        <v>0</v>
      </c>
      <c r="O125" s="341"/>
      <c r="T125" s="334"/>
    </row>
    <row r="126" spans="1:20" x14ac:dyDescent="0.2">
      <c r="A126" s="362">
        <v>116</v>
      </c>
      <c r="B126" s="248" t="s">
        <v>497</v>
      </c>
      <c r="C126" s="238" t="s">
        <v>498</v>
      </c>
      <c r="D126" s="339">
        <f t="shared" si="8"/>
        <v>0</v>
      </c>
      <c r="E126" s="339">
        <v>0</v>
      </c>
      <c r="F126" s="339">
        <v>0</v>
      </c>
      <c r="G126" s="339">
        <v>0</v>
      </c>
      <c r="H126" s="339">
        <v>0</v>
      </c>
      <c r="I126" s="339">
        <f t="shared" si="9"/>
        <v>0</v>
      </c>
      <c r="J126" s="339">
        <v>0</v>
      </c>
      <c r="K126" s="339">
        <v>0</v>
      </c>
      <c r="L126" s="339">
        <v>0</v>
      </c>
      <c r="M126" s="339">
        <v>0</v>
      </c>
      <c r="O126" s="341"/>
      <c r="T126" s="334"/>
    </row>
    <row r="127" spans="1:20" ht="24" x14ac:dyDescent="0.2">
      <c r="A127" s="362">
        <v>117</v>
      </c>
      <c r="B127" s="248" t="s">
        <v>379</v>
      </c>
      <c r="C127" s="238" t="s">
        <v>499</v>
      </c>
      <c r="D127" s="339">
        <f t="shared" si="8"/>
        <v>0</v>
      </c>
      <c r="E127" s="339">
        <v>0</v>
      </c>
      <c r="F127" s="339">
        <v>0</v>
      </c>
      <c r="G127" s="339">
        <v>0</v>
      </c>
      <c r="H127" s="339">
        <v>0</v>
      </c>
      <c r="I127" s="339">
        <f t="shared" si="9"/>
        <v>0</v>
      </c>
      <c r="J127" s="339">
        <v>0</v>
      </c>
      <c r="K127" s="339">
        <v>0</v>
      </c>
      <c r="L127" s="339">
        <v>0</v>
      </c>
      <c r="M127" s="339">
        <v>0</v>
      </c>
      <c r="O127" s="341"/>
      <c r="T127" s="334"/>
    </row>
    <row r="128" spans="1:20" x14ac:dyDescent="0.2">
      <c r="A128" s="362">
        <v>118</v>
      </c>
      <c r="B128" s="248" t="s">
        <v>172</v>
      </c>
      <c r="C128" s="238" t="s">
        <v>173</v>
      </c>
      <c r="D128" s="339">
        <f t="shared" si="8"/>
        <v>0</v>
      </c>
      <c r="E128" s="339">
        <v>0</v>
      </c>
      <c r="F128" s="339">
        <v>0</v>
      </c>
      <c r="G128" s="339">
        <v>0</v>
      </c>
      <c r="H128" s="339">
        <v>0</v>
      </c>
      <c r="I128" s="339">
        <f t="shared" si="9"/>
        <v>0</v>
      </c>
      <c r="J128" s="339">
        <v>0</v>
      </c>
      <c r="K128" s="339">
        <v>0</v>
      </c>
      <c r="L128" s="339">
        <v>0</v>
      </c>
      <c r="M128" s="339">
        <v>0</v>
      </c>
      <c r="O128" s="341"/>
      <c r="T128" s="334"/>
    </row>
    <row r="129" spans="1:20" ht="12.75" x14ac:dyDescent="0.2">
      <c r="A129" s="362">
        <v>119</v>
      </c>
      <c r="B129" s="365" t="s">
        <v>381</v>
      </c>
      <c r="C129" s="366" t="s">
        <v>500</v>
      </c>
      <c r="D129" s="339">
        <f t="shared" si="8"/>
        <v>0</v>
      </c>
      <c r="E129" s="375">
        <v>0</v>
      </c>
      <c r="F129" s="375">
        <v>0</v>
      </c>
      <c r="G129" s="375">
        <v>0</v>
      </c>
      <c r="H129" s="375">
        <v>0</v>
      </c>
      <c r="I129" s="339">
        <f t="shared" si="9"/>
        <v>0</v>
      </c>
      <c r="J129" s="375">
        <v>0</v>
      </c>
      <c r="K129" s="375">
        <v>0</v>
      </c>
      <c r="L129" s="375">
        <v>0</v>
      </c>
      <c r="M129" s="375">
        <v>0</v>
      </c>
      <c r="O129" s="341"/>
      <c r="T129" s="334"/>
    </row>
    <row r="130" spans="1:20" x14ac:dyDescent="0.2">
      <c r="A130" s="362">
        <v>120</v>
      </c>
      <c r="B130" s="354" t="s">
        <v>174</v>
      </c>
      <c r="C130" s="355" t="s">
        <v>175</v>
      </c>
      <c r="D130" s="339">
        <f t="shared" si="8"/>
        <v>0</v>
      </c>
      <c r="E130" s="375">
        <v>0</v>
      </c>
      <c r="F130" s="375">
        <v>0</v>
      </c>
      <c r="G130" s="375">
        <v>0</v>
      </c>
      <c r="H130" s="375">
        <v>0</v>
      </c>
      <c r="I130" s="339">
        <f t="shared" si="9"/>
        <v>0</v>
      </c>
      <c r="J130" s="375">
        <v>0</v>
      </c>
      <c r="K130" s="375">
        <v>0</v>
      </c>
      <c r="L130" s="375">
        <v>0</v>
      </c>
      <c r="M130" s="375">
        <v>0</v>
      </c>
      <c r="O130" s="341"/>
      <c r="T130" s="334"/>
    </row>
    <row r="131" spans="1:20" ht="12.75" x14ac:dyDescent="0.2">
      <c r="A131" s="362">
        <v>121</v>
      </c>
      <c r="B131" s="252" t="s">
        <v>176</v>
      </c>
      <c r="C131" s="292" t="s">
        <v>526</v>
      </c>
      <c r="D131" s="339">
        <f t="shared" si="8"/>
        <v>0</v>
      </c>
      <c r="E131" s="375">
        <v>0</v>
      </c>
      <c r="F131" s="375">
        <v>0</v>
      </c>
      <c r="G131" s="375">
        <v>0</v>
      </c>
      <c r="H131" s="375">
        <v>0</v>
      </c>
      <c r="I131" s="339">
        <f t="shared" si="9"/>
        <v>0</v>
      </c>
      <c r="J131" s="375">
        <v>0</v>
      </c>
      <c r="K131" s="375">
        <v>0</v>
      </c>
      <c r="L131" s="375">
        <v>0</v>
      </c>
      <c r="M131" s="375">
        <v>0</v>
      </c>
      <c r="O131" s="341"/>
      <c r="T131" s="334"/>
    </row>
    <row r="132" spans="1:20" x14ac:dyDescent="0.2">
      <c r="A132" s="362">
        <v>122</v>
      </c>
      <c r="B132" s="248" t="s">
        <v>383</v>
      </c>
      <c r="C132" s="238" t="s">
        <v>501</v>
      </c>
      <c r="D132" s="339">
        <f t="shared" si="8"/>
        <v>0</v>
      </c>
      <c r="E132" s="375">
        <v>0</v>
      </c>
      <c r="F132" s="375">
        <v>0</v>
      </c>
      <c r="G132" s="375">
        <v>0</v>
      </c>
      <c r="H132" s="375">
        <v>0</v>
      </c>
      <c r="I132" s="339">
        <f t="shared" si="9"/>
        <v>0</v>
      </c>
      <c r="J132" s="375">
        <v>0</v>
      </c>
      <c r="K132" s="375">
        <v>0</v>
      </c>
      <c r="L132" s="375">
        <v>0</v>
      </c>
      <c r="M132" s="375">
        <v>0</v>
      </c>
      <c r="O132" s="341"/>
      <c r="T132" s="334"/>
    </row>
    <row r="133" spans="1:20" x14ac:dyDescent="0.2">
      <c r="A133" s="362">
        <v>123</v>
      </c>
      <c r="B133" s="237" t="s">
        <v>502</v>
      </c>
      <c r="C133" s="253" t="s">
        <v>503</v>
      </c>
      <c r="D133" s="339">
        <f t="shared" si="8"/>
        <v>0</v>
      </c>
      <c r="E133" s="375">
        <v>0</v>
      </c>
      <c r="F133" s="375">
        <v>0</v>
      </c>
      <c r="G133" s="375">
        <v>0</v>
      </c>
      <c r="H133" s="375">
        <v>0</v>
      </c>
      <c r="I133" s="339">
        <f t="shared" si="9"/>
        <v>0</v>
      </c>
      <c r="J133" s="375">
        <v>0</v>
      </c>
      <c r="K133" s="375">
        <v>0</v>
      </c>
      <c r="L133" s="375">
        <v>0</v>
      </c>
      <c r="M133" s="375">
        <v>0</v>
      </c>
      <c r="O133" s="341"/>
      <c r="T133" s="334"/>
    </row>
    <row r="134" spans="1:20" ht="24" x14ac:dyDescent="0.2">
      <c r="A134" s="362">
        <v>124</v>
      </c>
      <c r="B134" s="248" t="s">
        <v>504</v>
      </c>
      <c r="C134" s="238" t="s">
        <v>505</v>
      </c>
      <c r="D134" s="339">
        <f t="shared" si="8"/>
        <v>0</v>
      </c>
      <c r="E134" s="375">
        <v>0</v>
      </c>
      <c r="F134" s="375">
        <v>0</v>
      </c>
      <c r="G134" s="375">
        <v>0</v>
      </c>
      <c r="H134" s="375">
        <v>0</v>
      </c>
      <c r="I134" s="339">
        <f t="shared" si="9"/>
        <v>0</v>
      </c>
      <c r="J134" s="375">
        <v>0</v>
      </c>
      <c r="K134" s="375">
        <v>0</v>
      </c>
      <c r="L134" s="375">
        <v>0</v>
      </c>
      <c r="M134" s="375">
        <v>0</v>
      </c>
      <c r="O134" s="341"/>
      <c r="T134" s="334"/>
    </row>
    <row r="135" spans="1:20" ht="24" x14ac:dyDescent="0.2">
      <c r="A135" s="362">
        <v>125</v>
      </c>
      <c r="B135" s="248" t="s">
        <v>177</v>
      </c>
      <c r="C135" s="238" t="s">
        <v>178</v>
      </c>
      <c r="D135" s="339">
        <f t="shared" si="8"/>
        <v>0</v>
      </c>
      <c r="E135" s="375">
        <v>0</v>
      </c>
      <c r="F135" s="375">
        <v>0</v>
      </c>
      <c r="G135" s="375">
        <v>0</v>
      </c>
      <c r="H135" s="375">
        <v>0</v>
      </c>
      <c r="I135" s="339">
        <f t="shared" si="9"/>
        <v>0</v>
      </c>
      <c r="J135" s="375">
        <v>0</v>
      </c>
      <c r="K135" s="375">
        <v>0</v>
      </c>
      <c r="L135" s="375">
        <v>0</v>
      </c>
      <c r="M135" s="375">
        <v>0</v>
      </c>
      <c r="O135" s="341"/>
      <c r="T135" s="334"/>
    </row>
    <row r="136" spans="1:20" ht="14.25" customHeight="1" x14ac:dyDescent="0.2">
      <c r="A136" s="362">
        <v>126</v>
      </c>
      <c r="B136" s="363" t="s">
        <v>179</v>
      </c>
      <c r="C136" s="366" t="s">
        <v>506</v>
      </c>
      <c r="D136" s="339">
        <f t="shared" si="8"/>
        <v>0</v>
      </c>
      <c r="E136" s="375">
        <v>0</v>
      </c>
      <c r="F136" s="375">
        <v>0</v>
      </c>
      <c r="G136" s="375">
        <v>0</v>
      </c>
      <c r="H136" s="375">
        <v>0</v>
      </c>
      <c r="I136" s="339">
        <f t="shared" si="9"/>
        <v>0</v>
      </c>
      <c r="J136" s="375">
        <v>0</v>
      </c>
      <c r="K136" s="375">
        <v>0</v>
      </c>
      <c r="L136" s="375">
        <v>0</v>
      </c>
      <c r="M136" s="375">
        <v>0</v>
      </c>
      <c r="O136" s="341"/>
      <c r="T136" s="334"/>
    </row>
    <row r="137" spans="1:20" ht="14.25" customHeight="1" x14ac:dyDescent="0.2">
      <c r="A137" s="362">
        <v>127</v>
      </c>
      <c r="B137" s="254" t="s">
        <v>507</v>
      </c>
      <c r="C137" s="255" t="s">
        <v>508</v>
      </c>
      <c r="D137" s="339">
        <f t="shared" si="8"/>
        <v>0</v>
      </c>
      <c r="E137" s="375">
        <v>0</v>
      </c>
      <c r="F137" s="375">
        <v>0</v>
      </c>
      <c r="G137" s="375">
        <v>0</v>
      </c>
      <c r="H137" s="375">
        <v>0</v>
      </c>
      <c r="I137" s="339">
        <f t="shared" si="9"/>
        <v>0</v>
      </c>
      <c r="J137" s="375">
        <v>0</v>
      </c>
      <c r="K137" s="375">
        <v>0</v>
      </c>
      <c r="L137" s="375">
        <v>0</v>
      </c>
      <c r="M137" s="375">
        <v>0</v>
      </c>
      <c r="O137" s="341"/>
      <c r="T137" s="334"/>
    </row>
    <row r="138" spans="1:20" ht="14.25" customHeight="1" x14ac:dyDescent="0.2">
      <c r="A138" s="362">
        <v>128</v>
      </c>
      <c r="B138" s="248" t="s">
        <v>509</v>
      </c>
      <c r="C138" s="238" t="s">
        <v>510</v>
      </c>
      <c r="D138" s="339">
        <f t="shared" si="8"/>
        <v>0</v>
      </c>
      <c r="E138" s="375">
        <v>0</v>
      </c>
      <c r="F138" s="375">
        <v>0</v>
      </c>
      <c r="G138" s="375">
        <v>0</v>
      </c>
      <c r="H138" s="375">
        <v>0</v>
      </c>
      <c r="I138" s="339">
        <f t="shared" si="9"/>
        <v>0</v>
      </c>
      <c r="J138" s="375">
        <v>0</v>
      </c>
      <c r="K138" s="375">
        <v>0</v>
      </c>
      <c r="L138" s="375">
        <v>0</v>
      </c>
      <c r="M138" s="375">
        <v>0</v>
      </c>
      <c r="O138" s="341"/>
      <c r="T138" s="334"/>
    </row>
    <row r="139" spans="1:20" ht="12.75" x14ac:dyDescent="0.2">
      <c r="A139" s="362">
        <v>129</v>
      </c>
      <c r="B139" s="363" t="s">
        <v>386</v>
      </c>
      <c r="C139" s="364" t="s">
        <v>511</v>
      </c>
      <c r="D139" s="339">
        <f t="shared" si="8"/>
        <v>0</v>
      </c>
      <c r="E139" s="375">
        <v>0</v>
      </c>
      <c r="F139" s="375">
        <v>0</v>
      </c>
      <c r="G139" s="375">
        <v>0</v>
      </c>
      <c r="H139" s="375">
        <v>0</v>
      </c>
      <c r="I139" s="339">
        <f t="shared" si="9"/>
        <v>0</v>
      </c>
      <c r="J139" s="375">
        <v>0</v>
      </c>
      <c r="K139" s="375">
        <v>0</v>
      </c>
      <c r="L139" s="375">
        <v>0</v>
      </c>
      <c r="M139" s="375">
        <v>0</v>
      </c>
      <c r="O139" s="341"/>
      <c r="T139" s="334"/>
    </row>
    <row r="140" spans="1:20" x14ac:dyDescent="0.2">
      <c r="A140" s="362">
        <v>130</v>
      </c>
      <c r="B140" s="246" t="s">
        <v>388</v>
      </c>
      <c r="C140" s="234" t="s">
        <v>512</v>
      </c>
      <c r="D140" s="339">
        <f t="shared" ref="D140:D158" si="10">E140+F140+G140+H140</f>
        <v>0</v>
      </c>
      <c r="E140" s="375">
        <v>0</v>
      </c>
      <c r="F140" s="375">
        <v>0</v>
      </c>
      <c r="G140" s="375">
        <v>0</v>
      </c>
      <c r="H140" s="375">
        <v>0</v>
      </c>
      <c r="I140" s="339">
        <f t="shared" ref="I140:I158" si="11">J140+K140+L140+M140</f>
        <v>0</v>
      </c>
      <c r="J140" s="375">
        <v>0</v>
      </c>
      <c r="K140" s="375">
        <v>0</v>
      </c>
      <c r="L140" s="375">
        <v>0</v>
      </c>
      <c r="M140" s="375">
        <v>0</v>
      </c>
      <c r="O140" s="341"/>
      <c r="T140" s="334"/>
    </row>
    <row r="141" spans="1:20" ht="12.75" x14ac:dyDescent="0.2">
      <c r="A141" s="362">
        <v>131</v>
      </c>
      <c r="B141" s="365" t="s">
        <v>390</v>
      </c>
      <c r="C141" s="366" t="s">
        <v>513</v>
      </c>
      <c r="D141" s="339">
        <f t="shared" si="10"/>
        <v>0</v>
      </c>
      <c r="E141" s="375">
        <v>0</v>
      </c>
      <c r="F141" s="375">
        <v>0</v>
      </c>
      <c r="G141" s="375">
        <v>0</v>
      </c>
      <c r="H141" s="375">
        <v>0</v>
      </c>
      <c r="I141" s="339">
        <f t="shared" si="11"/>
        <v>0</v>
      </c>
      <c r="J141" s="375">
        <v>0</v>
      </c>
      <c r="K141" s="375">
        <v>0</v>
      </c>
      <c r="L141" s="375">
        <v>0</v>
      </c>
      <c r="M141" s="375">
        <v>0</v>
      </c>
      <c r="O141" s="341"/>
      <c r="T141" s="334"/>
    </row>
    <row r="142" spans="1:20" x14ac:dyDescent="0.2">
      <c r="A142" s="362">
        <v>132</v>
      </c>
      <c r="B142" s="248" t="s">
        <v>514</v>
      </c>
      <c r="C142" s="238" t="s">
        <v>515</v>
      </c>
      <c r="D142" s="339">
        <f t="shared" si="10"/>
        <v>0</v>
      </c>
      <c r="E142" s="375">
        <v>0</v>
      </c>
      <c r="F142" s="375">
        <v>0</v>
      </c>
      <c r="G142" s="375">
        <v>0</v>
      </c>
      <c r="H142" s="375">
        <v>0</v>
      </c>
      <c r="I142" s="339">
        <f t="shared" si="11"/>
        <v>0</v>
      </c>
      <c r="J142" s="375">
        <v>0</v>
      </c>
      <c r="K142" s="375">
        <v>0</v>
      </c>
      <c r="L142" s="375">
        <v>0</v>
      </c>
      <c r="M142" s="375">
        <v>0</v>
      </c>
      <c r="O142" s="341"/>
      <c r="T142" s="334"/>
    </row>
    <row r="143" spans="1:20" ht="12.75" x14ac:dyDescent="0.2">
      <c r="A143" s="362">
        <v>133</v>
      </c>
      <c r="B143" s="365" t="s">
        <v>15</v>
      </c>
      <c r="C143" s="366" t="s">
        <v>180</v>
      </c>
      <c r="D143" s="339">
        <f t="shared" si="10"/>
        <v>0</v>
      </c>
      <c r="E143" s="375">
        <v>0</v>
      </c>
      <c r="F143" s="375">
        <v>0</v>
      </c>
      <c r="G143" s="375">
        <v>0</v>
      </c>
      <c r="H143" s="375">
        <v>0</v>
      </c>
      <c r="I143" s="339">
        <f t="shared" si="11"/>
        <v>0</v>
      </c>
      <c r="J143" s="375">
        <v>0</v>
      </c>
      <c r="K143" s="375">
        <v>0</v>
      </c>
      <c r="L143" s="375">
        <v>0</v>
      </c>
      <c r="M143" s="375">
        <v>0</v>
      </c>
      <c r="O143" s="341"/>
      <c r="T143" s="334"/>
    </row>
    <row r="144" spans="1:20" ht="12.75" x14ac:dyDescent="0.2">
      <c r="A144" s="362">
        <v>134</v>
      </c>
      <c r="B144" s="365" t="s">
        <v>181</v>
      </c>
      <c r="C144" s="366" t="s">
        <v>182</v>
      </c>
      <c r="D144" s="339">
        <f t="shared" si="10"/>
        <v>0</v>
      </c>
      <c r="E144" s="375">
        <v>0</v>
      </c>
      <c r="F144" s="375">
        <v>0</v>
      </c>
      <c r="G144" s="375">
        <v>0</v>
      </c>
      <c r="H144" s="375">
        <v>0</v>
      </c>
      <c r="I144" s="339">
        <f t="shared" si="11"/>
        <v>0</v>
      </c>
      <c r="J144" s="375">
        <v>0</v>
      </c>
      <c r="K144" s="375">
        <v>0</v>
      </c>
      <c r="L144" s="375">
        <v>0</v>
      </c>
      <c r="M144" s="375">
        <v>0</v>
      </c>
      <c r="O144" s="341"/>
      <c r="T144" s="334"/>
    </row>
    <row r="145" spans="1:20" ht="12.75" x14ac:dyDescent="0.2">
      <c r="A145" s="362">
        <v>135</v>
      </c>
      <c r="B145" s="365" t="s">
        <v>14</v>
      </c>
      <c r="C145" s="366" t="s">
        <v>13</v>
      </c>
      <c r="D145" s="339">
        <f t="shared" si="10"/>
        <v>0</v>
      </c>
      <c r="E145" s="375">
        <v>0</v>
      </c>
      <c r="F145" s="375">
        <v>0</v>
      </c>
      <c r="G145" s="375">
        <v>0</v>
      </c>
      <c r="H145" s="375">
        <v>0</v>
      </c>
      <c r="I145" s="339">
        <f t="shared" si="11"/>
        <v>0</v>
      </c>
      <c r="J145" s="375">
        <v>0</v>
      </c>
      <c r="K145" s="375">
        <v>0</v>
      </c>
      <c r="L145" s="375">
        <v>0</v>
      </c>
      <c r="M145" s="375">
        <v>0</v>
      </c>
      <c r="O145" s="341"/>
      <c r="T145" s="334"/>
    </row>
    <row r="146" spans="1:20" ht="12.75" x14ac:dyDescent="0.2">
      <c r="A146" s="362">
        <v>136</v>
      </c>
      <c r="B146" s="363" t="s">
        <v>10</v>
      </c>
      <c r="C146" s="364" t="s">
        <v>7</v>
      </c>
      <c r="D146" s="339">
        <f t="shared" si="10"/>
        <v>0</v>
      </c>
      <c r="E146" s="375">
        <v>0</v>
      </c>
      <c r="F146" s="375">
        <v>0</v>
      </c>
      <c r="G146" s="375">
        <v>0</v>
      </c>
      <c r="H146" s="375">
        <v>0</v>
      </c>
      <c r="I146" s="339">
        <f t="shared" si="11"/>
        <v>0</v>
      </c>
      <c r="J146" s="375">
        <v>0</v>
      </c>
      <c r="K146" s="375">
        <v>0</v>
      </c>
      <c r="L146" s="375">
        <v>0</v>
      </c>
      <c r="M146" s="375">
        <v>0</v>
      </c>
      <c r="O146" s="341"/>
      <c r="T146" s="334"/>
    </row>
    <row r="147" spans="1:20" ht="12.75" x14ac:dyDescent="0.2">
      <c r="A147" s="362">
        <v>137</v>
      </c>
      <c r="B147" s="365" t="s">
        <v>393</v>
      </c>
      <c r="C147" s="366" t="s">
        <v>516</v>
      </c>
      <c r="D147" s="339">
        <f t="shared" si="10"/>
        <v>0</v>
      </c>
      <c r="E147" s="375">
        <v>0</v>
      </c>
      <c r="F147" s="375">
        <v>0</v>
      </c>
      <c r="G147" s="375">
        <v>0</v>
      </c>
      <c r="H147" s="375">
        <v>0</v>
      </c>
      <c r="I147" s="339">
        <f t="shared" si="11"/>
        <v>0</v>
      </c>
      <c r="J147" s="375">
        <v>0</v>
      </c>
      <c r="K147" s="375">
        <v>0</v>
      </c>
      <c r="L147" s="375">
        <v>0</v>
      </c>
      <c r="M147" s="375">
        <v>0</v>
      </c>
      <c r="O147" s="341"/>
      <c r="T147" s="334"/>
    </row>
    <row r="148" spans="1:20" ht="12.75" x14ac:dyDescent="0.2">
      <c r="A148" s="362">
        <v>138</v>
      </c>
      <c r="B148" s="363" t="s">
        <v>183</v>
      </c>
      <c r="C148" s="366" t="s">
        <v>184</v>
      </c>
      <c r="D148" s="339">
        <f t="shared" si="10"/>
        <v>0</v>
      </c>
      <c r="E148" s="375">
        <v>0</v>
      </c>
      <c r="F148" s="375">
        <v>0</v>
      </c>
      <c r="G148" s="339">
        <v>0</v>
      </c>
      <c r="H148" s="339">
        <v>0</v>
      </c>
      <c r="I148" s="339">
        <f t="shared" si="11"/>
        <v>0</v>
      </c>
      <c r="J148" s="375">
        <v>0</v>
      </c>
      <c r="K148" s="375">
        <v>0</v>
      </c>
      <c r="L148" s="339">
        <v>0</v>
      </c>
      <c r="M148" s="339">
        <v>0</v>
      </c>
      <c r="O148" s="341"/>
      <c r="T148" s="334"/>
    </row>
    <row r="149" spans="1:20" ht="12.75" x14ac:dyDescent="0.2">
      <c r="A149" s="362">
        <v>139</v>
      </c>
      <c r="B149" s="367" t="s">
        <v>185</v>
      </c>
      <c r="C149" s="368" t="s">
        <v>186</v>
      </c>
      <c r="D149" s="339">
        <f t="shared" si="10"/>
        <v>0</v>
      </c>
      <c r="E149" s="375">
        <v>0</v>
      </c>
      <c r="F149" s="375">
        <v>0</v>
      </c>
      <c r="G149" s="339">
        <v>0</v>
      </c>
      <c r="H149" s="339">
        <v>0</v>
      </c>
      <c r="I149" s="339">
        <f t="shared" si="11"/>
        <v>0</v>
      </c>
      <c r="J149" s="375">
        <v>0</v>
      </c>
      <c r="K149" s="375">
        <v>0</v>
      </c>
      <c r="L149" s="339">
        <v>0</v>
      </c>
      <c r="M149" s="339">
        <v>0</v>
      </c>
      <c r="O149" s="341"/>
      <c r="T149" s="334"/>
    </row>
    <row r="150" spans="1:20" ht="12.75" x14ac:dyDescent="0.2">
      <c r="A150" s="362">
        <v>140</v>
      </c>
      <c r="B150" s="365" t="s">
        <v>187</v>
      </c>
      <c r="C150" s="366" t="s">
        <v>188</v>
      </c>
      <c r="D150" s="339">
        <f t="shared" si="10"/>
        <v>0</v>
      </c>
      <c r="E150" s="375">
        <v>0</v>
      </c>
      <c r="F150" s="375">
        <v>0</v>
      </c>
      <c r="G150" s="339">
        <v>0</v>
      </c>
      <c r="H150" s="339">
        <v>0</v>
      </c>
      <c r="I150" s="339">
        <f t="shared" si="11"/>
        <v>0</v>
      </c>
      <c r="J150" s="375">
        <v>0</v>
      </c>
      <c r="K150" s="375">
        <v>0</v>
      </c>
      <c r="L150" s="339">
        <v>0</v>
      </c>
      <c r="M150" s="339">
        <v>0</v>
      </c>
      <c r="O150" s="341"/>
      <c r="T150" s="334"/>
    </row>
    <row r="151" spans="1:20" ht="12.75" x14ac:dyDescent="0.2">
      <c r="A151" s="362">
        <v>141</v>
      </c>
      <c r="B151" s="365" t="s">
        <v>395</v>
      </c>
      <c r="C151" s="366" t="s">
        <v>396</v>
      </c>
      <c r="D151" s="339">
        <f t="shared" si="10"/>
        <v>0</v>
      </c>
      <c r="E151" s="375">
        <v>0</v>
      </c>
      <c r="F151" s="375">
        <v>0</v>
      </c>
      <c r="G151" s="339">
        <v>0</v>
      </c>
      <c r="H151" s="339">
        <v>0</v>
      </c>
      <c r="I151" s="339">
        <f t="shared" si="11"/>
        <v>0</v>
      </c>
      <c r="J151" s="375">
        <v>0</v>
      </c>
      <c r="K151" s="375">
        <v>0</v>
      </c>
      <c r="L151" s="339">
        <v>0</v>
      </c>
      <c r="M151" s="339">
        <v>0</v>
      </c>
      <c r="O151" s="341"/>
      <c r="T151" s="334"/>
    </row>
    <row r="152" spans="1:20" ht="12.75" x14ac:dyDescent="0.2">
      <c r="A152" s="362">
        <v>142</v>
      </c>
      <c r="B152" s="365" t="s">
        <v>189</v>
      </c>
      <c r="C152" s="366" t="s">
        <v>190</v>
      </c>
      <c r="D152" s="339">
        <f t="shared" si="10"/>
        <v>0</v>
      </c>
      <c r="E152" s="375">
        <v>0</v>
      </c>
      <c r="F152" s="375">
        <v>0</v>
      </c>
      <c r="G152" s="339">
        <v>0</v>
      </c>
      <c r="H152" s="339">
        <v>0</v>
      </c>
      <c r="I152" s="339">
        <f t="shared" si="11"/>
        <v>0</v>
      </c>
      <c r="J152" s="375">
        <v>0</v>
      </c>
      <c r="K152" s="375">
        <v>0</v>
      </c>
      <c r="L152" s="339">
        <v>0</v>
      </c>
      <c r="M152" s="339">
        <v>0</v>
      </c>
      <c r="O152" s="341"/>
      <c r="T152" s="334"/>
    </row>
    <row r="153" spans="1:20" ht="12.75" x14ac:dyDescent="0.2">
      <c r="A153" s="362">
        <v>143</v>
      </c>
      <c r="B153" s="367" t="s">
        <v>12</v>
      </c>
      <c r="C153" s="368" t="s">
        <v>2</v>
      </c>
      <c r="D153" s="339">
        <f t="shared" si="10"/>
        <v>0</v>
      </c>
      <c r="E153" s="375">
        <v>0</v>
      </c>
      <c r="F153" s="375">
        <v>0</v>
      </c>
      <c r="G153" s="339">
        <v>0</v>
      </c>
      <c r="H153" s="339">
        <v>0</v>
      </c>
      <c r="I153" s="339">
        <f t="shared" si="11"/>
        <v>0</v>
      </c>
      <c r="J153" s="375">
        <v>0</v>
      </c>
      <c r="K153" s="375">
        <v>0</v>
      </c>
      <c r="L153" s="339">
        <v>0</v>
      </c>
      <c r="M153" s="339">
        <v>0</v>
      </c>
      <c r="O153" s="341"/>
      <c r="T153" s="334"/>
    </row>
    <row r="154" spans="1:20" ht="12.75" x14ac:dyDescent="0.2">
      <c r="A154" s="362">
        <v>144</v>
      </c>
      <c r="B154" s="363" t="s">
        <v>3</v>
      </c>
      <c r="C154" s="368" t="s">
        <v>191</v>
      </c>
      <c r="D154" s="339">
        <f t="shared" si="10"/>
        <v>1430</v>
      </c>
      <c r="E154" s="375">
        <v>0</v>
      </c>
      <c r="F154" s="375">
        <v>0</v>
      </c>
      <c r="G154" s="339">
        <v>1030</v>
      </c>
      <c r="H154" s="339">
        <v>400</v>
      </c>
      <c r="I154" s="339">
        <f t="shared" si="11"/>
        <v>715</v>
      </c>
      <c r="J154" s="375">
        <v>0</v>
      </c>
      <c r="K154" s="375">
        <v>0</v>
      </c>
      <c r="L154" s="339">
        <v>515</v>
      </c>
      <c r="M154" s="339">
        <v>200</v>
      </c>
      <c r="O154" s="341"/>
      <c r="T154" s="334"/>
    </row>
    <row r="155" spans="1:20" ht="12.75" x14ac:dyDescent="0.2">
      <c r="A155" s="362">
        <v>145</v>
      </c>
      <c r="B155" s="365" t="s">
        <v>11</v>
      </c>
      <c r="C155" s="366" t="s">
        <v>8</v>
      </c>
      <c r="D155" s="339">
        <f t="shared" si="10"/>
        <v>0</v>
      </c>
      <c r="E155" s="375">
        <v>0</v>
      </c>
      <c r="F155" s="375">
        <v>0</v>
      </c>
      <c r="G155" s="339">
        <v>0</v>
      </c>
      <c r="H155" s="339">
        <v>0</v>
      </c>
      <c r="I155" s="339">
        <f t="shared" si="11"/>
        <v>0</v>
      </c>
      <c r="J155" s="375">
        <v>0</v>
      </c>
      <c r="K155" s="375">
        <v>0</v>
      </c>
      <c r="L155" s="339">
        <v>0</v>
      </c>
      <c r="M155" s="339">
        <v>0</v>
      </c>
      <c r="O155" s="341"/>
      <c r="T155" s="334"/>
    </row>
    <row r="156" spans="1:20" ht="12.75" x14ac:dyDescent="0.2">
      <c r="A156" s="362">
        <v>146</v>
      </c>
      <c r="B156" s="363" t="s">
        <v>398</v>
      </c>
      <c r="C156" s="364" t="s">
        <v>399</v>
      </c>
      <c r="D156" s="339">
        <f t="shared" si="10"/>
        <v>0</v>
      </c>
      <c r="E156" s="375">
        <v>0</v>
      </c>
      <c r="F156" s="375">
        <v>0</v>
      </c>
      <c r="G156" s="339">
        <v>0</v>
      </c>
      <c r="H156" s="339">
        <v>0</v>
      </c>
      <c r="I156" s="339">
        <f t="shared" si="11"/>
        <v>0</v>
      </c>
      <c r="J156" s="375">
        <v>0</v>
      </c>
      <c r="K156" s="375">
        <v>0</v>
      </c>
      <c r="L156" s="339">
        <v>0</v>
      </c>
      <c r="M156" s="339">
        <v>0</v>
      </c>
      <c r="O156" s="341"/>
      <c r="T156" s="334"/>
    </row>
    <row r="157" spans="1:20" x14ac:dyDescent="0.2">
      <c r="A157" s="362">
        <v>147</v>
      </c>
      <c r="B157" s="293" t="s">
        <v>400</v>
      </c>
      <c r="C157" s="234" t="s">
        <v>517</v>
      </c>
      <c r="D157" s="339">
        <f t="shared" si="10"/>
        <v>0</v>
      </c>
      <c r="E157" s="375">
        <v>0</v>
      </c>
      <c r="F157" s="375">
        <v>0</v>
      </c>
      <c r="G157" s="339">
        <v>0</v>
      </c>
      <c r="H157" s="339">
        <v>0</v>
      </c>
      <c r="I157" s="339">
        <f t="shared" si="11"/>
        <v>0</v>
      </c>
      <c r="J157" s="375">
        <v>0</v>
      </c>
      <c r="K157" s="375">
        <v>0</v>
      </c>
      <c r="L157" s="339">
        <v>0</v>
      </c>
      <c r="M157" s="339">
        <v>0</v>
      </c>
      <c r="O157" s="341"/>
      <c r="T157" s="334"/>
    </row>
    <row r="158" spans="1:20" ht="12.75" x14ac:dyDescent="0.2">
      <c r="A158" s="362">
        <v>148</v>
      </c>
      <c r="B158" s="294" t="s">
        <v>192</v>
      </c>
      <c r="C158" s="259" t="s">
        <v>193</v>
      </c>
      <c r="D158" s="339">
        <f t="shared" si="10"/>
        <v>0</v>
      </c>
      <c r="E158" s="375">
        <v>0</v>
      </c>
      <c r="F158" s="375">
        <v>0</v>
      </c>
      <c r="G158" s="339">
        <v>0</v>
      </c>
      <c r="H158" s="339">
        <v>0</v>
      </c>
      <c r="I158" s="339">
        <f t="shared" si="11"/>
        <v>0</v>
      </c>
      <c r="J158" s="375">
        <v>0</v>
      </c>
      <c r="K158" s="375">
        <v>0</v>
      </c>
      <c r="L158" s="339">
        <v>0</v>
      </c>
      <c r="M158" s="339">
        <v>0</v>
      </c>
      <c r="O158" s="341"/>
      <c r="T158" s="334"/>
    </row>
    <row r="159" spans="1:20" hidden="1" x14ac:dyDescent="0.2"/>
    <row r="160" spans="1:20" hidden="1" x14ac:dyDescent="0.2">
      <c r="B160" s="376" t="s">
        <v>547</v>
      </c>
      <c r="C160" s="377"/>
      <c r="D160" s="377"/>
      <c r="E160" s="376">
        <f>E10*4.2*137.73</f>
        <v>2258331.2639999995</v>
      </c>
      <c r="F160" s="376">
        <f>F10*4.2*151.5</f>
        <v>22773177</v>
      </c>
      <c r="G160" s="376">
        <f>G10*4.2*137.73</f>
        <v>37489224.528000005</v>
      </c>
      <c r="H160" s="376">
        <f>H10*4.2*151.5</f>
        <v>21666015</v>
      </c>
      <c r="I160" s="377"/>
      <c r="J160" s="376">
        <f>J10*4.2*137.73</f>
        <v>1400466.186</v>
      </c>
      <c r="K160" s="376">
        <f>K10*4.2*151.5</f>
        <v>12423121.200000001</v>
      </c>
      <c r="L160" s="376">
        <f>L10*4.2*137.73</f>
        <v>26010723.689999998</v>
      </c>
      <c r="M160" s="376">
        <f>M10*4.2*151.5</f>
        <v>12681459</v>
      </c>
    </row>
    <row r="161" spans="2:13" hidden="1" x14ac:dyDescent="0.2">
      <c r="B161" s="376"/>
      <c r="C161" s="377"/>
      <c r="D161" s="377"/>
      <c r="E161" s="376"/>
      <c r="F161" s="376"/>
      <c r="G161" s="376"/>
      <c r="H161" s="376"/>
      <c r="I161" s="377"/>
      <c r="J161" s="376"/>
      <c r="K161" s="376"/>
      <c r="L161" s="376"/>
      <c r="M161" s="376"/>
    </row>
    <row r="162" spans="2:13" hidden="1" x14ac:dyDescent="0.2">
      <c r="B162" s="376" t="s">
        <v>548</v>
      </c>
      <c r="C162" s="377"/>
      <c r="D162" s="377"/>
      <c r="E162" s="376">
        <f>E160/2</f>
        <v>1129165.6319999998</v>
      </c>
      <c r="F162" s="376">
        <f>F160/2</f>
        <v>11386588.5</v>
      </c>
      <c r="G162" s="376">
        <f>G160/2</f>
        <v>18744612.264000002</v>
      </c>
      <c r="H162" s="376">
        <f>H160/2</f>
        <v>10833007.5</v>
      </c>
      <c r="I162" s="377"/>
      <c r="J162" s="376">
        <f>J160/2</f>
        <v>700233.09299999999</v>
      </c>
      <c r="K162" s="376">
        <f>K160/2</f>
        <v>6211560.6000000006</v>
      </c>
      <c r="L162" s="376">
        <f>L160/2</f>
        <v>13005361.844999999</v>
      </c>
      <c r="M162" s="376">
        <f>M160/2</f>
        <v>6340729.5</v>
      </c>
    </row>
    <row r="163" spans="2:13" hidden="1" x14ac:dyDescent="0.2">
      <c r="B163" s="376"/>
      <c r="C163" s="377"/>
      <c r="D163" s="377"/>
      <c r="E163" s="376"/>
      <c r="F163" s="376"/>
      <c r="G163" s="376"/>
      <c r="H163" s="376"/>
      <c r="I163" s="377"/>
      <c r="J163" s="376"/>
      <c r="K163" s="376"/>
      <c r="L163" s="376"/>
      <c r="M163" s="376"/>
    </row>
    <row r="164" spans="2:13" hidden="1" x14ac:dyDescent="0.2">
      <c r="B164" s="376" t="s">
        <v>549</v>
      </c>
      <c r="C164" s="377"/>
      <c r="D164" s="377"/>
      <c r="E164" s="376">
        <f t="shared" ref="E164:H164" si="12">E160-E162</f>
        <v>1129165.6319999998</v>
      </c>
      <c r="F164" s="376">
        <f t="shared" si="12"/>
        <v>11386588.5</v>
      </c>
      <c r="G164" s="376">
        <f t="shared" si="12"/>
        <v>18744612.264000002</v>
      </c>
      <c r="H164" s="376">
        <f t="shared" si="12"/>
        <v>10833007.5</v>
      </c>
      <c r="I164" s="377"/>
      <c r="J164" s="376">
        <f t="shared" ref="J164:M164" si="13">J160-J162</f>
        <v>700233.09299999999</v>
      </c>
      <c r="K164" s="376">
        <f t="shared" si="13"/>
        <v>6211560.6000000006</v>
      </c>
      <c r="L164" s="376">
        <f t="shared" si="13"/>
        <v>13005361.844999999</v>
      </c>
      <c r="M164" s="376">
        <f t="shared" si="13"/>
        <v>6340729.5</v>
      </c>
    </row>
    <row r="165" spans="2:13" hidden="1" x14ac:dyDescent="0.2">
      <c r="B165" s="376"/>
      <c r="C165" s="377"/>
      <c r="D165" s="377"/>
      <c r="E165" s="376"/>
      <c r="F165" s="376"/>
      <c r="G165" s="376"/>
      <c r="H165" s="376"/>
      <c r="I165" s="377"/>
      <c r="J165" s="376"/>
      <c r="K165" s="376"/>
      <c r="L165" s="376"/>
      <c r="M165" s="376"/>
    </row>
    <row r="166" spans="2:13" hidden="1" x14ac:dyDescent="0.2">
      <c r="B166" s="376" t="s">
        <v>550</v>
      </c>
      <c r="C166" s="377"/>
      <c r="D166" s="377"/>
      <c r="E166" s="846">
        <f>E164+F164+G164+H164</f>
        <v>42093373.895999998</v>
      </c>
      <c r="F166" s="846"/>
      <c r="G166" s="846"/>
      <c r="H166" s="846"/>
      <c r="I166" s="377"/>
      <c r="J166" s="846">
        <f>J164+K164+L164+M164</f>
        <v>26257885.037999999</v>
      </c>
      <c r="K166" s="846"/>
      <c r="L166" s="846"/>
      <c r="M166" s="846"/>
    </row>
    <row r="167" spans="2:13" hidden="1" x14ac:dyDescent="0.2">
      <c r="B167" s="377"/>
      <c r="C167" s="377"/>
      <c r="D167" s="377"/>
      <c r="E167" s="377"/>
      <c r="F167" s="377"/>
      <c r="G167" s="377"/>
      <c r="H167" s="377"/>
      <c r="I167" s="377"/>
      <c r="J167" s="377"/>
      <c r="K167" s="377"/>
      <c r="L167" s="377"/>
      <c r="M167" s="377"/>
    </row>
    <row r="168" spans="2:13" hidden="1" x14ac:dyDescent="0.2">
      <c r="B168" s="378" t="s">
        <v>551</v>
      </c>
      <c r="C168" s="379"/>
      <c r="D168" s="379"/>
      <c r="E168" s="843">
        <f>E166/2</f>
        <v>21046686.947999999</v>
      </c>
      <c r="F168" s="843"/>
      <c r="G168" s="843"/>
      <c r="H168" s="844"/>
      <c r="I168" s="379"/>
      <c r="J168" s="843">
        <f>J166/2</f>
        <v>13128942.518999999</v>
      </c>
      <c r="K168" s="843"/>
      <c r="L168" s="843"/>
      <c r="M168" s="844"/>
    </row>
    <row r="169" spans="2:13" hidden="1" x14ac:dyDescent="0.2"/>
    <row r="170" spans="2:13" hidden="1" x14ac:dyDescent="0.2"/>
    <row r="171" spans="2:13" hidden="1" x14ac:dyDescent="0.2"/>
    <row r="172" spans="2:13" hidden="1" x14ac:dyDescent="0.2"/>
  </sheetData>
  <mergeCells count="24">
    <mergeCell ref="A8:C8"/>
    <mergeCell ref="A9:C9"/>
    <mergeCell ref="A10:C10"/>
    <mergeCell ref="E166:H166"/>
    <mergeCell ref="J166:M166"/>
    <mergeCell ref="E168:H168"/>
    <mergeCell ref="J168:M168"/>
    <mergeCell ref="I4:I6"/>
    <mergeCell ref="J4:K4"/>
    <mergeCell ref="L4:M4"/>
    <mergeCell ref="E5:F5"/>
    <mergeCell ref="G5:H5"/>
    <mergeCell ref="J5:K5"/>
    <mergeCell ref="L5:M5"/>
    <mergeCell ref="A1:M1"/>
    <mergeCell ref="A2:A6"/>
    <mergeCell ref="B2:B6"/>
    <mergeCell ref="C2:C6"/>
    <mergeCell ref="D2:H2"/>
    <mergeCell ref="I2:M3"/>
    <mergeCell ref="D3:D6"/>
    <mergeCell ref="E3:H3"/>
    <mergeCell ref="E4:F4"/>
    <mergeCell ref="G4:H4"/>
  </mergeCells>
  <pageMargins left="0.55118110236220474" right="0.19685039370078741" top="0.74803149606299213" bottom="0.43307086614173229" header="0.31496062992125984" footer="0.31496062992125984"/>
  <pageSetup paperSize="9"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1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38" sqref="E38"/>
    </sheetView>
  </sheetViews>
  <sheetFormatPr defaultRowHeight="12.75" x14ac:dyDescent="0.2"/>
  <cols>
    <col min="1" max="1" width="4.140625" style="399" customWidth="1"/>
    <col min="2" max="2" width="7.5703125" style="399" customWidth="1"/>
    <col min="3" max="3" width="34.7109375" style="399" customWidth="1"/>
    <col min="4" max="10" width="15.7109375" style="399" customWidth="1"/>
    <col min="11" max="16384" width="9.140625" style="399"/>
  </cols>
  <sheetData>
    <row r="2" spans="1:11" ht="18.75" customHeight="1" x14ac:dyDescent="0.25">
      <c r="B2" s="850" t="s">
        <v>552</v>
      </c>
      <c r="C2" s="850"/>
      <c r="D2" s="850"/>
      <c r="E2" s="850"/>
      <c r="F2" s="850"/>
      <c r="G2" s="850"/>
      <c r="H2" s="850"/>
      <c r="I2" s="850"/>
      <c r="J2" s="850"/>
    </row>
    <row r="4" spans="1:11" ht="12.75" customHeight="1" x14ac:dyDescent="0.2">
      <c r="A4" s="851" t="s">
        <v>553</v>
      </c>
      <c r="B4" s="852" t="s">
        <v>431</v>
      </c>
      <c r="C4" s="855" t="s">
        <v>432</v>
      </c>
      <c r="D4" s="856" t="s">
        <v>554</v>
      </c>
      <c r="E4" s="856" t="s">
        <v>284</v>
      </c>
      <c r="F4" s="856"/>
      <c r="G4" s="856" t="s">
        <v>555</v>
      </c>
      <c r="H4" s="856"/>
      <c r="I4" s="856"/>
      <c r="J4" s="856"/>
      <c r="K4" s="400"/>
    </row>
    <row r="5" spans="1:11" x14ac:dyDescent="0.2">
      <c r="A5" s="851"/>
      <c r="B5" s="853"/>
      <c r="C5" s="855"/>
      <c r="D5" s="856"/>
      <c r="E5" s="856"/>
      <c r="F5" s="856"/>
      <c r="G5" s="856" t="s">
        <v>304</v>
      </c>
      <c r="H5" s="856"/>
      <c r="I5" s="856" t="s">
        <v>305</v>
      </c>
      <c r="J5" s="856"/>
      <c r="K5" s="400"/>
    </row>
    <row r="6" spans="1:11" ht="60" x14ac:dyDescent="0.2">
      <c r="A6" s="851"/>
      <c r="B6" s="854"/>
      <c r="C6" s="855"/>
      <c r="D6" s="856"/>
      <c r="E6" s="401" t="s">
        <v>556</v>
      </c>
      <c r="F6" s="401" t="s">
        <v>557</v>
      </c>
      <c r="G6" s="401" t="s">
        <v>556</v>
      </c>
      <c r="H6" s="401" t="s">
        <v>557</v>
      </c>
      <c r="I6" s="401" t="s">
        <v>556</v>
      </c>
      <c r="J6" s="402" t="s">
        <v>557</v>
      </c>
      <c r="K6" s="400"/>
    </row>
    <row r="7" spans="1:11" s="407" customFormat="1" x14ac:dyDescent="0.2">
      <c r="A7" s="403">
        <v>1</v>
      </c>
      <c r="B7" s="404">
        <v>2</v>
      </c>
      <c r="C7" s="404">
        <v>3</v>
      </c>
      <c r="D7" s="405" t="s">
        <v>558</v>
      </c>
      <c r="E7" s="406" t="s">
        <v>559</v>
      </c>
      <c r="F7" s="406" t="s">
        <v>560</v>
      </c>
      <c r="G7" s="406">
        <v>7</v>
      </c>
      <c r="H7" s="406">
        <v>8</v>
      </c>
      <c r="I7" s="406">
        <v>9</v>
      </c>
      <c r="J7" s="406">
        <v>10</v>
      </c>
      <c r="K7" s="400"/>
    </row>
    <row r="8" spans="1:11" s="407" customFormat="1" x14ac:dyDescent="0.2">
      <c r="A8" s="847" t="s">
        <v>20</v>
      </c>
      <c r="B8" s="848"/>
      <c r="C8" s="849"/>
      <c r="D8" s="408">
        <f>E8+F8</f>
        <v>240081</v>
      </c>
      <c r="E8" s="409">
        <f>G8+I8</f>
        <v>192066</v>
      </c>
      <c r="F8" s="409">
        <f>H8+J8</f>
        <v>48015</v>
      </c>
      <c r="G8" s="409">
        <f>SUM(G9:G30)</f>
        <v>148591</v>
      </c>
      <c r="H8" s="409">
        <f t="shared" ref="H8:J8" si="0">SUM(H9:H30)</f>
        <v>37149</v>
      </c>
      <c r="I8" s="409">
        <f t="shared" si="0"/>
        <v>43475</v>
      </c>
      <c r="J8" s="409">
        <f t="shared" si="0"/>
        <v>10866</v>
      </c>
      <c r="K8" s="400"/>
    </row>
    <row r="9" spans="1:11" x14ac:dyDescent="0.2">
      <c r="A9" s="410">
        <v>1</v>
      </c>
      <c r="B9" s="410" t="s">
        <v>46</v>
      </c>
      <c r="C9" s="411" t="s">
        <v>47</v>
      </c>
      <c r="D9" s="412">
        <f>E9+F9</f>
        <v>14248</v>
      </c>
      <c r="E9" s="412">
        <f>G9+I9</f>
        <v>11399</v>
      </c>
      <c r="F9" s="412">
        <f>H9+J9</f>
        <v>2849</v>
      </c>
      <c r="G9" s="412">
        <v>8545</v>
      </c>
      <c r="H9" s="412">
        <v>2136</v>
      </c>
      <c r="I9" s="412">
        <v>2854</v>
      </c>
      <c r="J9" s="413">
        <v>713</v>
      </c>
      <c r="K9" s="414"/>
    </row>
    <row r="10" spans="1:11" x14ac:dyDescent="0.2">
      <c r="A10" s="410">
        <v>2</v>
      </c>
      <c r="B10" s="410" t="s">
        <v>24</v>
      </c>
      <c r="C10" s="411" t="s">
        <v>25</v>
      </c>
      <c r="D10" s="412">
        <f t="shared" ref="D10:D30" si="1">E10+F10</f>
        <v>9422</v>
      </c>
      <c r="E10" s="412">
        <f t="shared" ref="E10:F30" si="2">G10+I10</f>
        <v>7538</v>
      </c>
      <c r="F10" s="412">
        <f t="shared" si="2"/>
        <v>1884</v>
      </c>
      <c r="G10" s="412">
        <v>5860</v>
      </c>
      <c r="H10" s="413">
        <v>1465</v>
      </c>
      <c r="I10" s="413">
        <v>1678</v>
      </c>
      <c r="J10" s="413">
        <v>419</v>
      </c>
      <c r="K10" s="414"/>
    </row>
    <row r="11" spans="1:11" x14ac:dyDescent="0.2">
      <c r="A11" s="410">
        <v>3</v>
      </c>
      <c r="B11" s="410" t="s">
        <v>64</v>
      </c>
      <c r="C11" s="411" t="s">
        <v>65</v>
      </c>
      <c r="D11" s="412">
        <f t="shared" si="1"/>
        <v>8618</v>
      </c>
      <c r="E11" s="412">
        <f t="shared" si="2"/>
        <v>6969</v>
      </c>
      <c r="F11" s="412">
        <f t="shared" si="2"/>
        <v>1649</v>
      </c>
      <c r="G11" s="412">
        <v>5498</v>
      </c>
      <c r="H11" s="413">
        <v>1281</v>
      </c>
      <c r="I11" s="413">
        <v>1471</v>
      </c>
      <c r="J11" s="413">
        <v>368</v>
      </c>
      <c r="K11" s="414"/>
    </row>
    <row r="12" spans="1:11" x14ac:dyDescent="0.2">
      <c r="A12" s="410">
        <v>4</v>
      </c>
      <c r="B12" s="410" t="s">
        <v>163</v>
      </c>
      <c r="C12" s="411" t="s">
        <v>164</v>
      </c>
      <c r="D12" s="412">
        <f t="shared" si="1"/>
        <v>6335</v>
      </c>
      <c r="E12" s="412">
        <f t="shared" si="2"/>
        <v>5068</v>
      </c>
      <c r="F12" s="412">
        <f t="shared" si="2"/>
        <v>1267</v>
      </c>
      <c r="G12" s="412">
        <v>3806</v>
      </c>
      <c r="H12" s="413">
        <v>951</v>
      </c>
      <c r="I12" s="413">
        <v>1262</v>
      </c>
      <c r="J12" s="413">
        <v>316</v>
      </c>
      <c r="K12" s="414"/>
    </row>
    <row r="13" spans="1:11" x14ac:dyDescent="0.2">
      <c r="A13" s="410">
        <v>5</v>
      </c>
      <c r="B13" s="410" t="s">
        <v>4</v>
      </c>
      <c r="C13" s="411" t="s">
        <v>29</v>
      </c>
      <c r="D13" s="412">
        <f t="shared" si="1"/>
        <v>16146</v>
      </c>
      <c r="E13" s="412">
        <f t="shared" si="2"/>
        <v>12917</v>
      </c>
      <c r="F13" s="412">
        <f t="shared" si="2"/>
        <v>3229</v>
      </c>
      <c r="G13" s="412">
        <v>9908</v>
      </c>
      <c r="H13" s="412">
        <v>2477</v>
      </c>
      <c r="I13" s="412">
        <v>3009</v>
      </c>
      <c r="J13" s="413">
        <v>752</v>
      </c>
      <c r="K13" s="414"/>
    </row>
    <row r="14" spans="1:11" x14ac:dyDescent="0.2">
      <c r="A14" s="410">
        <v>6</v>
      </c>
      <c r="B14" s="410" t="s">
        <v>53</v>
      </c>
      <c r="C14" s="411" t="s">
        <v>54</v>
      </c>
      <c r="D14" s="412">
        <f t="shared" si="1"/>
        <v>9310</v>
      </c>
      <c r="E14" s="412">
        <f t="shared" si="2"/>
        <v>7448</v>
      </c>
      <c r="F14" s="412">
        <f t="shared" si="2"/>
        <v>1862</v>
      </c>
      <c r="G14" s="412">
        <v>5522</v>
      </c>
      <c r="H14" s="413">
        <v>1381</v>
      </c>
      <c r="I14" s="412">
        <v>1926</v>
      </c>
      <c r="J14" s="413">
        <v>481</v>
      </c>
      <c r="K14" s="414"/>
    </row>
    <row r="15" spans="1:11" x14ac:dyDescent="0.2">
      <c r="A15" s="410">
        <v>7</v>
      </c>
      <c r="B15" s="410" t="s">
        <v>6</v>
      </c>
      <c r="C15" s="411" t="s">
        <v>561</v>
      </c>
      <c r="D15" s="412">
        <f t="shared" si="1"/>
        <v>21896</v>
      </c>
      <c r="E15" s="412">
        <f t="shared" si="2"/>
        <v>17606</v>
      </c>
      <c r="F15" s="412">
        <f t="shared" si="2"/>
        <v>4290</v>
      </c>
      <c r="G15" s="413">
        <v>17606</v>
      </c>
      <c r="H15" s="413">
        <v>4290</v>
      </c>
      <c r="I15" s="413">
        <v>0</v>
      </c>
      <c r="J15" s="413">
        <v>0</v>
      </c>
      <c r="K15" s="414"/>
    </row>
    <row r="16" spans="1:11" x14ac:dyDescent="0.2">
      <c r="A16" s="410">
        <v>8</v>
      </c>
      <c r="B16" s="410" t="s">
        <v>81</v>
      </c>
      <c r="C16" s="411" t="s">
        <v>82</v>
      </c>
      <c r="D16" s="412">
        <f t="shared" si="1"/>
        <v>22301</v>
      </c>
      <c r="E16" s="412">
        <f t="shared" si="2"/>
        <v>17841</v>
      </c>
      <c r="F16" s="412">
        <f t="shared" si="2"/>
        <v>4460</v>
      </c>
      <c r="G16" s="413">
        <v>15711</v>
      </c>
      <c r="H16" s="413">
        <v>3928</v>
      </c>
      <c r="I16" s="413">
        <v>2130</v>
      </c>
      <c r="J16" s="413">
        <v>532</v>
      </c>
      <c r="K16" s="414"/>
    </row>
    <row r="17" spans="1:11" x14ac:dyDescent="0.2">
      <c r="A17" s="410">
        <v>9</v>
      </c>
      <c r="B17" s="410" t="s">
        <v>395</v>
      </c>
      <c r="C17" s="411" t="s">
        <v>396</v>
      </c>
      <c r="D17" s="412">
        <f t="shared" si="1"/>
        <v>13382</v>
      </c>
      <c r="E17" s="412">
        <f t="shared" si="2"/>
        <v>10976</v>
      </c>
      <c r="F17" s="412">
        <f t="shared" si="2"/>
        <v>2406</v>
      </c>
      <c r="G17" s="412">
        <v>9854</v>
      </c>
      <c r="H17" s="412">
        <v>2126</v>
      </c>
      <c r="I17" s="412">
        <v>1122</v>
      </c>
      <c r="J17" s="413">
        <v>280</v>
      </c>
      <c r="K17" s="414"/>
    </row>
    <row r="18" spans="1:11" x14ac:dyDescent="0.2">
      <c r="A18" s="410">
        <v>10</v>
      </c>
      <c r="B18" s="410" t="s">
        <v>60</v>
      </c>
      <c r="C18" s="411" t="s">
        <v>61</v>
      </c>
      <c r="D18" s="412">
        <f t="shared" si="1"/>
        <v>6231</v>
      </c>
      <c r="E18" s="412">
        <f t="shared" si="2"/>
        <v>4985</v>
      </c>
      <c r="F18" s="412">
        <f t="shared" si="2"/>
        <v>1246</v>
      </c>
      <c r="G18" s="412">
        <v>0</v>
      </c>
      <c r="H18" s="412">
        <v>0</v>
      </c>
      <c r="I18" s="413">
        <v>4985</v>
      </c>
      <c r="J18" s="413">
        <v>1246</v>
      </c>
      <c r="K18" s="414"/>
    </row>
    <row r="19" spans="1:11" x14ac:dyDescent="0.2">
      <c r="A19" s="410">
        <v>11</v>
      </c>
      <c r="B19" s="410" t="s">
        <v>30</v>
      </c>
      <c r="C19" s="411" t="s">
        <v>197</v>
      </c>
      <c r="D19" s="412">
        <f t="shared" si="1"/>
        <v>8290</v>
      </c>
      <c r="E19" s="412">
        <f t="shared" si="2"/>
        <v>6632</v>
      </c>
      <c r="F19" s="412">
        <f t="shared" si="2"/>
        <v>1658</v>
      </c>
      <c r="G19" s="413">
        <v>5199</v>
      </c>
      <c r="H19" s="413">
        <v>1300</v>
      </c>
      <c r="I19" s="412">
        <v>1433</v>
      </c>
      <c r="J19" s="413">
        <v>358</v>
      </c>
      <c r="K19" s="414"/>
    </row>
    <row r="20" spans="1:11" x14ac:dyDescent="0.2">
      <c r="A20" s="410">
        <v>12</v>
      </c>
      <c r="B20" s="410" t="s">
        <v>70</v>
      </c>
      <c r="C20" s="411" t="s">
        <v>71</v>
      </c>
      <c r="D20" s="412">
        <f t="shared" si="1"/>
        <v>4417</v>
      </c>
      <c r="E20" s="412">
        <f t="shared" si="2"/>
        <v>3444</v>
      </c>
      <c r="F20" s="412">
        <f t="shared" si="2"/>
        <v>973</v>
      </c>
      <c r="G20" s="412">
        <v>2554</v>
      </c>
      <c r="H20" s="413">
        <v>751</v>
      </c>
      <c r="I20" s="413">
        <v>890</v>
      </c>
      <c r="J20" s="413">
        <v>222</v>
      </c>
      <c r="K20" s="414"/>
    </row>
    <row r="21" spans="1:11" x14ac:dyDescent="0.2">
      <c r="A21" s="410">
        <v>13</v>
      </c>
      <c r="B21" s="410" t="s">
        <v>66</v>
      </c>
      <c r="C21" s="411" t="s">
        <v>67</v>
      </c>
      <c r="D21" s="412">
        <f t="shared" si="1"/>
        <v>13437</v>
      </c>
      <c r="E21" s="412">
        <f t="shared" si="2"/>
        <v>10675</v>
      </c>
      <c r="F21" s="412">
        <f t="shared" si="2"/>
        <v>2762</v>
      </c>
      <c r="G21" s="412">
        <v>8260</v>
      </c>
      <c r="H21" s="413">
        <v>2158</v>
      </c>
      <c r="I21" s="413">
        <v>2415</v>
      </c>
      <c r="J21" s="413">
        <v>604</v>
      </c>
      <c r="K21" s="414"/>
    </row>
    <row r="22" spans="1:11" x14ac:dyDescent="0.2">
      <c r="A22" s="410">
        <v>14</v>
      </c>
      <c r="B22" s="410" t="s">
        <v>96</v>
      </c>
      <c r="C22" s="411" t="s">
        <v>97</v>
      </c>
      <c r="D22" s="412">
        <f t="shared" si="1"/>
        <v>3072</v>
      </c>
      <c r="E22" s="412">
        <f t="shared" si="2"/>
        <v>2458</v>
      </c>
      <c r="F22" s="412">
        <f t="shared" si="2"/>
        <v>614</v>
      </c>
      <c r="G22" s="412">
        <v>0</v>
      </c>
      <c r="H22" s="412">
        <v>0</v>
      </c>
      <c r="I22" s="412">
        <v>2458</v>
      </c>
      <c r="J22" s="413">
        <v>614</v>
      </c>
      <c r="K22" s="414"/>
    </row>
    <row r="23" spans="1:11" x14ac:dyDescent="0.2">
      <c r="A23" s="410">
        <v>15</v>
      </c>
      <c r="B23" s="410" t="s">
        <v>104</v>
      </c>
      <c r="C23" s="411" t="s">
        <v>236</v>
      </c>
      <c r="D23" s="412">
        <f t="shared" si="1"/>
        <v>9541</v>
      </c>
      <c r="E23" s="412">
        <f t="shared" si="2"/>
        <v>7633</v>
      </c>
      <c r="F23" s="412">
        <f t="shared" si="2"/>
        <v>1908</v>
      </c>
      <c r="G23" s="413">
        <v>0</v>
      </c>
      <c r="H23" s="413">
        <v>0</v>
      </c>
      <c r="I23" s="412">
        <v>7633</v>
      </c>
      <c r="J23" s="413">
        <v>1908</v>
      </c>
      <c r="K23" s="414"/>
    </row>
    <row r="24" spans="1:11" x14ac:dyDescent="0.2">
      <c r="A24" s="410">
        <v>16</v>
      </c>
      <c r="B24" s="410" t="s">
        <v>108</v>
      </c>
      <c r="C24" s="411" t="s">
        <v>211</v>
      </c>
      <c r="D24" s="412">
        <f t="shared" si="1"/>
        <v>11187</v>
      </c>
      <c r="E24" s="412">
        <f t="shared" si="2"/>
        <v>8950</v>
      </c>
      <c r="F24" s="412">
        <f t="shared" si="2"/>
        <v>2237</v>
      </c>
      <c r="G24" s="413">
        <v>8950</v>
      </c>
      <c r="H24" s="413">
        <v>2237</v>
      </c>
      <c r="I24" s="412">
        <v>0</v>
      </c>
      <c r="J24" s="413">
        <v>0</v>
      </c>
      <c r="K24" s="414"/>
    </row>
    <row r="25" spans="1:11" x14ac:dyDescent="0.2">
      <c r="A25" s="410">
        <v>17</v>
      </c>
      <c r="B25" s="410" t="s">
        <v>110</v>
      </c>
      <c r="C25" s="411" t="s">
        <v>213</v>
      </c>
      <c r="D25" s="412">
        <f t="shared" si="1"/>
        <v>16484</v>
      </c>
      <c r="E25" s="412">
        <f t="shared" si="2"/>
        <v>13187</v>
      </c>
      <c r="F25" s="412">
        <f t="shared" si="2"/>
        <v>3297</v>
      </c>
      <c r="G25" s="412">
        <v>13187</v>
      </c>
      <c r="H25" s="412">
        <v>3297</v>
      </c>
      <c r="I25" s="413">
        <v>0</v>
      </c>
      <c r="J25" s="413">
        <v>0</v>
      </c>
      <c r="K25" s="414"/>
    </row>
    <row r="26" spans="1:11" x14ac:dyDescent="0.2">
      <c r="A26" s="410">
        <v>18</v>
      </c>
      <c r="B26" s="410" t="s">
        <v>114</v>
      </c>
      <c r="C26" s="411" t="s">
        <v>115</v>
      </c>
      <c r="D26" s="412">
        <f t="shared" si="1"/>
        <v>10890</v>
      </c>
      <c r="E26" s="412">
        <f t="shared" si="2"/>
        <v>8712</v>
      </c>
      <c r="F26" s="412">
        <f t="shared" si="2"/>
        <v>2178</v>
      </c>
      <c r="G26" s="412">
        <v>8712</v>
      </c>
      <c r="H26" s="412">
        <v>2178</v>
      </c>
      <c r="I26" s="413">
        <v>0</v>
      </c>
      <c r="J26" s="413">
        <v>0</v>
      </c>
      <c r="K26" s="414"/>
    </row>
    <row r="27" spans="1:11" x14ac:dyDescent="0.2">
      <c r="A27" s="410">
        <v>19</v>
      </c>
      <c r="B27" s="410" t="s">
        <v>123</v>
      </c>
      <c r="C27" s="411" t="s">
        <v>562</v>
      </c>
      <c r="D27" s="412">
        <f t="shared" si="1"/>
        <v>8350</v>
      </c>
      <c r="E27" s="412">
        <f t="shared" si="2"/>
        <v>6680</v>
      </c>
      <c r="F27" s="412">
        <f t="shared" si="2"/>
        <v>1670</v>
      </c>
      <c r="G27" s="412">
        <v>5201</v>
      </c>
      <c r="H27" s="412">
        <v>1300</v>
      </c>
      <c r="I27" s="413">
        <v>1479</v>
      </c>
      <c r="J27" s="413">
        <v>370</v>
      </c>
      <c r="K27" s="414"/>
    </row>
    <row r="28" spans="1:11" x14ac:dyDescent="0.2">
      <c r="A28" s="410">
        <v>20</v>
      </c>
      <c r="B28" s="410" t="s">
        <v>130</v>
      </c>
      <c r="C28" s="411" t="s">
        <v>207</v>
      </c>
      <c r="D28" s="412">
        <f t="shared" si="1"/>
        <v>8536</v>
      </c>
      <c r="E28" s="412">
        <f t="shared" si="2"/>
        <v>6558</v>
      </c>
      <c r="F28" s="412">
        <f t="shared" si="2"/>
        <v>1978</v>
      </c>
      <c r="G28" s="412">
        <v>4887</v>
      </c>
      <c r="H28" s="413">
        <v>1560</v>
      </c>
      <c r="I28" s="413">
        <v>1671</v>
      </c>
      <c r="J28" s="413">
        <v>418</v>
      </c>
      <c r="K28" s="414"/>
    </row>
    <row r="29" spans="1:11" x14ac:dyDescent="0.2">
      <c r="A29" s="410">
        <v>21</v>
      </c>
      <c r="B29" s="410" t="s">
        <v>133</v>
      </c>
      <c r="C29" s="411" t="s">
        <v>134</v>
      </c>
      <c r="D29" s="412">
        <f t="shared" si="1"/>
        <v>6324</v>
      </c>
      <c r="E29" s="412">
        <f t="shared" si="2"/>
        <v>5059</v>
      </c>
      <c r="F29" s="412">
        <f t="shared" si="2"/>
        <v>1265</v>
      </c>
      <c r="G29" s="412">
        <v>0</v>
      </c>
      <c r="H29" s="413">
        <v>0</v>
      </c>
      <c r="I29" s="413">
        <v>5059</v>
      </c>
      <c r="J29" s="413">
        <v>1265</v>
      </c>
      <c r="K29" s="414"/>
    </row>
    <row r="30" spans="1:11" x14ac:dyDescent="0.2">
      <c r="A30" s="410">
        <v>22</v>
      </c>
      <c r="B30" s="410" t="s">
        <v>9</v>
      </c>
      <c r="C30" s="411" t="s">
        <v>563</v>
      </c>
      <c r="D30" s="412">
        <f t="shared" si="1"/>
        <v>11664</v>
      </c>
      <c r="E30" s="412">
        <f t="shared" si="2"/>
        <v>9331</v>
      </c>
      <c r="F30" s="412">
        <f t="shared" si="2"/>
        <v>2333</v>
      </c>
      <c r="G30" s="413">
        <v>9331</v>
      </c>
      <c r="H30" s="413">
        <v>2333</v>
      </c>
      <c r="I30" s="412">
        <v>0</v>
      </c>
      <c r="J30" s="413">
        <v>0</v>
      </c>
      <c r="K30" s="414"/>
    </row>
    <row r="31" spans="1:11" x14ac:dyDescent="0.2">
      <c r="G31" s="415"/>
      <c r="I31" s="415"/>
      <c r="K31" s="400"/>
    </row>
  </sheetData>
  <mergeCells count="10">
    <mergeCell ref="A8:C8"/>
    <mergeCell ref="B2:J2"/>
    <mergeCell ref="A4:A6"/>
    <mergeCell ref="B4:B6"/>
    <mergeCell ref="C4:C6"/>
    <mergeCell ref="D4:D6"/>
    <mergeCell ref="E4:F5"/>
    <mergeCell ref="G4:J4"/>
    <mergeCell ref="G5:H5"/>
    <mergeCell ref="I5:J5"/>
  </mergeCells>
  <pageMargins left="0.31496062992125984" right="0.31496062992125984" top="0.35433070866141736" bottom="0.35433070866141736" header="0.31496062992125984" footer="0.31496062992125984"/>
  <pageSetup paperSize="9" scale="9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"/>
  <sheetViews>
    <sheetView workbookViewId="0">
      <pane xSplit="4" ySplit="8" topLeftCell="E9" activePane="bottomRight" state="frozen"/>
      <selection pane="topRight" activeCell="D1" sqref="D1"/>
      <selection pane="bottomLeft" activeCell="A7" sqref="A7"/>
      <selection pane="bottomRight" activeCell="L49" sqref="L48:L49"/>
    </sheetView>
  </sheetViews>
  <sheetFormatPr defaultRowHeight="12" x14ac:dyDescent="0.25"/>
  <cols>
    <col min="1" max="1" width="4.7109375" style="448" customWidth="1"/>
    <col min="2" max="2" width="9.28515625" style="448" customWidth="1"/>
    <col min="3" max="3" width="26.28515625" style="449" customWidth="1"/>
    <col min="4" max="4" width="0.140625" style="450" customWidth="1"/>
    <col min="5" max="5" width="11.85546875" style="450" customWidth="1"/>
    <col min="6" max="7" width="10.140625" style="466" customWidth="1"/>
    <col min="8" max="9" width="10.140625" style="484" customWidth="1"/>
    <col min="10" max="10" width="10.140625" style="485" customWidth="1"/>
    <col min="11" max="11" width="11.140625" style="452" bestFit="1" customWidth="1"/>
    <col min="12" max="12" width="8.85546875" style="452" customWidth="1"/>
    <col min="13" max="13" width="10.85546875" style="452" customWidth="1"/>
    <col min="14" max="16384" width="9.140625" style="452"/>
  </cols>
  <sheetData>
    <row r="1" spans="1:12" x14ac:dyDescent="0.25">
      <c r="F1" s="451"/>
      <c r="G1" s="451"/>
      <c r="H1" s="451"/>
      <c r="I1" s="451"/>
      <c r="J1" s="451"/>
    </row>
    <row r="2" spans="1:12" ht="15.75" customHeight="1" x14ac:dyDescent="0.25">
      <c r="C2" s="860" t="s">
        <v>585</v>
      </c>
      <c r="D2" s="861"/>
      <c r="E2" s="861"/>
      <c r="F2" s="861"/>
      <c r="G2" s="861"/>
      <c r="H2" s="861"/>
      <c r="I2" s="861"/>
      <c r="J2" s="861"/>
    </row>
    <row r="3" spans="1:12" x14ac:dyDescent="0.25">
      <c r="C3" s="453"/>
      <c r="D3" s="453"/>
      <c r="E3" s="453"/>
      <c r="F3" s="454"/>
      <c r="G3" s="454"/>
      <c r="H3" s="455"/>
      <c r="I3" s="455"/>
      <c r="J3" s="456"/>
    </row>
    <row r="4" spans="1:12" s="457" customFormat="1" ht="15.75" customHeight="1" x14ac:dyDescent="0.25">
      <c r="A4" s="862" t="s">
        <v>0</v>
      </c>
      <c r="B4" s="863" t="s">
        <v>219</v>
      </c>
      <c r="C4" s="866" t="s">
        <v>220</v>
      </c>
      <c r="D4" s="862" t="s">
        <v>586</v>
      </c>
      <c r="E4" s="867"/>
      <c r="F4" s="867"/>
      <c r="G4" s="867"/>
      <c r="H4" s="867"/>
      <c r="I4" s="867"/>
      <c r="J4" s="867"/>
    </row>
    <row r="5" spans="1:12" ht="30.75" customHeight="1" x14ac:dyDescent="0.25">
      <c r="A5" s="862"/>
      <c r="B5" s="864"/>
      <c r="C5" s="866"/>
      <c r="D5" s="862"/>
      <c r="E5" s="867"/>
      <c r="F5" s="867"/>
      <c r="G5" s="867"/>
      <c r="H5" s="867"/>
      <c r="I5" s="867"/>
      <c r="J5" s="867"/>
    </row>
    <row r="6" spans="1:12" ht="30.75" customHeight="1" x14ac:dyDescent="0.25">
      <c r="A6" s="862"/>
      <c r="B6" s="864"/>
      <c r="C6" s="866"/>
      <c r="D6" s="862"/>
      <c r="E6" s="867" t="s">
        <v>587</v>
      </c>
      <c r="F6" s="867"/>
      <c r="G6" s="867"/>
      <c r="H6" s="867"/>
      <c r="I6" s="867"/>
      <c r="J6" s="867"/>
    </row>
    <row r="7" spans="1:12" ht="21" customHeight="1" x14ac:dyDescent="0.25">
      <c r="A7" s="862"/>
      <c r="B7" s="864"/>
      <c r="C7" s="866"/>
      <c r="D7" s="862"/>
      <c r="E7" s="867"/>
      <c r="F7" s="868" t="s">
        <v>588</v>
      </c>
      <c r="G7" s="868" t="s">
        <v>589</v>
      </c>
      <c r="H7" s="868" t="s">
        <v>590</v>
      </c>
      <c r="I7" s="868" t="s">
        <v>589</v>
      </c>
      <c r="J7" s="868" t="s">
        <v>591</v>
      </c>
    </row>
    <row r="8" spans="1:12" ht="32.25" customHeight="1" x14ac:dyDescent="0.25">
      <c r="A8" s="862"/>
      <c r="B8" s="865"/>
      <c r="C8" s="866"/>
      <c r="D8" s="862"/>
      <c r="E8" s="867"/>
      <c r="F8" s="868"/>
      <c r="G8" s="868"/>
      <c r="H8" s="868"/>
      <c r="I8" s="868"/>
      <c r="J8" s="868"/>
    </row>
    <row r="9" spans="1:12" ht="11.25" customHeight="1" x14ac:dyDescent="0.25">
      <c r="A9" s="857" t="s">
        <v>1</v>
      </c>
      <c r="B9" s="858"/>
      <c r="C9" s="858"/>
      <c r="D9" s="458"/>
      <c r="E9" s="486">
        <f>E10+E11</f>
        <v>1160392</v>
      </c>
      <c r="F9" s="486">
        <f t="shared" ref="F9:J9" si="0">F10+F11</f>
        <v>1063805</v>
      </c>
      <c r="G9" s="486">
        <f t="shared" si="0"/>
        <v>504</v>
      </c>
      <c r="H9" s="486">
        <f t="shared" si="0"/>
        <v>59252</v>
      </c>
      <c r="I9" s="486">
        <f t="shared" si="0"/>
        <v>30</v>
      </c>
      <c r="J9" s="486">
        <f t="shared" si="0"/>
        <v>23735</v>
      </c>
    </row>
    <row r="10" spans="1:12" ht="13.5" customHeight="1" x14ac:dyDescent="0.25">
      <c r="A10" s="869" t="s">
        <v>19</v>
      </c>
      <c r="B10" s="870"/>
      <c r="C10" s="871"/>
      <c r="D10" s="459"/>
      <c r="E10" s="460">
        <v>13600</v>
      </c>
      <c r="F10" s="461"/>
      <c r="G10" s="461"/>
      <c r="H10" s="461"/>
      <c r="I10" s="461"/>
      <c r="J10" s="461"/>
    </row>
    <row r="11" spans="1:12" ht="12" customHeight="1" x14ac:dyDescent="0.25">
      <c r="A11" s="857" t="s">
        <v>20</v>
      </c>
      <c r="B11" s="858"/>
      <c r="C11" s="859"/>
      <c r="D11" s="459"/>
      <c r="E11" s="460">
        <f>SUM(E12:E55)</f>
        <v>1146792</v>
      </c>
      <c r="F11" s="460">
        <f t="shared" ref="F11:J11" si="1">SUM(F12:F55)</f>
        <v>1063805</v>
      </c>
      <c r="G11" s="460">
        <f t="shared" si="1"/>
        <v>504</v>
      </c>
      <c r="H11" s="460">
        <f t="shared" si="1"/>
        <v>59252</v>
      </c>
      <c r="I11" s="460">
        <f t="shared" si="1"/>
        <v>30</v>
      </c>
      <c r="J11" s="460">
        <f t="shared" si="1"/>
        <v>23735</v>
      </c>
    </row>
    <row r="12" spans="1:12" s="465" customFormat="1" ht="12" customHeight="1" x14ac:dyDescent="0.25">
      <c r="A12" s="462">
        <v>1</v>
      </c>
      <c r="B12" s="76" t="s">
        <v>21</v>
      </c>
      <c r="C12" s="75" t="s">
        <v>22</v>
      </c>
      <c r="D12" s="463">
        <v>0.85</v>
      </c>
      <c r="E12" s="464">
        <f t="shared" ref="E12:E55" si="2">F12+H12+J12</f>
        <v>5289</v>
      </c>
      <c r="F12" s="464">
        <v>5289</v>
      </c>
      <c r="G12" s="464">
        <v>7</v>
      </c>
      <c r="H12" s="464"/>
      <c r="I12" s="464">
        <v>0</v>
      </c>
      <c r="J12" s="464"/>
      <c r="L12" s="466"/>
    </row>
    <row r="13" spans="1:12" s="465" customFormat="1" x14ac:dyDescent="0.25">
      <c r="A13" s="462">
        <v>2</v>
      </c>
      <c r="B13" s="74" t="s">
        <v>23</v>
      </c>
      <c r="C13" s="75" t="s">
        <v>195</v>
      </c>
      <c r="D13" s="463">
        <v>0.85</v>
      </c>
      <c r="E13" s="464">
        <f t="shared" si="2"/>
        <v>5407</v>
      </c>
      <c r="F13" s="464">
        <v>5407</v>
      </c>
      <c r="G13" s="464">
        <v>8</v>
      </c>
      <c r="H13" s="464"/>
      <c r="I13" s="464">
        <v>0</v>
      </c>
      <c r="J13" s="464"/>
      <c r="L13" s="466"/>
    </row>
    <row r="14" spans="1:12" s="465" customFormat="1" x14ac:dyDescent="0.25">
      <c r="A14" s="462">
        <v>3</v>
      </c>
      <c r="B14" s="21" t="s">
        <v>24</v>
      </c>
      <c r="C14" s="22" t="s">
        <v>25</v>
      </c>
      <c r="D14" s="463">
        <v>0.85</v>
      </c>
      <c r="E14" s="464">
        <f t="shared" si="2"/>
        <v>16102</v>
      </c>
      <c r="F14" s="464">
        <v>16102</v>
      </c>
      <c r="G14" s="464">
        <v>15</v>
      </c>
      <c r="H14" s="464"/>
      <c r="I14" s="464">
        <v>0</v>
      </c>
      <c r="J14" s="464"/>
      <c r="L14" s="466"/>
    </row>
    <row r="15" spans="1:12" s="465" customFormat="1" ht="14.25" customHeight="1" x14ac:dyDescent="0.25">
      <c r="A15" s="462">
        <v>4</v>
      </c>
      <c r="B15" s="76" t="s">
        <v>26</v>
      </c>
      <c r="C15" s="75" t="s">
        <v>196</v>
      </c>
      <c r="D15" s="463">
        <v>0.85</v>
      </c>
      <c r="E15" s="464">
        <f t="shared" si="2"/>
        <v>5961</v>
      </c>
      <c r="F15" s="464">
        <v>5961</v>
      </c>
      <c r="G15" s="464">
        <v>12</v>
      </c>
      <c r="H15" s="464"/>
      <c r="I15" s="464">
        <v>0</v>
      </c>
      <c r="J15" s="464"/>
      <c r="L15" s="466"/>
    </row>
    <row r="16" spans="1:12" s="465" customFormat="1" x14ac:dyDescent="0.25">
      <c r="A16" s="462">
        <v>5</v>
      </c>
      <c r="B16" s="21" t="s">
        <v>4</v>
      </c>
      <c r="C16" s="22" t="s">
        <v>29</v>
      </c>
      <c r="D16" s="463">
        <v>0.85</v>
      </c>
      <c r="E16" s="464">
        <f t="shared" si="2"/>
        <v>93261</v>
      </c>
      <c r="F16" s="464">
        <v>92926</v>
      </c>
      <c r="G16" s="464">
        <v>74</v>
      </c>
      <c r="H16" s="464">
        <v>335</v>
      </c>
      <c r="I16" s="464">
        <v>2</v>
      </c>
      <c r="J16" s="464"/>
      <c r="L16" s="466"/>
    </row>
    <row r="17" spans="1:12" s="465" customFormat="1" x14ac:dyDescent="0.25">
      <c r="A17" s="462">
        <v>6</v>
      </c>
      <c r="B17" s="21" t="s">
        <v>33</v>
      </c>
      <c r="C17" s="22" t="s">
        <v>34</v>
      </c>
      <c r="D17" s="463">
        <v>0.85</v>
      </c>
      <c r="E17" s="464">
        <f t="shared" si="2"/>
        <v>6127</v>
      </c>
      <c r="F17" s="464">
        <v>6127</v>
      </c>
      <c r="G17" s="464">
        <v>1</v>
      </c>
      <c r="H17" s="464"/>
      <c r="I17" s="464">
        <v>0</v>
      </c>
      <c r="J17" s="464"/>
      <c r="L17" s="466"/>
    </row>
    <row r="18" spans="1:12" s="465" customFormat="1" x14ac:dyDescent="0.25">
      <c r="A18" s="462">
        <v>7</v>
      </c>
      <c r="B18" s="21" t="s">
        <v>37</v>
      </c>
      <c r="C18" s="22" t="s">
        <v>38</v>
      </c>
      <c r="D18" s="463">
        <v>0.85</v>
      </c>
      <c r="E18" s="464">
        <f t="shared" si="2"/>
        <v>6129</v>
      </c>
      <c r="F18" s="464">
        <v>6129</v>
      </c>
      <c r="G18" s="464">
        <v>3</v>
      </c>
      <c r="H18" s="464"/>
      <c r="I18" s="464">
        <v>0</v>
      </c>
      <c r="J18" s="464"/>
      <c r="L18" s="466"/>
    </row>
    <row r="19" spans="1:12" s="465" customFormat="1" x14ac:dyDescent="0.25">
      <c r="A19" s="462">
        <v>8</v>
      </c>
      <c r="B19" s="21" t="s">
        <v>46</v>
      </c>
      <c r="C19" s="22" t="s">
        <v>47</v>
      </c>
      <c r="D19" s="467">
        <v>0.85</v>
      </c>
      <c r="E19" s="464">
        <f t="shared" si="2"/>
        <v>64005</v>
      </c>
      <c r="F19" s="464">
        <v>64005</v>
      </c>
      <c r="G19" s="464">
        <v>25</v>
      </c>
      <c r="H19" s="464"/>
      <c r="I19" s="464">
        <v>0</v>
      </c>
      <c r="J19" s="464"/>
      <c r="L19" s="466"/>
    </row>
    <row r="20" spans="1:12" s="465" customFormat="1" x14ac:dyDescent="0.25">
      <c r="A20" s="462">
        <v>9</v>
      </c>
      <c r="B20" s="76" t="s">
        <v>53</v>
      </c>
      <c r="C20" s="75" t="s">
        <v>54</v>
      </c>
      <c r="D20" s="467">
        <v>0.85</v>
      </c>
      <c r="E20" s="464">
        <f t="shared" si="2"/>
        <v>44471</v>
      </c>
      <c r="F20" s="464">
        <v>44471</v>
      </c>
      <c r="G20" s="464">
        <v>18</v>
      </c>
      <c r="H20" s="464"/>
      <c r="I20" s="464">
        <v>0</v>
      </c>
      <c r="J20" s="464"/>
      <c r="L20" s="466"/>
    </row>
    <row r="21" spans="1:12" s="465" customFormat="1" ht="24" x14ac:dyDescent="0.25">
      <c r="A21" s="462">
        <v>10</v>
      </c>
      <c r="B21" s="21" t="s">
        <v>55</v>
      </c>
      <c r="C21" s="22" t="s">
        <v>56</v>
      </c>
      <c r="D21" s="467">
        <v>0.85</v>
      </c>
      <c r="E21" s="464">
        <f t="shared" si="2"/>
        <v>4105</v>
      </c>
      <c r="F21" s="464">
        <v>1659</v>
      </c>
      <c r="G21" s="464">
        <v>5</v>
      </c>
      <c r="H21" s="464">
        <v>2446</v>
      </c>
      <c r="I21" s="464">
        <v>2</v>
      </c>
      <c r="J21" s="464"/>
      <c r="L21" s="466"/>
    </row>
    <row r="22" spans="1:12" s="472" customFormat="1" ht="36" x14ac:dyDescent="0.25">
      <c r="A22" s="468">
        <v>11</v>
      </c>
      <c r="B22" s="293" t="s">
        <v>456</v>
      </c>
      <c r="C22" s="469" t="s">
        <v>457</v>
      </c>
      <c r="D22" s="470">
        <v>0.85</v>
      </c>
      <c r="E22" s="464">
        <f t="shared" si="2"/>
        <v>91674</v>
      </c>
      <c r="F22" s="471">
        <v>91674</v>
      </c>
      <c r="G22" s="471">
        <v>17</v>
      </c>
      <c r="H22" s="471"/>
      <c r="I22" s="471">
        <v>0</v>
      </c>
      <c r="J22" s="471"/>
      <c r="L22" s="473"/>
    </row>
    <row r="23" spans="1:12" s="472" customFormat="1" x14ac:dyDescent="0.25">
      <c r="A23" s="468">
        <v>12</v>
      </c>
      <c r="B23" s="299" t="s">
        <v>64</v>
      </c>
      <c r="C23" s="469" t="s">
        <v>65</v>
      </c>
      <c r="D23" s="470">
        <v>0.85</v>
      </c>
      <c r="E23" s="464">
        <f t="shared" si="2"/>
        <v>45283</v>
      </c>
      <c r="F23" s="471">
        <v>45283</v>
      </c>
      <c r="G23" s="471">
        <v>63</v>
      </c>
      <c r="H23" s="471"/>
      <c r="I23" s="471">
        <v>0</v>
      </c>
      <c r="J23" s="471"/>
      <c r="L23" s="473"/>
    </row>
    <row r="24" spans="1:12" s="472" customFormat="1" x14ac:dyDescent="0.25">
      <c r="A24" s="468">
        <v>13</v>
      </c>
      <c r="B24" s="474" t="s">
        <v>66</v>
      </c>
      <c r="C24" s="475" t="s">
        <v>67</v>
      </c>
      <c r="D24" s="470">
        <v>0.85</v>
      </c>
      <c r="E24" s="464">
        <f t="shared" si="2"/>
        <v>39200</v>
      </c>
      <c r="F24" s="471">
        <v>32141</v>
      </c>
      <c r="G24" s="471">
        <v>0</v>
      </c>
      <c r="H24" s="471">
        <v>7059</v>
      </c>
      <c r="I24" s="471">
        <v>5</v>
      </c>
      <c r="J24" s="471"/>
      <c r="L24" s="473"/>
    </row>
    <row r="25" spans="1:12" s="472" customFormat="1" x14ac:dyDescent="0.25">
      <c r="A25" s="468">
        <v>14</v>
      </c>
      <c r="B25" s="299" t="s">
        <v>68</v>
      </c>
      <c r="C25" s="469" t="s">
        <v>69</v>
      </c>
      <c r="D25" s="470">
        <v>0.85</v>
      </c>
      <c r="E25" s="464">
        <f t="shared" si="2"/>
        <v>3467</v>
      </c>
      <c r="F25" s="471">
        <v>3467</v>
      </c>
      <c r="G25" s="471">
        <v>1</v>
      </c>
      <c r="H25" s="471"/>
      <c r="I25" s="471">
        <v>0</v>
      </c>
      <c r="J25" s="471"/>
      <c r="L25" s="473"/>
    </row>
    <row r="26" spans="1:12" s="472" customFormat="1" x14ac:dyDescent="0.25">
      <c r="A26" s="468">
        <v>15</v>
      </c>
      <c r="B26" s="476" t="s">
        <v>70</v>
      </c>
      <c r="C26" s="246" t="s">
        <v>71</v>
      </c>
      <c r="D26" s="470">
        <v>0.85</v>
      </c>
      <c r="E26" s="464">
        <f t="shared" si="2"/>
        <v>23235</v>
      </c>
      <c r="F26" s="471">
        <v>20520</v>
      </c>
      <c r="G26" s="471">
        <v>4</v>
      </c>
      <c r="H26" s="471">
        <v>2715</v>
      </c>
      <c r="I26" s="471">
        <v>7</v>
      </c>
      <c r="J26" s="471"/>
      <c r="L26" s="473"/>
    </row>
    <row r="27" spans="1:12" s="472" customFormat="1" x14ac:dyDescent="0.25">
      <c r="A27" s="468">
        <v>165</v>
      </c>
      <c r="B27" s="299" t="s">
        <v>72</v>
      </c>
      <c r="C27" s="469" t="s">
        <v>73</v>
      </c>
      <c r="D27" s="470">
        <v>0.85</v>
      </c>
      <c r="E27" s="464">
        <f t="shared" si="2"/>
        <v>8867</v>
      </c>
      <c r="F27" s="471">
        <v>8867</v>
      </c>
      <c r="G27" s="471">
        <v>10</v>
      </c>
      <c r="H27" s="471"/>
      <c r="I27" s="471">
        <v>0</v>
      </c>
      <c r="J27" s="471"/>
      <c r="L27" s="473"/>
    </row>
    <row r="28" spans="1:12" s="472" customFormat="1" x14ac:dyDescent="0.25">
      <c r="A28" s="468">
        <v>17</v>
      </c>
      <c r="B28" s="293" t="s">
        <v>74</v>
      </c>
      <c r="C28" s="469" t="s">
        <v>200</v>
      </c>
      <c r="D28" s="470">
        <v>0.85</v>
      </c>
      <c r="E28" s="464">
        <f t="shared" si="2"/>
        <v>11285</v>
      </c>
      <c r="F28" s="471">
        <v>11285</v>
      </c>
      <c r="G28" s="471">
        <v>9</v>
      </c>
      <c r="H28" s="471"/>
      <c r="I28" s="471">
        <v>0</v>
      </c>
      <c r="J28" s="471"/>
      <c r="L28" s="473"/>
    </row>
    <row r="29" spans="1:12" s="472" customFormat="1" x14ac:dyDescent="0.25">
      <c r="A29" s="468">
        <v>18</v>
      </c>
      <c r="B29" s="477" t="s">
        <v>75</v>
      </c>
      <c r="C29" s="478" t="s">
        <v>201</v>
      </c>
      <c r="D29" s="470">
        <v>0.85</v>
      </c>
      <c r="E29" s="464">
        <f t="shared" si="2"/>
        <v>4048</v>
      </c>
      <c r="F29" s="471">
        <v>4048</v>
      </c>
      <c r="G29" s="471">
        <v>1</v>
      </c>
      <c r="H29" s="471"/>
      <c r="I29" s="471">
        <v>0</v>
      </c>
      <c r="J29" s="471"/>
      <c r="L29" s="473"/>
    </row>
    <row r="30" spans="1:12" s="472" customFormat="1" x14ac:dyDescent="0.25">
      <c r="A30" s="468">
        <v>19</v>
      </c>
      <c r="B30" s="293" t="s">
        <v>76</v>
      </c>
      <c r="C30" s="469" t="s">
        <v>202</v>
      </c>
      <c r="D30" s="470">
        <v>0.85</v>
      </c>
      <c r="E30" s="464">
        <f t="shared" si="2"/>
        <v>5144</v>
      </c>
      <c r="F30" s="471">
        <v>5144</v>
      </c>
      <c r="G30" s="471">
        <v>4</v>
      </c>
      <c r="H30" s="471"/>
      <c r="I30" s="471">
        <v>0</v>
      </c>
      <c r="J30" s="471"/>
      <c r="L30" s="473"/>
    </row>
    <row r="31" spans="1:12" s="472" customFormat="1" x14ac:dyDescent="0.25">
      <c r="A31" s="468">
        <v>20</v>
      </c>
      <c r="B31" s="474" t="s">
        <v>77</v>
      </c>
      <c r="C31" s="475" t="s">
        <v>78</v>
      </c>
      <c r="D31" s="470">
        <v>0.85</v>
      </c>
      <c r="E31" s="464">
        <f t="shared" si="2"/>
        <v>8915</v>
      </c>
      <c r="F31" s="471">
        <v>8915</v>
      </c>
      <c r="G31" s="471">
        <v>5</v>
      </c>
      <c r="H31" s="471"/>
      <c r="I31" s="471">
        <v>0</v>
      </c>
      <c r="J31" s="471"/>
      <c r="L31" s="473"/>
    </row>
    <row r="32" spans="1:12" s="472" customFormat="1" x14ac:dyDescent="0.25">
      <c r="A32" s="468">
        <v>21</v>
      </c>
      <c r="B32" s="476" t="s">
        <v>322</v>
      </c>
      <c r="C32" s="246" t="s">
        <v>323</v>
      </c>
      <c r="D32" s="470">
        <v>0.85</v>
      </c>
      <c r="E32" s="464">
        <f t="shared" si="2"/>
        <v>2062</v>
      </c>
      <c r="F32" s="471">
        <v>2062</v>
      </c>
      <c r="G32" s="471">
        <v>2</v>
      </c>
      <c r="H32" s="471"/>
      <c r="I32" s="471">
        <v>0</v>
      </c>
      <c r="J32" s="471"/>
      <c r="L32" s="473"/>
    </row>
    <row r="33" spans="1:12" s="472" customFormat="1" x14ac:dyDescent="0.25">
      <c r="A33" s="468">
        <v>22</v>
      </c>
      <c r="B33" s="476" t="s">
        <v>81</v>
      </c>
      <c r="C33" s="246" t="s">
        <v>82</v>
      </c>
      <c r="D33" s="470">
        <v>0.85</v>
      </c>
      <c r="E33" s="464">
        <f t="shared" si="2"/>
        <v>72000</v>
      </c>
      <c r="F33" s="471">
        <v>72000</v>
      </c>
      <c r="G33" s="471">
        <v>107</v>
      </c>
      <c r="H33" s="471"/>
      <c r="I33" s="471">
        <v>0</v>
      </c>
      <c r="J33" s="471"/>
      <c r="L33" s="473"/>
    </row>
    <row r="34" spans="1:12" s="472" customFormat="1" x14ac:dyDescent="0.25">
      <c r="A34" s="468">
        <v>23</v>
      </c>
      <c r="B34" s="293" t="s">
        <v>83</v>
      </c>
      <c r="C34" s="469" t="s">
        <v>203</v>
      </c>
      <c r="D34" s="470">
        <v>0.85</v>
      </c>
      <c r="E34" s="464">
        <f t="shared" si="2"/>
        <v>3712</v>
      </c>
      <c r="F34" s="471">
        <v>3712</v>
      </c>
      <c r="G34" s="471">
        <v>4</v>
      </c>
      <c r="H34" s="471"/>
      <c r="I34" s="471">
        <v>0</v>
      </c>
      <c r="J34" s="471"/>
      <c r="L34" s="473"/>
    </row>
    <row r="35" spans="1:12" s="472" customFormat="1" ht="12.75" customHeight="1" x14ac:dyDescent="0.25">
      <c r="A35" s="468">
        <v>24</v>
      </c>
      <c r="B35" s="293" t="s">
        <v>84</v>
      </c>
      <c r="C35" s="469" t="s">
        <v>85</v>
      </c>
      <c r="D35" s="470">
        <v>0.85</v>
      </c>
      <c r="E35" s="464">
        <f t="shared" si="2"/>
        <v>12612</v>
      </c>
      <c r="F35" s="471">
        <v>12612</v>
      </c>
      <c r="G35" s="471">
        <v>2</v>
      </c>
      <c r="H35" s="471"/>
      <c r="I35" s="471">
        <v>0</v>
      </c>
      <c r="J35" s="471"/>
      <c r="L35" s="473"/>
    </row>
    <row r="36" spans="1:12" s="472" customFormat="1" x14ac:dyDescent="0.25">
      <c r="A36" s="468">
        <v>25</v>
      </c>
      <c r="B36" s="479" t="s">
        <v>86</v>
      </c>
      <c r="C36" s="480" t="s">
        <v>87</v>
      </c>
      <c r="D36" s="470">
        <v>0.85</v>
      </c>
      <c r="E36" s="464">
        <f t="shared" si="2"/>
        <v>2828</v>
      </c>
      <c r="F36" s="471">
        <v>2828</v>
      </c>
      <c r="G36" s="471">
        <v>2</v>
      </c>
      <c r="H36" s="471"/>
      <c r="I36" s="471">
        <v>0</v>
      </c>
      <c r="J36" s="471"/>
      <c r="L36" s="473"/>
    </row>
    <row r="37" spans="1:12" s="472" customFormat="1" x14ac:dyDescent="0.25">
      <c r="A37" s="468">
        <v>26</v>
      </c>
      <c r="B37" s="476" t="s">
        <v>88</v>
      </c>
      <c r="C37" s="246" t="s">
        <v>204</v>
      </c>
      <c r="D37" s="470">
        <v>0.85</v>
      </c>
      <c r="E37" s="464">
        <f t="shared" si="2"/>
        <v>8735</v>
      </c>
      <c r="F37" s="471">
        <v>8735</v>
      </c>
      <c r="G37" s="471">
        <v>7</v>
      </c>
      <c r="H37" s="471"/>
      <c r="I37" s="471">
        <v>0</v>
      </c>
      <c r="J37" s="471"/>
      <c r="L37" s="473"/>
    </row>
    <row r="38" spans="1:12" s="472" customFormat="1" x14ac:dyDescent="0.25">
      <c r="A38" s="468">
        <v>27</v>
      </c>
      <c r="B38" s="299" t="s">
        <v>89</v>
      </c>
      <c r="C38" s="469" t="s">
        <v>90</v>
      </c>
      <c r="D38" s="470">
        <v>0.85</v>
      </c>
      <c r="E38" s="464">
        <f t="shared" si="2"/>
        <v>10326</v>
      </c>
      <c r="F38" s="471">
        <v>10326</v>
      </c>
      <c r="G38" s="471">
        <v>2</v>
      </c>
      <c r="H38" s="471"/>
      <c r="I38" s="471">
        <v>0</v>
      </c>
      <c r="J38" s="471"/>
      <c r="L38" s="473"/>
    </row>
    <row r="39" spans="1:12" s="472" customFormat="1" ht="14.25" customHeight="1" x14ac:dyDescent="0.25">
      <c r="A39" s="468">
        <v>28</v>
      </c>
      <c r="B39" s="476" t="s">
        <v>91</v>
      </c>
      <c r="C39" s="246" t="s">
        <v>92</v>
      </c>
      <c r="D39" s="470">
        <v>0.85</v>
      </c>
      <c r="E39" s="464">
        <f t="shared" si="2"/>
        <v>1763</v>
      </c>
      <c r="F39" s="471">
        <v>1763</v>
      </c>
      <c r="G39" s="471">
        <v>1</v>
      </c>
      <c r="H39" s="471"/>
      <c r="I39" s="471">
        <v>0</v>
      </c>
      <c r="J39" s="471"/>
      <c r="L39" s="473"/>
    </row>
    <row r="40" spans="1:12" s="472" customFormat="1" x14ac:dyDescent="0.25">
      <c r="A40" s="468">
        <v>29</v>
      </c>
      <c r="B40" s="299" t="s">
        <v>93</v>
      </c>
      <c r="C40" s="469" t="s">
        <v>94</v>
      </c>
      <c r="D40" s="470">
        <v>0.85</v>
      </c>
      <c r="E40" s="464">
        <f t="shared" si="2"/>
        <v>7051</v>
      </c>
      <c r="F40" s="471">
        <v>7051</v>
      </c>
      <c r="G40" s="471">
        <v>12</v>
      </c>
      <c r="H40" s="471"/>
      <c r="I40" s="471">
        <v>0</v>
      </c>
      <c r="J40" s="471"/>
      <c r="L40" s="473"/>
    </row>
    <row r="41" spans="1:12" s="472" customFormat="1" x14ac:dyDescent="0.25">
      <c r="A41" s="468">
        <v>30</v>
      </c>
      <c r="B41" s="476" t="s">
        <v>95</v>
      </c>
      <c r="C41" s="246" t="s">
        <v>205</v>
      </c>
      <c r="D41" s="470">
        <v>0.85</v>
      </c>
      <c r="E41" s="464">
        <f t="shared" si="2"/>
        <v>10555</v>
      </c>
      <c r="F41" s="471">
        <v>10555</v>
      </c>
      <c r="G41" s="471">
        <v>5</v>
      </c>
      <c r="H41" s="471"/>
      <c r="I41" s="471">
        <v>0</v>
      </c>
      <c r="J41" s="471"/>
      <c r="L41" s="473"/>
    </row>
    <row r="42" spans="1:12" s="472" customFormat="1" x14ac:dyDescent="0.25">
      <c r="A42" s="468">
        <v>31</v>
      </c>
      <c r="B42" s="476" t="s">
        <v>96</v>
      </c>
      <c r="C42" s="246" t="s">
        <v>97</v>
      </c>
      <c r="D42" s="470">
        <v>0.85</v>
      </c>
      <c r="E42" s="464">
        <f t="shared" si="2"/>
        <v>18009</v>
      </c>
      <c r="F42" s="471">
        <v>17233</v>
      </c>
      <c r="G42" s="471">
        <v>1</v>
      </c>
      <c r="H42" s="471">
        <v>776</v>
      </c>
      <c r="I42" s="471">
        <v>1</v>
      </c>
      <c r="J42" s="471"/>
      <c r="L42" s="473"/>
    </row>
    <row r="43" spans="1:12" s="472" customFormat="1" x14ac:dyDescent="0.25">
      <c r="A43" s="468">
        <v>32</v>
      </c>
      <c r="B43" s="476" t="s">
        <v>98</v>
      </c>
      <c r="C43" s="246" t="s">
        <v>206</v>
      </c>
      <c r="D43" s="470">
        <v>0.85</v>
      </c>
      <c r="E43" s="464">
        <f t="shared" si="2"/>
        <v>2869</v>
      </c>
      <c r="F43" s="471">
        <v>2869</v>
      </c>
      <c r="G43" s="471">
        <v>1</v>
      </c>
      <c r="H43" s="471"/>
      <c r="I43" s="471">
        <v>0</v>
      </c>
      <c r="J43" s="471"/>
      <c r="L43" s="473"/>
    </row>
    <row r="44" spans="1:12" s="472" customFormat="1" x14ac:dyDescent="0.25">
      <c r="A44" s="468">
        <v>33</v>
      </c>
      <c r="B44" s="299" t="s">
        <v>488</v>
      </c>
      <c r="C44" s="246" t="s">
        <v>489</v>
      </c>
      <c r="D44" s="470">
        <v>0.9</v>
      </c>
      <c r="E44" s="464">
        <f t="shared" si="2"/>
        <v>379446</v>
      </c>
      <c r="F44" s="471">
        <v>313581</v>
      </c>
      <c r="G44" s="471">
        <v>5</v>
      </c>
      <c r="H44" s="471">
        <v>42130</v>
      </c>
      <c r="I44" s="471">
        <v>10</v>
      </c>
      <c r="J44" s="471">
        <v>23735</v>
      </c>
      <c r="L44" s="473"/>
    </row>
    <row r="45" spans="1:12" s="472" customFormat="1" x14ac:dyDescent="0.25">
      <c r="A45" s="468">
        <v>34</v>
      </c>
      <c r="B45" s="299" t="s">
        <v>143</v>
      </c>
      <c r="C45" s="481" t="s">
        <v>144</v>
      </c>
      <c r="D45" s="470">
        <v>0.9</v>
      </c>
      <c r="E45" s="464">
        <f t="shared" si="2"/>
        <v>4817</v>
      </c>
      <c r="F45" s="471">
        <v>4817</v>
      </c>
      <c r="G45" s="471">
        <v>3</v>
      </c>
      <c r="H45" s="471"/>
      <c r="I45" s="471">
        <v>0</v>
      </c>
      <c r="J45" s="471"/>
      <c r="L45" s="473"/>
    </row>
    <row r="46" spans="1:12" s="472" customFormat="1" x14ac:dyDescent="0.25">
      <c r="A46" s="468">
        <v>35</v>
      </c>
      <c r="B46" s="476" t="s">
        <v>147</v>
      </c>
      <c r="C46" s="246" t="s">
        <v>148</v>
      </c>
      <c r="D46" s="470">
        <v>0.9</v>
      </c>
      <c r="E46" s="464">
        <f t="shared" si="2"/>
        <v>13532</v>
      </c>
      <c r="F46" s="471">
        <v>13532</v>
      </c>
      <c r="G46" s="471">
        <v>1</v>
      </c>
      <c r="H46" s="471"/>
      <c r="I46" s="471">
        <v>0</v>
      </c>
      <c r="J46" s="471"/>
      <c r="L46" s="473"/>
    </row>
    <row r="47" spans="1:12" s="472" customFormat="1" x14ac:dyDescent="0.25">
      <c r="A47" s="468">
        <v>36</v>
      </c>
      <c r="B47" s="299" t="s">
        <v>151</v>
      </c>
      <c r="C47" s="469" t="s">
        <v>152</v>
      </c>
      <c r="D47" s="470">
        <v>0.91</v>
      </c>
      <c r="E47" s="464">
        <f t="shared" si="2"/>
        <v>7399</v>
      </c>
      <c r="F47" s="471">
        <v>6738</v>
      </c>
      <c r="G47" s="471">
        <v>6</v>
      </c>
      <c r="H47" s="471">
        <v>661</v>
      </c>
      <c r="I47" s="471">
        <v>3</v>
      </c>
      <c r="J47" s="471"/>
      <c r="L47" s="473"/>
    </row>
    <row r="48" spans="1:12" s="472" customFormat="1" x14ac:dyDescent="0.25">
      <c r="A48" s="468">
        <v>37</v>
      </c>
      <c r="B48" s="293" t="s">
        <v>153</v>
      </c>
      <c r="C48" s="469" t="s">
        <v>154</v>
      </c>
      <c r="D48" s="470">
        <v>0.91</v>
      </c>
      <c r="E48" s="464">
        <f t="shared" si="2"/>
        <v>15024</v>
      </c>
      <c r="F48" s="471">
        <v>11894</v>
      </c>
      <c r="G48" s="471">
        <v>4</v>
      </c>
      <c r="H48" s="471">
        <v>3130</v>
      </c>
      <c r="I48" s="471">
        <v>0</v>
      </c>
      <c r="J48" s="471"/>
      <c r="L48" s="473"/>
    </row>
    <row r="49" spans="1:12" s="472" customFormat="1" x14ac:dyDescent="0.25">
      <c r="A49" s="468">
        <v>38</v>
      </c>
      <c r="B49" s="293" t="s">
        <v>155</v>
      </c>
      <c r="C49" s="469" t="s">
        <v>156</v>
      </c>
      <c r="D49" s="470">
        <v>0.91</v>
      </c>
      <c r="E49" s="464">
        <f t="shared" si="2"/>
        <v>12713</v>
      </c>
      <c r="F49" s="471">
        <v>12713</v>
      </c>
      <c r="G49" s="471">
        <v>3</v>
      </c>
      <c r="H49" s="471"/>
      <c r="I49" s="471">
        <v>0</v>
      </c>
      <c r="J49" s="471"/>
      <c r="L49" s="473"/>
    </row>
    <row r="50" spans="1:12" s="472" customFormat="1" x14ac:dyDescent="0.25">
      <c r="A50" s="468">
        <v>39</v>
      </c>
      <c r="B50" s="474" t="s">
        <v>159</v>
      </c>
      <c r="C50" s="475" t="s">
        <v>160</v>
      </c>
      <c r="D50" s="470">
        <v>0.91</v>
      </c>
      <c r="E50" s="464">
        <f t="shared" si="2"/>
        <v>6987</v>
      </c>
      <c r="F50" s="471">
        <v>6987</v>
      </c>
      <c r="G50" s="471">
        <v>12</v>
      </c>
      <c r="H50" s="471"/>
      <c r="I50" s="471">
        <v>0</v>
      </c>
      <c r="J50" s="471"/>
      <c r="L50" s="473"/>
    </row>
    <row r="51" spans="1:12" s="472" customFormat="1" x14ac:dyDescent="0.25">
      <c r="A51" s="468">
        <v>40</v>
      </c>
      <c r="B51" s="299" t="s">
        <v>163</v>
      </c>
      <c r="C51" s="469" t="s">
        <v>164</v>
      </c>
      <c r="D51" s="470">
        <v>0.91</v>
      </c>
      <c r="E51" s="464">
        <f t="shared" si="2"/>
        <v>30266</v>
      </c>
      <c r="F51" s="471">
        <v>30266</v>
      </c>
      <c r="G51" s="471">
        <v>14</v>
      </c>
      <c r="H51" s="471"/>
      <c r="I51" s="471">
        <v>0</v>
      </c>
      <c r="J51" s="471"/>
      <c r="L51" s="473"/>
    </row>
    <row r="52" spans="1:12" s="472" customFormat="1" x14ac:dyDescent="0.25">
      <c r="A52" s="468">
        <v>41</v>
      </c>
      <c r="B52" s="476" t="s">
        <v>165</v>
      </c>
      <c r="C52" s="246" t="s">
        <v>166</v>
      </c>
      <c r="D52" s="470">
        <v>0.91</v>
      </c>
      <c r="E52" s="464">
        <f t="shared" si="2"/>
        <v>5210</v>
      </c>
      <c r="F52" s="471">
        <v>5210</v>
      </c>
      <c r="G52" s="471">
        <v>3</v>
      </c>
      <c r="H52" s="471"/>
      <c r="I52" s="471">
        <v>0</v>
      </c>
      <c r="J52" s="471"/>
      <c r="L52" s="473"/>
    </row>
    <row r="53" spans="1:12" s="472" customFormat="1" ht="12" customHeight="1" x14ac:dyDescent="0.25">
      <c r="A53" s="468">
        <v>42</v>
      </c>
      <c r="B53" s="476" t="s">
        <v>167</v>
      </c>
      <c r="C53" s="246" t="s">
        <v>168</v>
      </c>
      <c r="D53" s="470">
        <v>0.91</v>
      </c>
      <c r="E53" s="464">
        <f t="shared" si="2"/>
        <v>7735</v>
      </c>
      <c r="F53" s="471">
        <v>7735</v>
      </c>
      <c r="G53" s="471">
        <v>3</v>
      </c>
      <c r="H53" s="471"/>
      <c r="I53" s="471">
        <v>0</v>
      </c>
      <c r="J53" s="471"/>
      <c r="L53" s="473"/>
    </row>
    <row r="54" spans="1:12" s="472" customFormat="1" x14ac:dyDescent="0.25">
      <c r="A54" s="468">
        <v>43</v>
      </c>
      <c r="B54" s="293" t="s">
        <v>169</v>
      </c>
      <c r="C54" s="469" t="s">
        <v>170</v>
      </c>
      <c r="D54" s="470">
        <v>0.91</v>
      </c>
      <c r="E54" s="464">
        <f t="shared" si="2"/>
        <v>13117</v>
      </c>
      <c r="F54" s="471">
        <v>13117</v>
      </c>
      <c r="G54" s="471">
        <v>20</v>
      </c>
      <c r="H54" s="471"/>
      <c r="I54" s="471">
        <v>0</v>
      </c>
      <c r="J54" s="471"/>
      <c r="L54" s="473"/>
    </row>
    <row r="55" spans="1:12" s="472" customFormat="1" x14ac:dyDescent="0.25">
      <c r="A55" s="468">
        <v>44</v>
      </c>
      <c r="B55" s="299" t="s">
        <v>171</v>
      </c>
      <c r="C55" s="469" t="s">
        <v>216</v>
      </c>
      <c r="D55" s="470">
        <v>0.91</v>
      </c>
      <c r="E55" s="464">
        <f t="shared" si="2"/>
        <v>6049</v>
      </c>
      <c r="F55" s="471">
        <v>6049</v>
      </c>
      <c r="G55" s="471">
        <v>2</v>
      </c>
      <c r="H55" s="471"/>
      <c r="I55" s="471">
        <v>0</v>
      </c>
      <c r="J55" s="471"/>
      <c r="L55" s="473"/>
    </row>
    <row r="56" spans="1:12" s="472" customFormat="1" x14ac:dyDescent="0.25">
      <c r="A56" s="448"/>
      <c r="B56" s="448"/>
      <c r="C56" s="482"/>
      <c r="D56" s="448"/>
      <c r="E56" s="448"/>
      <c r="F56" s="473"/>
      <c r="G56" s="473"/>
      <c r="H56" s="483"/>
      <c r="I56" s="483"/>
      <c r="J56" s="473"/>
    </row>
    <row r="57" spans="1:12" s="472" customFormat="1" x14ac:dyDescent="0.25">
      <c r="A57" s="448"/>
      <c r="B57" s="448"/>
      <c r="C57" s="482"/>
      <c r="D57" s="448"/>
      <c r="E57" s="448"/>
      <c r="F57" s="473"/>
      <c r="G57" s="473"/>
      <c r="H57" s="483"/>
      <c r="I57" s="483"/>
      <c r="J57" s="473"/>
    </row>
    <row r="58" spans="1:12" s="472" customFormat="1" x14ac:dyDescent="0.25">
      <c r="A58" s="448"/>
      <c r="B58" s="448"/>
      <c r="C58" s="482"/>
      <c r="D58" s="448"/>
      <c r="E58" s="448"/>
      <c r="F58" s="473"/>
      <c r="G58" s="473"/>
      <c r="H58" s="483"/>
      <c r="I58" s="483"/>
      <c r="J58" s="473"/>
    </row>
    <row r="59" spans="1:12" s="472" customFormat="1" x14ac:dyDescent="0.25">
      <c r="A59" s="448"/>
      <c r="B59" s="448"/>
      <c r="C59" s="482"/>
      <c r="D59" s="448"/>
      <c r="E59" s="448"/>
      <c r="F59" s="473"/>
      <c r="G59" s="473"/>
      <c r="H59" s="483"/>
      <c r="I59" s="483"/>
      <c r="J59" s="473"/>
    </row>
    <row r="60" spans="1:12" s="472" customFormat="1" x14ac:dyDescent="0.25">
      <c r="A60" s="448"/>
      <c r="B60" s="448"/>
      <c r="C60" s="482"/>
      <c r="D60" s="448"/>
      <c r="E60" s="448"/>
      <c r="F60" s="473"/>
      <c r="G60" s="473"/>
      <c r="H60" s="483"/>
      <c r="I60" s="483"/>
      <c r="J60" s="473"/>
    </row>
    <row r="61" spans="1:12" s="472" customFormat="1" x14ac:dyDescent="0.25">
      <c r="A61" s="448"/>
      <c r="B61" s="448"/>
      <c r="C61" s="482"/>
      <c r="D61" s="448"/>
      <c r="E61" s="448"/>
      <c r="F61" s="473"/>
      <c r="G61" s="473"/>
      <c r="H61" s="483"/>
      <c r="I61" s="483"/>
      <c r="J61" s="473"/>
    </row>
    <row r="62" spans="1:12" s="472" customFormat="1" x14ac:dyDescent="0.25">
      <c r="A62" s="448"/>
      <c r="B62" s="448"/>
      <c r="C62" s="482"/>
      <c r="D62" s="448"/>
      <c r="E62" s="448"/>
      <c r="F62" s="473"/>
      <c r="G62" s="473"/>
      <c r="H62" s="483"/>
      <c r="I62" s="483"/>
      <c r="J62" s="473"/>
    </row>
    <row r="63" spans="1:12" s="472" customFormat="1" x14ac:dyDescent="0.25">
      <c r="A63" s="448"/>
      <c r="B63" s="448"/>
      <c r="C63" s="482"/>
      <c r="D63" s="448"/>
      <c r="E63" s="448"/>
      <c r="F63" s="473"/>
      <c r="G63" s="473"/>
      <c r="H63" s="483"/>
      <c r="I63" s="483"/>
      <c r="J63" s="473"/>
    </row>
    <row r="64" spans="1:12" s="472" customFormat="1" x14ac:dyDescent="0.25">
      <c r="A64" s="448"/>
      <c r="B64" s="448"/>
      <c r="C64" s="482"/>
      <c r="D64" s="448"/>
      <c r="E64" s="448"/>
      <c r="F64" s="473"/>
      <c r="G64" s="473"/>
      <c r="H64" s="483"/>
      <c r="I64" s="483"/>
      <c r="J64" s="473"/>
    </row>
    <row r="65" spans="1:10" s="472" customFormat="1" x14ac:dyDescent="0.25">
      <c r="A65" s="448"/>
      <c r="B65" s="448"/>
      <c r="C65" s="482"/>
      <c r="D65" s="448"/>
      <c r="E65" s="448"/>
      <c r="F65" s="473"/>
      <c r="G65" s="473"/>
      <c r="H65" s="483"/>
      <c r="I65" s="483"/>
      <c r="J65" s="473"/>
    </row>
    <row r="66" spans="1:10" s="472" customFormat="1" x14ac:dyDescent="0.25">
      <c r="A66" s="448"/>
      <c r="B66" s="448"/>
      <c r="C66" s="482"/>
      <c r="D66" s="448"/>
      <c r="E66" s="448"/>
      <c r="F66" s="473"/>
      <c r="G66" s="473"/>
      <c r="H66" s="483"/>
      <c r="I66" s="483"/>
      <c r="J66" s="473"/>
    </row>
    <row r="67" spans="1:10" s="472" customFormat="1" x14ac:dyDescent="0.25">
      <c r="A67" s="448"/>
      <c r="B67" s="448"/>
      <c r="C67" s="482"/>
      <c r="D67" s="448"/>
      <c r="E67" s="448"/>
      <c r="F67" s="473"/>
      <c r="G67" s="473"/>
      <c r="H67" s="483"/>
      <c r="I67" s="483"/>
      <c r="J67" s="473"/>
    </row>
    <row r="68" spans="1:10" s="472" customFormat="1" x14ac:dyDescent="0.25">
      <c r="A68" s="448"/>
      <c r="B68" s="448"/>
      <c r="C68" s="482"/>
      <c r="D68" s="448"/>
      <c r="E68" s="448"/>
      <c r="F68" s="473"/>
      <c r="G68" s="473"/>
      <c r="H68" s="483"/>
      <c r="I68" s="483"/>
      <c r="J68" s="473"/>
    </row>
    <row r="69" spans="1:10" s="472" customFormat="1" x14ac:dyDescent="0.25">
      <c r="A69" s="448"/>
      <c r="B69" s="448"/>
      <c r="C69" s="482"/>
      <c r="D69" s="448"/>
      <c r="E69" s="448"/>
      <c r="F69" s="473"/>
      <c r="G69" s="473"/>
      <c r="H69" s="483"/>
      <c r="I69" s="483"/>
      <c r="J69" s="473"/>
    </row>
    <row r="70" spans="1:10" s="472" customFormat="1" x14ac:dyDescent="0.25">
      <c r="A70" s="448"/>
      <c r="B70" s="448"/>
      <c r="C70" s="482"/>
      <c r="D70" s="448"/>
      <c r="E70" s="448"/>
      <c r="F70" s="473"/>
      <c r="G70" s="473"/>
      <c r="H70" s="483"/>
      <c r="I70" s="483"/>
      <c r="J70" s="473"/>
    </row>
    <row r="71" spans="1:10" s="472" customFormat="1" x14ac:dyDescent="0.25">
      <c r="A71" s="448"/>
      <c r="B71" s="448"/>
      <c r="C71" s="482"/>
      <c r="D71" s="448"/>
      <c r="E71" s="448"/>
      <c r="F71" s="473"/>
      <c r="G71" s="473"/>
      <c r="H71" s="483"/>
      <c r="I71" s="483"/>
      <c r="J71" s="473"/>
    </row>
    <row r="72" spans="1:10" s="472" customFormat="1" x14ac:dyDescent="0.25">
      <c r="A72" s="448"/>
      <c r="B72" s="448"/>
      <c r="C72" s="482"/>
      <c r="D72" s="448"/>
      <c r="E72" s="448"/>
      <c r="F72" s="473"/>
      <c r="G72" s="473"/>
      <c r="H72" s="483"/>
      <c r="I72" s="483"/>
      <c r="J72" s="473"/>
    </row>
    <row r="73" spans="1:10" s="472" customFormat="1" x14ac:dyDescent="0.25">
      <c r="A73" s="448"/>
      <c r="B73" s="448"/>
      <c r="C73" s="482"/>
      <c r="D73" s="448"/>
      <c r="E73" s="448"/>
      <c r="F73" s="473"/>
      <c r="G73" s="473"/>
      <c r="H73" s="483"/>
      <c r="I73" s="483"/>
      <c r="J73" s="473"/>
    </row>
    <row r="74" spans="1:10" s="472" customFormat="1" x14ac:dyDescent="0.25">
      <c r="A74" s="448"/>
      <c r="B74" s="448"/>
      <c r="C74" s="482"/>
      <c r="D74" s="448"/>
      <c r="E74" s="448"/>
      <c r="F74" s="473"/>
      <c r="G74" s="473"/>
      <c r="H74" s="483"/>
      <c r="I74" s="483"/>
      <c r="J74" s="473"/>
    </row>
    <row r="75" spans="1:10" s="472" customFormat="1" x14ac:dyDescent="0.25">
      <c r="A75" s="448"/>
      <c r="B75" s="448"/>
      <c r="C75" s="482"/>
      <c r="D75" s="448"/>
      <c r="E75" s="448"/>
      <c r="F75" s="473"/>
      <c r="G75" s="473"/>
      <c r="H75" s="483"/>
      <c r="I75" s="483"/>
      <c r="J75" s="473"/>
    </row>
    <row r="76" spans="1:10" s="472" customFormat="1" x14ac:dyDescent="0.25">
      <c r="A76" s="448"/>
      <c r="B76" s="448"/>
      <c r="C76" s="482"/>
      <c r="D76" s="448"/>
      <c r="E76" s="448"/>
      <c r="F76" s="473"/>
      <c r="G76" s="473"/>
      <c r="H76" s="483"/>
      <c r="I76" s="483"/>
      <c r="J76" s="473"/>
    </row>
    <row r="77" spans="1:10" s="472" customFormat="1" x14ac:dyDescent="0.25">
      <c r="A77" s="448"/>
      <c r="B77" s="448"/>
      <c r="C77" s="482"/>
      <c r="D77" s="448"/>
      <c r="E77" s="448"/>
      <c r="F77" s="473"/>
      <c r="G77" s="473"/>
      <c r="H77" s="483"/>
      <c r="I77" s="483"/>
      <c r="J77" s="473"/>
    </row>
    <row r="78" spans="1:10" s="472" customFormat="1" x14ac:dyDescent="0.25">
      <c r="A78" s="448"/>
      <c r="B78" s="448"/>
      <c r="C78" s="482"/>
      <c r="D78" s="448"/>
      <c r="E78" s="448"/>
      <c r="F78" s="473"/>
      <c r="G78" s="473"/>
      <c r="H78" s="483"/>
      <c r="I78" s="483"/>
      <c r="J78" s="473"/>
    </row>
    <row r="79" spans="1:10" s="472" customFormat="1" x14ac:dyDescent="0.25">
      <c r="A79" s="448"/>
      <c r="B79" s="448"/>
      <c r="C79" s="482"/>
      <c r="D79" s="448"/>
      <c r="E79" s="448"/>
      <c r="F79" s="473"/>
      <c r="G79" s="473"/>
      <c r="H79" s="483"/>
      <c r="I79" s="483"/>
      <c r="J79" s="473"/>
    </row>
    <row r="80" spans="1:10" s="472" customFormat="1" x14ac:dyDescent="0.25">
      <c r="A80" s="448"/>
      <c r="B80" s="448"/>
      <c r="C80" s="482"/>
      <c r="D80" s="448"/>
      <c r="E80" s="448"/>
      <c r="F80" s="473"/>
      <c r="G80" s="473"/>
      <c r="H80" s="483"/>
      <c r="I80" s="483"/>
      <c r="J80" s="473"/>
    </row>
    <row r="81" spans="1:10" s="472" customFormat="1" x14ac:dyDescent="0.25">
      <c r="A81" s="448"/>
      <c r="B81" s="448"/>
      <c r="C81" s="482"/>
      <c r="D81" s="448"/>
      <c r="E81" s="448"/>
      <c r="F81" s="473"/>
      <c r="G81" s="473"/>
      <c r="H81" s="483"/>
      <c r="I81" s="483"/>
      <c r="J81" s="473"/>
    </row>
    <row r="82" spans="1:10" s="472" customFormat="1" x14ac:dyDescent="0.25">
      <c r="A82" s="448"/>
      <c r="B82" s="448"/>
      <c r="C82" s="482"/>
      <c r="D82" s="448"/>
      <c r="E82" s="448"/>
      <c r="F82" s="473"/>
      <c r="G82" s="473"/>
      <c r="H82" s="483"/>
      <c r="I82" s="483"/>
      <c r="J82" s="473"/>
    </row>
    <row r="83" spans="1:10" s="472" customFormat="1" x14ac:dyDescent="0.25">
      <c r="A83" s="448"/>
      <c r="B83" s="448"/>
      <c r="C83" s="482"/>
      <c r="D83" s="448"/>
      <c r="E83" s="448"/>
      <c r="F83" s="473"/>
      <c r="G83" s="473"/>
      <c r="H83" s="483"/>
      <c r="I83" s="483"/>
      <c r="J83" s="473"/>
    </row>
    <row r="84" spans="1:10" s="472" customFormat="1" x14ac:dyDescent="0.25">
      <c r="A84" s="448"/>
      <c r="B84" s="448"/>
      <c r="C84" s="482"/>
      <c r="D84" s="448"/>
      <c r="E84" s="448"/>
      <c r="F84" s="473"/>
      <c r="G84" s="473"/>
      <c r="H84" s="483"/>
      <c r="I84" s="483"/>
      <c r="J84" s="473"/>
    </row>
    <row r="85" spans="1:10" s="472" customFormat="1" x14ac:dyDescent="0.25">
      <c r="A85" s="448"/>
      <c r="B85" s="448"/>
      <c r="C85" s="482"/>
      <c r="D85" s="448"/>
      <c r="E85" s="448"/>
      <c r="F85" s="473"/>
      <c r="G85" s="473"/>
      <c r="H85" s="483"/>
      <c r="I85" s="483"/>
      <c r="J85" s="473"/>
    </row>
    <row r="86" spans="1:10" s="472" customFormat="1" x14ac:dyDescent="0.25">
      <c r="A86" s="448"/>
      <c r="B86" s="448"/>
      <c r="C86" s="482"/>
      <c r="D86" s="448"/>
      <c r="E86" s="448"/>
      <c r="F86" s="473"/>
      <c r="G86" s="473"/>
      <c r="H86" s="483"/>
      <c r="I86" s="483"/>
      <c r="J86" s="473"/>
    </row>
    <row r="87" spans="1:10" s="472" customFormat="1" x14ac:dyDescent="0.25">
      <c r="A87" s="448"/>
      <c r="B87" s="448"/>
      <c r="C87" s="482"/>
      <c r="D87" s="448"/>
      <c r="E87" s="448"/>
      <c r="F87" s="473"/>
      <c r="G87" s="473"/>
      <c r="H87" s="483"/>
      <c r="I87" s="483"/>
      <c r="J87" s="473"/>
    </row>
    <row r="88" spans="1:10" s="472" customFormat="1" x14ac:dyDescent="0.25">
      <c r="A88" s="448"/>
      <c r="B88" s="448"/>
      <c r="C88" s="482"/>
      <c r="D88" s="448"/>
      <c r="E88" s="448"/>
      <c r="F88" s="473"/>
      <c r="G88" s="473"/>
      <c r="H88" s="483"/>
      <c r="I88" s="483"/>
      <c r="J88" s="473"/>
    </row>
    <row r="89" spans="1:10" s="472" customFormat="1" x14ac:dyDescent="0.25">
      <c r="A89" s="448"/>
      <c r="B89" s="448"/>
      <c r="C89" s="482"/>
      <c r="D89" s="448"/>
      <c r="E89" s="448"/>
      <c r="F89" s="473"/>
      <c r="G89" s="473"/>
      <c r="H89" s="483"/>
      <c r="I89" s="483"/>
      <c r="J89" s="473"/>
    </row>
    <row r="90" spans="1:10" s="472" customFormat="1" x14ac:dyDescent="0.25">
      <c r="A90" s="448"/>
      <c r="B90" s="448"/>
      <c r="C90" s="482"/>
      <c r="D90" s="448"/>
      <c r="E90" s="448"/>
      <c r="F90" s="473"/>
      <c r="G90" s="473"/>
      <c r="H90" s="483"/>
      <c r="I90" s="483"/>
      <c r="J90" s="473"/>
    </row>
    <row r="91" spans="1:10" s="472" customFormat="1" x14ac:dyDescent="0.25">
      <c r="A91" s="448"/>
      <c r="B91" s="448"/>
      <c r="C91" s="482"/>
      <c r="D91" s="448"/>
      <c r="E91" s="448"/>
      <c r="F91" s="473"/>
      <c r="G91" s="473"/>
      <c r="H91" s="483"/>
      <c r="I91" s="483"/>
      <c r="J91" s="473"/>
    </row>
    <row r="92" spans="1:10" s="472" customFormat="1" x14ac:dyDescent="0.25">
      <c r="A92" s="448"/>
      <c r="B92" s="448"/>
      <c r="C92" s="482"/>
      <c r="D92" s="448"/>
      <c r="E92" s="448"/>
      <c r="F92" s="473"/>
      <c r="G92" s="473"/>
      <c r="H92" s="483"/>
      <c r="I92" s="483"/>
      <c r="J92" s="473"/>
    </row>
    <row r="93" spans="1:10" s="472" customFormat="1" x14ac:dyDescent="0.25">
      <c r="A93" s="448"/>
      <c r="B93" s="448"/>
      <c r="C93" s="482"/>
      <c r="D93" s="448"/>
      <c r="E93" s="448"/>
      <c r="F93" s="473"/>
      <c r="G93" s="473"/>
      <c r="H93" s="483"/>
      <c r="I93" s="483"/>
      <c r="J93" s="473"/>
    </row>
  </sheetData>
  <mergeCells count="16">
    <mergeCell ref="A11:C11"/>
    <mergeCell ref="C2:J2"/>
    <mergeCell ref="A4:A8"/>
    <mergeCell ref="B4:B8"/>
    <mergeCell ref="C4:C8"/>
    <mergeCell ref="D4:D8"/>
    <mergeCell ref="E4:J5"/>
    <mergeCell ref="E6:E8"/>
    <mergeCell ref="F6:J6"/>
    <mergeCell ref="F7:F8"/>
    <mergeCell ref="G7:G8"/>
    <mergeCell ref="H7:H8"/>
    <mergeCell ref="I7:I8"/>
    <mergeCell ref="J7:J8"/>
    <mergeCell ref="A9:C9"/>
    <mergeCell ref="A10:C10"/>
  </mergeCells>
  <pageMargins left="0" right="0" top="0" bottom="0" header="0" footer="0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3"/>
  <sheetViews>
    <sheetView workbookViewId="0">
      <pane xSplit="1" ySplit="3" topLeftCell="B61" activePane="bottomRight" state="frozen"/>
      <selection pane="topRight" activeCell="B1" sqref="B1"/>
      <selection pane="bottomLeft" activeCell="A4" sqref="A4"/>
      <selection pane="bottomRight" sqref="A1:AF1"/>
    </sheetView>
  </sheetViews>
  <sheetFormatPr defaultRowHeight="12.75" x14ac:dyDescent="0.2"/>
  <cols>
    <col min="1" max="1" width="24.5703125" style="551" customWidth="1"/>
    <col min="2" max="2" width="12.7109375" style="540" customWidth="1"/>
    <col min="3" max="3" width="9.85546875" style="540" customWidth="1"/>
    <col min="4" max="4" width="8.140625" style="540" customWidth="1"/>
    <col min="5" max="5" width="7.7109375" style="540" customWidth="1"/>
    <col min="6" max="6" width="9.42578125" style="540" customWidth="1"/>
    <col min="7" max="7" width="7.7109375" style="541" customWidth="1"/>
    <col min="8" max="8" width="8" style="540" customWidth="1"/>
    <col min="9" max="9" width="8.5703125" style="540" customWidth="1"/>
    <col min="10" max="10" width="9" style="540" customWidth="1"/>
    <col min="11" max="13" width="10.42578125" style="541" customWidth="1"/>
    <col min="14" max="14" width="9.42578125" style="541" customWidth="1"/>
    <col min="15" max="15" width="8.85546875" style="541" customWidth="1"/>
    <col min="16" max="16" width="9.28515625" style="540" customWidth="1"/>
    <col min="17" max="17" width="8.7109375" style="540" customWidth="1"/>
    <col min="18" max="18" width="8.5703125" style="541" customWidth="1"/>
    <col min="19" max="19" width="13.7109375" style="540" customWidth="1"/>
    <col min="20" max="20" width="10.85546875" style="541" customWidth="1"/>
    <col min="21" max="21" width="11.85546875" style="541" customWidth="1"/>
    <col min="22" max="22" width="13.5703125" style="541" customWidth="1"/>
    <col min="23" max="23" width="14.28515625" style="541" customWidth="1"/>
    <col min="24" max="24" width="10.85546875" style="541" customWidth="1"/>
    <col min="25" max="25" width="15.85546875" style="540" customWidth="1"/>
    <col min="26" max="26" width="11.5703125" style="540" customWidth="1"/>
    <col min="27" max="27" width="12.140625" style="540" customWidth="1"/>
    <col min="28" max="28" width="11.42578125" style="540" customWidth="1"/>
    <col min="29" max="29" width="8.85546875" style="541" customWidth="1"/>
    <col min="30" max="30" width="9.28515625" style="541" customWidth="1"/>
    <col min="31" max="31" width="7.5703125" style="540" customWidth="1"/>
    <col min="32" max="32" width="9.7109375" style="540" customWidth="1"/>
    <col min="33" max="16384" width="9.140625" style="541"/>
  </cols>
  <sheetData>
    <row r="1" spans="1:32" ht="17.25" customHeight="1" x14ac:dyDescent="0.25">
      <c r="A1" s="577" t="s">
        <v>705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8"/>
    </row>
    <row r="2" spans="1:32" s="531" customFormat="1" ht="52.5" customHeight="1" x14ac:dyDescent="0.2">
      <c r="A2" s="553" t="s">
        <v>706</v>
      </c>
      <c r="B2" s="553" t="s">
        <v>666</v>
      </c>
      <c r="C2" s="553" t="s">
        <v>707</v>
      </c>
      <c r="D2" s="553" t="s">
        <v>13</v>
      </c>
      <c r="E2" s="553" t="s">
        <v>7</v>
      </c>
      <c r="F2" s="553" t="s">
        <v>186</v>
      </c>
      <c r="G2" s="553" t="s">
        <v>738</v>
      </c>
      <c r="H2" s="553" t="s">
        <v>190</v>
      </c>
      <c r="I2" s="553" t="s">
        <v>2</v>
      </c>
      <c r="J2" s="553" t="s">
        <v>397</v>
      </c>
      <c r="K2" s="553" t="s">
        <v>517</v>
      </c>
      <c r="L2" s="553" t="s">
        <v>708</v>
      </c>
      <c r="M2" s="553" t="s">
        <v>739</v>
      </c>
      <c r="N2" s="553" t="s">
        <v>740</v>
      </c>
      <c r="O2" s="553" t="s">
        <v>741</v>
      </c>
      <c r="P2" s="553" t="s">
        <v>742</v>
      </c>
      <c r="Q2" s="553" t="s">
        <v>743</v>
      </c>
      <c r="R2" s="553" t="s">
        <v>744</v>
      </c>
      <c r="S2" s="553" t="s">
        <v>164</v>
      </c>
      <c r="T2" s="553" t="s">
        <v>47</v>
      </c>
      <c r="U2" s="553" t="s">
        <v>709</v>
      </c>
      <c r="V2" s="553" t="s">
        <v>710</v>
      </c>
      <c r="W2" s="553" t="s">
        <v>711</v>
      </c>
      <c r="X2" s="553" t="s">
        <v>745</v>
      </c>
      <c r="Y2" s="553" t="s">
        <v>712</v>
      </c>
      <c r="Z2" s="553" t="s">
        <v>737</v>
      </c>
      <c r="AA2" s="553" t="s">
        <v>713</v>
      </c>
      <c r="AB2" s="553" t="s">
        <v>703</v>
      </c>
      <c r="AC2" s="553" t="s">
        <v>467</v>
      </c>
      <c r="AD2" s="553" t="s">
        <v>714</v>
      </c>
      <c r="AE2" s="555" t="s">
        <v>715</v>
      </c>
      <c r="AF2" s="553" t="s">
        <v>716</v>
      </c>
    </row>
    <row r="3" spans="1:32" s="531" customFormat="1" ht="11.25" customHeight="1" x14ac:dyDescent="0.2">
      <c r="A3" s="532">
        <v>1</v>
      </c>
      <c r="B3" s="533">
        <v>2</v>
      </c>
      <c r="C3" s="532">
        <v>3</v>
      </c>
      <c r="D3" s="532">
        <v>4</v>
      </c>
      <c r="E3" s="533">
        <v>5</v>
      </c>
      <c r="F3" s="532">
        <v>6</v>
      </c>
      <c r="G3" s="532">
        <v>7</v>
      </c>
      <c r="H3" s="533">
        <v>8</v>
      </c>
      <c r="I3" s="532">
        <v>9</v>
      </c>
      <c r="J3" s="532">
        <v>10</v>
      </c>
      <c r="K3" s="533">
        <v>11</v>
      </c>
      <c r="L3" s="532">
        <v>12</v>
      </c>
      <c r="M3" s="532">
        <v>13</v>
      </c>
      <c r="N3" s="532">
        <v>14</v>
      </c>
      <c r="O3" s="533">
        <v>15</v>
      </c>
      <c r="P3" s="532">
        <v>16</v>
      </c>
      <c r="Q3" s="532">
        <v>17</v>
      </c>
      <c r="R3" s="533">
        <v>18</v>
      </c>
      <c r="S3" s="532">
        <v>19</v>
      </c>
      <c r="T3" s="532">
        <v>20</v>
      </c>
      <c r="U3" s="532">
        <v>21</v>
      </c>
      <c r="V3" s="533">
        <v>22</v>
      </c>
      <c r="W3" s="532">
        <v>23</v>
      </c>
      <c r="X3" s="532">
        <v>24</v>
      </c>
      <c r="Y3" s="533">
        <v>25</v>
      </c>
      <c r="Z3" s="532">
        <v>26</v>
      </c>
      <c r="AA3" s="532">
        <v>27</v>
      </c>
      <c r="AB3" s="533">
        <v>28</v>
      </c>
      <c r="AC3" s="532">
        <v>29</v>
      </c>
      <c r="AD3" s="532">
        <v>30</v>
      </c>
      <c r="AE3" s="533">
        <v>31</v>
      </c>
      <c r="AF3" s="532">
        <v>32</v>
      </c>
    </row>
    <row r="4" spans="1:32" s="544" customFormat="1" ht="15" customHeight="1" x14ac:dyDescent="0.2">
      <c r="A4" s="554" t="s">
        <v>717</v>
      </c>
      <c r="B4" s="543">
        <f t="shared" ref="B4:AF4" si="0">B5+B6</f>
        <v>170</v>
      </c>
      <c r="C4" s="543">
        <f t="shared" si="0"/>
        <v>0</v>
      </c>
      <c r="D4" s="543">
        <f t="shared" si="0"/>
        <v>0</v>
      </c>
      <c r="E4" s="543">
        <f t="shared" si="0"/>
        <v>0</v>
      </c>
      <c r="F4" s="543">
        <f t="shared" si="0"/>
        <v>0</v>
      </c>
      <c r="G4" s="543">
        <f t="shared" si="0"/>
        <v>0</v>
      </c>
      <c r="H4" s="543">
        <f t="shared" si="0"/>
        <v>0</v>
      </c>
      <c r="I4" s="543">
        <f t="shared" si="0"/>
        <v>0</v>
      </c>
      <c r="J4" s="543">
        <f t="shared" si="0"/>
        <v>65</v>
      </c>
      <c r="K4" s="543">
        <f t="shared" si="0"/>
        <v>0</v>
      </c>
      <c r="L4" s="543">
        <f t="shared" si="0"/>
        <v>0</v>
      </c>
      <c r="M4" s="543">
        <f t="shared" si="0"/>
        <v>0</v>
      </c>
      <c r="N4" s="543">
        <f t="shared" si="0"/>
        <v>0</v>
      </c>
      <c r="O4" s="543">
        <f t="shared" si="0"/>
        <v>0</v>
      </c>
      <c r="P4" s="543">
        <f t="shared" si="0"/>
        <v>0</v>
      </c>
      <c r="Q4" s="543">
        <f t="shared" si="0"/>
        <v>0</v>
      </c>
      <c r="R4" s="543">
        <f t="shared" si="0"/>
        <v>0</v>
      </c>
      <c r="S4" s="543">
        <f t="shared" si="0"/>
        <v>0</v>
      </c>
      <c r="T4" s="543">
        <f t="shared" si="0"/>
        <v>0</v>
      </c>
      <c r="U4" s="543">
        <f t="shared" si="0"/>
        <v>0</v>
      </c>
      <c r="V4" s="543">
        <f t="shared" si="0"/>
        <v>0</v>
      </c>
      <c r="W4" s="543">
        <f t="shared" si="0"/>
        <v>0</v>
      </c>
      <c r="X4" s="543">
        <f t="shared" si="0"/>
        <v>0</v>
      </c>
      <c r="Y4" s="543">
        <f t="shared" si="0"/>
        <v>0</v>
      </c>
      <c r="Z4" s="543">
        <f t="shared" si="0"/>
        <v>0</v>
      </c>
      <c r="AA4" s="543">
        <f t="shared" si="0"/>
        <v>25</v>
      </c>
      <c r="AB4" s="543">
        <f t="shared" si="0"/>
        <v>0</v>
      </c>
      <c r="AC4" s="543">
        <f t="shared" si="0"/>
        <v>0</v>
      </c>
      <c r="AD4" s="543">
        <f t="shared" si="0"/>
        <v>260</v>
      </c>
      <c r="AE4" s="543">
        <f t="shared" si="0"/>
        <v>0</v>
      </c>
      <c r="AF4" s="543">
        <f t="shared" si="0"/>
        <v>260</v>
      </c>
    </row>
    <row r="5" spans="1:32" s="531" customFormat="1" ht="13.5" customHeight="1" x14ac:dyDescent="0.2">
      <c r="A5" s="545">
        <v>1</v>
      </c>
      <c r="B5" s="534">
        <v>140</v>
      </c>
      <c r="C5" s="534"/>
      <c r="D5" s="534"/>
      <c r="E5" s="534"/>
      <c r="F5" s="534"/>
      <c r="G5" s="534"/>
      <c r="H5" s="534"/>
      <c r="I5" s="534"/>
      <c r="J5" s="534">
        <v>60</v>
      </c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5"/>
      <c r="V5" s="535"/>
      <c r="W5" s="535"/>
      <c r="X5" s="535"/>
      <c r="Y5" s="535"/>
      <c r="Z5" s="534"/>
      <c r="AA5" s="534">
        <v>20</v>
      </c>
      <c r="AB5" s="534"/>
      <c r="AC5" s="534"/>
      <c r="AD5" s="534">
        <f>B5+C5+D5+E5+F5+G5+H5+I5+J5+K5+L5+M5+N5+O5+P5+Q5+R5+S5+T5+U5+V5+W5+X5+Y5+Z5+AA5+AB5+AC5</f>
        <v>220</v>
      </c>
      <c r="AE5" s="539"/>
      <c r="AF5" s="534">
        <f>AD5+AE5</f>
        <v>220</v>
      </c>
    </row>
    <row r="6" spans="1:32" s="531" customFormat="1" ht="13.5" customHeight="1" x14ac:dyDescent="0.2">
      <c r="A6" s="537">
        <v>2</v>
      </c>
      <c r="B6" s="534">
        <f>10+20</f>
        <v>30</v>
      </c>
      <c r="C6" s="535"/>
      <c r="D6" s="535"/>
      <c r="E6" s="535"/>
      <c r="F6" s="535"/>
      <c r="G6" s="535"/>
      <c r="H6" s="535"/>
      <c r="I6" s="535"/>
      <c r="J6" s="535">
        <v>5</v>
      </c>
      <c r="K6" s="535"/>
      <c r="L6" s="535"/>
      <c r="M6" s="534"/>
      <c r="N6" s="535"/>
      <c r="O6" s="535"/>
      <c r="P6" s="535"/>
      <c r="Q6" s="535"/>
      <c r="R6" s="535"/>
      <c r="S6" s="535"/>
      <c r="T6" s="534"/>
      <c r="U6" s="535"/>
      <c r="V6" s="535"/>
      <c r="W6" s="535"/>
      <c r="X6" s="535"/>
      <c r="Y6" s="535"/>
      <c r="Z6" s="535"/>
      <c r="AA6" s="535">
        <v>5</v>
      </c>
      <c r="AB6" s="535"/>
      <c r="AC6" s="534"/>
      <c r="AD6" s="534">
        <f>B6+C6+D6+E6+F6+G6+H6+I6+J6+K6+L6+M6+N6+O6+P6+Q6+R6+S6+T6+U6+V6+W6+X6+Y6+Z6+AA6+AB6+AC6</f>
        <v>40</v>
      </c>
      <c r="AE6" s="539"/>
      <c r="AF6" s="534">
        <f>AD6+AE6</f>
        <v>40</v>
      </c>
    </row>
    <row r="7" spans="1:32" s="544" customFormat="1" ht="15" customHeight="1" x14ac:dyDescent="0.2">
      <c r="A7" s="554" t="s">
        <v>718</v>
      </c>
      <c r="B7" s="543">
        <f t="shared" ref="B7:AF7" si="1">B8+B9</f>
        <v>384</v>
      </c>
      <c r="C7" s="543">
        <f t="shared" si="1"/>
        <v>0</v>
      </c>
      <c r="D7" s="543">
        <f t="shared" si="1"/>
        <v>0</v>
      </c>
      <c r="E7" s="543">
        <f t="shared" si="1"/>
        <v>53</v>
      </c>
      <c r="F7" s="543">
        <f t="shared" si="1"/>
        <v>230</v>
      </c>
      <c r="G7" s="543">
        <f t="shared" si="1"/>
        <v>0</v>
      </c>
      <c r="H7" s="543">
        <f t="shared" si="1"/>
        <v>0</v>
      </c>
      <c r="I7" s="543">
        <f t="shared" si="1"/>
        <v>0</v>
      </c>
      <c r="J7" s="543">
        <f t="shared" si="1"/>
        <v>47</v>
      </c>
      <c r="K7" s="543">
        <f t="shared" si="1"/>
        <v>0</v>
      </c>
      <c r="L7" s="543">
        <f t="shared" si="1"/>
        <v>0</v>
      </c>
      <c r="M7" s="543">
        <f t="shared" si="1"/>
        <v>0</v>
      </c>
      <c r="N7" s="543">
        <f t="shared" si="1"/>
        <v>0</v>
      </c>
      <c r="O7" s="543">
        <f t="shared" si="1"/>
        <v>0</v>
      </c>
      <c r="P7" s="543">
        <f t="shared" si="1"/>
        <v>0</v>
      </c>
      <c r="Q7" s="543">
        <f t="shared" si="1"/>
        <v>129</v>
      </c>
      <c r="R7" s="543">
        <f t="shared" si="1"/>
        <v>40</v>
      </c>
      <c r="S7" s="543">
        <f t="shared" si="1"/>
        <v>0</v>
      </c>
      <c r="T7" s="543">
        <f t="shared" si="1"/>
        <v>0</v>
      </c>
      <c r="U7" s="543">
        <f t="shared" si="1"/>
        <v>0</v>
      </c>
      <c r="V7" s="543">
        <f t="shared" si="1"/>
        <v>0</v>
      </c>
      <c r="W7" s="543">
        <f t="shared" si="1"/>
        <v>0</v>
      </c>
      <c r="X7" s="543">
        <f t="shared" si="1"/>
        <v>0</v>
      </c>
      <c r="Y7" s="543">
        <f t="shared" si="1"/>
        <v>0</v>
      </c>
      <c r="Z7" s="543">
        <f t="shared" si="1"/>
        <v>0</v>
      </c>
      <c r="AA7" s="543">
        <f t="shared" si="1"/>
        <v>190</v>
      </c>
      <c r="AB7" s="543">
        <f t="shared" si="1"/>
        <v>0</v>
      </c>
      <c r="AC7" s="543">
        <f t="shared" si="1"/>
        <v>0</v>
      </c>
      <c r="AD7" s="543">
        <f t="shared" si="1"/>
        <v>1073</v>
      </c>
      <c r="AE7" s="543">
        <f t="shared" si="1"/>
        <v>0</v>
      </c>
      <c r="AF7" s="543">
        <f t="shared" si="1"/>
        <v>1073</v>
      </c>
    </row>
    <row r="8" spans="1:32" s="531" customFormat="1" ht="13.5" customHeight="1" x14ac:dyDescent="0.2">
      <c r="A8" s="537">
        <v>3</v>
      </c>
      <c r="B8" s="534">
        <f>280-40</f>
        <v>240</v>
      </c>
      <c r="C8" s="534"/>
      <c r="D8" s="534"/>
      <c r="E8" s="534"/>
      <c r="F8" s="534">
        <v>150</v>
      </c>
      <c r="G8" s="534"/>
      <c r="H8" s="534"/>
      <c r="I8" s="534"/>
      <c r="J8" s="534">
        <v>12</v>
      </c>
      <c r="K8" s="534"/>
      <c r="L8" s="534"/>
      <c r="M8" s="534"/>
      <c r="N8" s="534"/>
      <c r="O8" s="534"/>
      <c r="P8" s="534"/>
      <c r="Q8" s="534">
        <f>100-1</f>
        <v>99</v>
      </c>
      <c r="R8" s="534">
        <v>40</v>
      </c>
      <c r="S8" s="534"/>
      <c r="T8" s="534"/>
      <c r="U8" s="535"/>
      <c r="V8" s="535"/>
      <c r="W8" s="535"/>
      <c r="X8" s="535"/>
      <c r="Y8" s="535"/>
      <c r="Z8" s="534"/>
      <c r="AA8" s="534">
        <v>150</v>
      </c>
      <c r="AB8" s="534"/>
      <c r="AC8" s="534"/>
      <c r="AD8" s="534">
        <f>B8+C8+D8+E8+F8+G8+H8+I8+J8+K8+L8+M8+N8+O8+P8+Q8+R8+S8+T8+U8+V8+W8+X8+Y8+Z8+AA8+AB8+AC8</f>
        <v>691</v>
      </c>
      <c r="AE8" s="539"/>
      <c r="AF8" s="546">
        <f>AD8+AE8</f>
        <v>691</v>
      </c>
    </row>
    <row r="9" spans="1:32" s="531" customFormat="1" ht="13.5" customHeight="1" x14ac:dyDescent="0.2">
      <c r="A9" s="537">
        <v>4</v>
      </c>
      <c r="B9" s="535">
        <f>120+24</f>
        <v>144</v>
      </c>
      <c r="C9" s="535"/>
      <c r="D9" s="535"/>
      <c r="E9" s="534">
        <f>50+3</f>
        <v>53</v>
      </c>
      <c r="F9" s="535">
        <v>80</v>
      </c>
      <c r="G9" s="547"/>
      <c r="H9" s="535"/>
      <c r="I9" s="535"/>
      <c r="J9" s="535">
        <v>35</v>
      </c>
      <c r="K9" s="534"/>
      <c r="L9" s="547"/>
      <c r="M9" s="534"/>
      <c r="N9" s="547"/>
      <c r="O9" s="547"/>
      <c r="P9" s="535"/>
      <c r="Q9" s="535">
        <f>100-70</f>
        <v>30</v>
      </c>
      <c r="R9" s="547"/>
      <c r="S9" s="535"/>
      <c r="T9" s="534"/>
      <c r="U9" s="535"/>
      <c r="V9" s="535"/>
      <c r="W9" s="535"/>
      <c r="X9" s="547"/>
      <c r="Y9" s="535"/>
      <c r="Z9" s="535"/>
      <c r="AA9" s="535">
        <v>40</v>
      </c>
      <c r="AB9" s="535"/>
      <c r="AC9" s="534"/>
      <c r="AD9" s="534">
        <f>B9+C9+D9+E9+F9+G9+H9+I9+J9+K9+L9+M9+N9+O9+P9+Q9+R9+S9+T9+U9+V9+W9+X9+Y9+Z9+AA9+AB9+AC9</f>
        <v>382</v>
      </c>
      <c r="AE9" s="539"/>
      <c r="AF9" s="546">
        <f>AD9+AE9</f>
        <v>382</v>
      </c>
    </row>
    <row r="10" spans="1:32" s="531" customFormat="1" ht="14.25" customHeight="1" x14ac:dyDescent="0.2">
      <c r="A10" s="554" t="s">
        <v>719</v>
      </c>
      <c r="B10" s="543">
        <f t="shared" ref="B10:AF10" si="2">B11</f>
        <v>50</v>
      </c>
      <c r="C10" s="543">
        <f t="shared" si="2"/>
        <v>0</v>
      </c>
      <c r="D10" s="543">
        <f t="shared" si="2"/>
        <v>0</v>
      </c>
      <c r="E10" s="543">
        <f t="shared" si="2"/>
        <v>36</v>
      </c>
      <c r="F10" s="543">
        <f t="shared" si="2"/>
        <v>0</v>
      </c>
      <c r="G10" s="543">
        <f t="shared" si="2"/>
        <v>0</v>
      </c>
      <c r="H10" s="543">
        <f t="shared" si="2"/>
        <v>0</v>
      </c>
      <c r="I10" s="543">
        <f t="shared" si="2"/>
        <v>0</v>
      </c>
      <c r="J10" s="543">
        <f t="shared" si="2"/>
        <v>60</v>
      </c>
      <c r="K10" s="543">
        <f t="shared" si="2"/>
        <v>0</v>
      </c>
      <c r="L10" s="543">
        <f t="shared" si="2"/>
        <v>0</v>
      </c>
      <c r="M10" s="543">
        <f t="shared" si="2"/>
        <v>0</v>
      </c>
      <c r="N10" s="543">
        <f t="shared" si="2"/>
        <v>0</v>
      </c>
      <c r="O10" s="543">
        <f t="shared" si="2"/>
        <v>0</v>
      </c>
      <c r="P10" s="543">
        <f t="shared" si="2"/>
        <v>0</v>
      </c>
      <c r="Q10" s="543">
        <f t="shared" si="2"/>
        <v>0</v>
      </c>
      <c r="R10" s="543">
        <f t="shared" si="2"/>
        <v>0</v>
      </c>
      <c r="S10" s="543">
        <f t="shared" si="2"/>
        <v>0</v>
      </c>
      <c r="T10" s="543">
        <f t="shared" si="2"/>
        <v>0</v>
      </c>
      <c r="U10" s="543">
        <f t="shared" si="2"/>
        <v>0</v>
      </c>
      <c r="V10" s="543">
        <f t="shared" si="2"/>
        <v>0</v>
      </c>
      <c r="W10" s="543">
        <f t="shared" si="2"/>
        <v>0</v>
      </c>
      <c r="X10" s="543">
        <f t="shared" si="2"/>
        <v>0</v>
      </c>
      <c r="Y10" s="543">
        <f t="shared" si="2"/>
        <v>0</v>
      </c>
      <c r="Z10" s="543">
        <f t="shared" si="2"/>
        <v>0</v>
      </c>
      <c r="AA10" s="543">
        <f t="shared" si="2"/>
        <v>0</v>
      </c>
      <c r="AB10" s="543">
        <f t="shared" si="2"/>
        <v>0</v>
      </c>
      <c r="AC10" s="543">
        <f t="shared" si="2"/>
        <v>0</v>
      </c>
      <c r="AD10" s="543">
        <f t="shared" si="2"/>
        <v>146</v>
      </c>
      <c r="AE10" s="543">
        <f t="shared" si="2"/>
        <v>0</v>
      </c>
      <c r="AF10" s="543">
        <f t="shared" si="2"/>
        <v>146</v>
      </c>
    </row>
    <row r="11" spans="1:32" s="531" customFormat="1" ht="14.25" customHeight="1" x14ac:dyDescent="0.2">
      <c r="A11" s="537">
        <v>5</v>
      </c>
      <c r="B11" s="535">
        <v>50</v>
      </c>
      <c r="C11" s="535"/>
      <c r="D11" s="535"/>
      <c r="E11" s="535">
        <f>34+2</f>
        <v>36</v>
      </c>
      <c r="F11" s="535"/>
      <c r="G11" s="535"/>
      <c r="H11" s="535"/>
      <c r="I11" s="535"/>
      <c r="J11" s="535">
        <v>60</v>
      </c>
      <c r="K11" s="535"/>
      <c r="L11" s="535"/>
      <c r="M11" s="534"/>
      <c r="N11" s="535"/>
      <c r="O11" s="535"/>
      <c r="P11" s="535"/>
      <c r="Q11" s="535"/>
      <c r="R11" s="535"/>
      <c r="S11" s="535"/>
      <c r="T11" s="534"/>
      <c r="U11" s="535"/>
      <c r="V11" s="535"/>
      <c r="W11" s="535"/>
      <c r="X11" s="535"/>
      <c r="Y11" s="535"/>
      <c r="Z11" s="535"/>
      <c r="AA11" s="535"/>
      <c r="AB11" s="535"/>
      <c r="AC11" s="534"/>
      <c r="AD11" s="534">
        <f>B11+C11+D11+E11+F11+G11+H11+I11+J11+K11+L11+M11+N11+O11+P11+Q11+R11+S11+T11+U11+V11+W11+X11+Y11+Z11+AA11+AB11+AC11</f>
        <v>146</v>
      </c>
      <c r="AE11" s="539"/>
      <c r="AF11" s="534">
        <f>AD11+AE11</f>
        <v>146</v>
      </c>
    </row>
    <row r="12" spans="1:32" s="531" customFormat="1" ht="14.25" customHeight="1" x14ac:dyDescent="0.2">
      <c r="A12" s="554" t="s">
        <v>720</v>
      </c>
      <c r="B12" s="543">
        <f t="shared" ref="B12:AF12" si="3">B13+B14</f>
        <v>40</v>
      </c>
      <c r="C12" s="543">
        <f t="shared" si="3"/>
        <v>0</v>
      </c>
      <c r="D12" s="543">
        <f t="shared" si="3"/>
        <v>0</v>
      </c>
      <c r="E12" s="543">
        <f t="shared" si="3"/>
        <v>10</v>
      </c>
      <c r="F12" s="543">
        <f t="shared" si="3"/>
        <v>0</v>
      </c>
      <c r="G12" s="543">
        <f t="shared" si="3"/>
        <v>0</v>
      </c>
      <c r="H12" s="543">
        <f t="shared" si="3"/>
        <v>0</v>
      </c>
      <c r="I12" s="543">
        <f t="shared" si="3"/>
        <v>0</v>
      </c>
      <c r="J12" s="543">
        <f t="shared" si="3"/>
        <v>0</v>
      </c>
      <c r="K12" s="543">
        <f t="shared" si="3"/>
        <v>0</v>
      </c>
      <c r="L12" s="543">
        <f t="shared" si="3"/>
        <v>0</v>
      </c>
      <c r="M12" s="543">
        <f t="shared" si="3"/>
        <v>0</v>
      </c>
      <c r="N12" s="543">
        <f t="shared" si="3"/>
        <v>0</v>
      </c>
      <c r="O12" s="543">
        <f t="shared" si="3"/>
        <v>24</v>
      </c>
      <c r="P12" s="543">
        <f t="shared" si="3"/>
        <v>0</v>
      </c>
      <c r="Q12" s="543">
        <f t="shared" si="3"/>
        <v>0</v>
      </c>
      <c r="R12" s="543">
        <f t="shared" si="3"/>
        <v>0</v>
      </c>
      <c r="S12" s="543">
        <f t="shared" si="3"/>
        <v>0</v>
      </c>
      <c r="T12" s="543">
        <f t="shared" si="3"/>
        <v>0</v>
      </c>
      <c r="U12" s="543">
        <f t="shared" si="3"/>
        <v>0</v>
      </c>
      <c r="V12" s="543">
        <f t="shared" si="3"/>
        <v>0</v>
      </c>
      <c r="W12" s="543">
        <f t="shared" si="3"/>
        <v>0</v>
      </c>
      <c r="X12" s="543">
        <f t="shared" si="3"/>
        <v>0</v>
      </c>
      <c r="Y12" s="543">
        <f t="shared" si="3"/>
        <v>0</v>
      </c>
      <c r="Z12" s="543">
        <f t="shared" si="3"/>
        <v>0</v>
      </c>
      <c r="AA12" s="543">
        <f t="shared" si="3"/>
        <v>0</v>
      </c>
      <c r="AB12" s="543">
        <f t="shared" si="3"/>
        <v>0</v>
      </c>
      <c r="AC12" s="543">
        <f t="shared" si="3"/>
        <v>0</v>
      </c>
      <c r="AD12" s="543">
        <f t="shared" si="3"/>
        <v>74</v>
      </c>
      <c r="AE12" s="543">
        <f t="shared" si="3"/>
        <v>0</v>
      </c>
      <c r="AF12" s="543">
        <f t="shared" si="3"/>
        <v>74</v>
      </c>
    </row>
    <row r="13" spans="1:32" s="531" customFormat="1" ht="14.25" customHeight="1" x14ac:dyDescent="0.2">
      <c r="A13" s="537">
        <v>6</v>
      </c>
      <c r="B13" s="535">
        <v>40</v>
      </c>
      <c r="C13" s="535"/>
      <c r="D13" s="535"/>
      <c r="E13" s="534">
        <v>10</v>
      </c>
      <c r="F13" s="535"/>
      <c r="G13" s="535"/>
      <c r="H13" s="535"/>
      <c r="I13" s="535"/>
      <c r="J13" s="535"/>
      <c r="K13" s="535"/>
      <c r="L13" s="535"/>
      <c r="M13" s="534"/>
      <c r="N13" s="535"/>
      <c r="O13" s="535">
        <v>24</v>
      </c>
      <c r="P13" s="535"/>
      <c r="Q13" s="535"/>
      <c r="R13" s="535"/>
      <c r="S13" s="535"/>
      <c r="T13" s="534"/>
      <c r="U13" s="535"/>
      <c r="V13" s="535"/>
      <c r="W13" s="535"/>
      <c r="X13" s="535"/>
      <c r="Y13" s="535"/>
      <c r="Z13" s="535"/>
      <c r="AA13" s="535"/>
      <c r="AB13" s="535"/>
      <c r="AC13" s="534"/>
      <c r="AD13" s="534">
        <f>B13+C13+D13+E13+F13+G13+H13+I13+J13+K13+L13+M13+N13+O13+P13+Q13+R13+S13+T13+U13+V13+W13+X13+Y13+Z13+AA13+AB13+AC13</f>
        <v>74</v>
      </c>
      <c r="AE13" s="539"/>
      <c r="AF13" s="534">
        <f>AD13+AE13</f>
        <v>74</v>
      </c>
    </row>
    <row r="14" spans="1:32" s="531" customFormat="1" ht="14.25" customHeight="1" x14ac:dyDescent="0.2">
      <c r="A14" s="537">
        <v>7</v>
      </c>
      <c r="B14" s="535"/>
      <c r="C14" s="535"/>
      <c r="D14" s="535"/>
      <c r="E14" s="535"/>
      <c r="F14" s="535"/>
      <c r="G14" s="535"/>
      <c r="H14" s="535"/>
      <c r="I14" s="535"/>
      <c r="J14" s="535"/>
      <c r="K14" s="535"/>
      <c r="L14" s="535"/>
      <c r="M14" s="534"/>
      <c r="N14" s="535"/>
      <c r="O14" s="535"/>
      <c r="P14" s="535"/>
      <c r="Q14" s="535"/>
      <c r="R14" s="535"/>
      <c r="S14" s="535"/>
      <c r="T14" s="534"/>
      <c r="U14" s="535"/>
      <c r="V14" s="535"/>
      <c r="W14" s="535"/>
      <c r="X14" s="535"/>
      <c r="Y14" s="535"/>
      <c r="Z14" s="535"/>
      <c r="AA14" s="535"/>
      <c r="AB14" s="535"/>
      <c r="AC14" s="534"/>
      <c r="AD14" s="534">
        <f>B14+C14+D14+E14+F14+G14+H14+I14+J14+K14+L14+M14+N14+O14+P14+Q14+R14+S14+T14+U14+V14+W14+X14+Y14+Z14+AA14+AB14+AC14</f>
        <v>0</v>
      </c>
      <c r="AE14" s="539"/>
      <c r="AF14" s="534">
        <f>AD14+AE14</f>
        <v>0</v>
      </c>
    </row>
    <row r="15" spans="1:32" s="531" customFormat="1" ht="21.75" customHeight="1" x14ac:dyDescent="0.2">
      <c r="A15" s="554" t="s">
        <v>721</v>
      </c>
      <c r="B15" s="543">
        <f t="shared" ref="B15:AF15" si="4">B16</f>
        <v>0</v>
      </c>
      <c r="C15" s="543">
        <f t="shared" si="4"/>
        <v>0</v>
      </c>
      <c r="D15" s="543">
        <f t="shared" si="4"/>
        <v>0</v>
      </c>
      <c r="E15" s="543">
        <f t="shared" si="4"/>
        <v>1</v>
      </c>
      <c r="F15" s="543">
        <f t="shared" si="4"/>
        <v>0</v>
      </c>
      <c r="G15" s="543">
        <f t="shared" si="4"/>
        <v>0</v>
      </c>
      <c r="H15" s="543">
        <f t="shared" si="4"/>
        <v>0</v>
      </c>
      <c r="I15" s="543">
        <f t="shared" si="4"/>
        <v>0</v>
      </c>
      <c r="J15" s="543">
        <f t="shared" si="4"/>
        <v>0</v>
      </c>
      <c r="K15" s="543">
        <f t="shared" si="4"/>
        <v>0</v>
      </c>
      <c r="L15" s="543">
        <f t="shared" si="4"/>
        <v>0</v>
      </c>
      <c r="M15" s="543">
        <f t="shared" si="4"/>
        <v>0</v>
      </c>
      <c r="N15" s="543">
        <f t="shared" si="4"/>
        <v>0</v>
      </c>
      <c r="O15" s="543">
        <f t="shared" si="4"/>
        <v>0</v>
      </c>
      <c r="P15" s="543">
        <f t="shared" si="4"/>
        <v>0</v>
      </c>
      <c r="Q15" s="543">
        <f t="shared" si="4"/>
        <v>0</v>
      </c>
      <c r="R15" s="543">
        <f t="shared" si="4"/>
        <v>0</v>
      </c>
      <c r="S15" s="543">
        <f t="shared" si="4"/>
        <v>0</v>
      </c>
      <c r="T15" s="543">
        <f t="shared" si="4"/>
        <v>0</v>
      </c>
      <c r="U15" s="543">
        <f t="shared" si="4"/>
        <v>0</v>
      </c>
      <c r="V15" s="543">
        <f t="shared" si="4"/>
        <v>0</v>
      </c>
      <c r="W15" s="543"/>
      <c r="X15" s="543">
        <f t="shared" si="4"/>
        <v>0</v>
      </c>
      <c r="Y15" s="543">
        <f t="shared" si="4"/>
        <v>0</v>
      </c>
      <c r="Z15" s="543">
        <f t="shared" si="4"/>
        <v>0</v>
      </c>
      <c r="AA15" s="543">
        <f t="shared" si="4"/>
        <v>0</v>
      </c>
      <c r="AB15" s="543">
        <f t="shared" si="4"/>
        <v>0</v>
      </c>
      <c r="AC15" s="543">
        <f t="shared" si="4"/>
        <v>0</v>
      </c>
      <c r="AD15" s="543">
        <f t="shared" si="4"/>
        <v>1</v>
      </c>
      <c r="AE15" s="543">
        <f t="shared" si="4"/>
        <v>0</v>
      </c>
      <c r="AF15" s="543">
        <f t="shared" si="4"/>
        <v>1</v>
      </c>
    </row>
    <row r="16" spans="1:32" s="531" customFormat="1" ht="14.25" customHeight="1" x14ac:dyDescent="0.2">
      <c r="A16" s="537">
        <v>8</v>
      </c>
      <c r="B16" s="535"/>
      <c r="C16" s="535"/>
      <c r="D16" s="535"/>
      <c r="E16" s="535">
        <f>12-11</f>
        <v>1</v>
      </c>
      <c r="F16" s="535"/>
      <c r="G16" s="535"/>
      <c r="H16" s="535"/>
      <c r="I16" s="535"/>
      <c r="J16" s="535"/>
      <c r="K16" s="535"/>
      <c r="L16" s="535"/>
      <c r="M16" s="534"/>
      <c r="N16" s="535"/>
      <c r="O16" s="535"/>
      <c r="P16" s="535"/>
      <c r="Q16" s="535"/>
      <c r="R16" s="535"/>
      <c r="S16" s="535"/>
      <c r="T16" s="534"/>
      <c r="U16" s="535"/>
      <c r="V16" s="535"/>
      <c r="W16" s="534"/>
      <c r="X16" s="535"/>
      <c r="Y16" s="535"/>
      <c r="Z16" s="535"/>
      <c r="AA16" s="535"/>
      <c r="AB16" s="535"/>
      <c r="AC16" s="534"/>
      <c r="AD16" s="534">
        <f>B16+C16+D16+E16+F16+G16+H16+I16+J16+K16+L16+M16+N16+O16+P16+Q16+R16+S16+T16+U16+V16+W16+X16+Y16+Z16+AA16+AB16+AC16</f>
        <v>1</v>
      </c>
      <c r="AE16" s="539"/>
      <c r="AF16" s="534">
        <f>AD16+AE16</f>
        <v>1</v>
      </c>
    </row>
    <row r="17" spans="1:32" s="531" customFormat="1" ht="12.75" customHeight="1" x14ac:dyDescent="0.2">
      <c r="A17" s="554" t="s">
        <v>722</v>
      </c>
      <c r="B17" s="543">
        <f t="shared" ref="B17:AF17" si="5">B18</f>
        <v>0</v>
      </c>
      <c r="C17" s="543">
        <f t="shared" si="5"/>
        <v>0</v>
      </c>
      <c r="D17" s="543">
        <f t="shared" si="5"/>
        <v>0</v>
      </c>
      <c r="E17" s="543">
        <f t="shared" si="5"/>
        <v>0</v>
      </c>
      <c r="F17" s="543">
        <f t="shared" si="5"/>
        <v>0</v>
      </c>
      <c r="G17" s="543">
        <f t="shared" si="5"/>
        <v>52</v>
      </c>
      <c r="H17" s="543">
        <f t="shared" si="5"/>
        <v>0</v>
      </c>
      <c r="I17" s="543">
        <f t="shared" si="5"/>
        <v>0</v>
      </c>
      <c r="J17" s="543">
        <f t="shared" si="5"/>
        <v>0</v>
      </c>
      <c r="K17" s="543">
        <f t="shared" si="5"/>
        <v>0</v>
      </c>
      <c r="L17" s="543">
        <f t="shared" si="5"/>
        <v>0</v>
      </c>
      <c r="M17" s="543">
        <f t="shared" si="5"/>
        <v>0</v>
      </c>
      <c r="N17" s="543">
        <f t="shared" si="5"/>
        <v>0</v>
      </c>
      <c r="O17" s="543">
        <f t="shared" si="5"/>
        <v>0</v>
      </c>
      <c r="P17" s="543">
        <f t="shared" si="5"/>
        <v>0</v>
      </c>
      <c r="Q17" s="543">
        <f t="shared" si="5"/>
        <v>0</v>
      </c>
      <c r="R17" s="543">
        <f t="shared" si="5"/>
        <v>0</v>
      </c>
      <c r="S17" s="543">
        <f t="shared" si="5"/>
        <v>0</v>
      </c>
      <c r="T17" s="543">
        <f t="shared" si="5"/>
        <v>0</v>
      </c>
      <c r="U17" s="543">
        <f t="shared" si="5"/>
        <v>0</v>
      </c>
      <c r="V17" s="543">
        <f t="shared" si="5"/>
        <v>0</v>
      </c>
      <c r="W17" s="543">
        <f t="shared" si="5"/>
        <v>0</v>
      </c>
      <c r="X17" s="543">
        <f t="shared" si="5"/>
        <v>0</v>
      </c>
      <c r="Y17" s="543">
        <f t="shared" si="5"/>
        <v>0</v>
      </c>
      <c r="Z17" s="543">
        <f t="shared" si="5"/>
        <v>0</v>
      </c>
      <c r="AA17" s="543">
        <f t="shared" si="5"/>
        <v>0</v>
      </c>
      <c r="AB17" s="543">
        <f t="shared" si="5"/>
        <v>0</v>
      </c>
      <c r="AC17" s="543">
        <f t="shared" si="5"/>
        <v>0</v>
      </c>
      <c r="AD17" s="543">
        <f t="shared" si="5"/>
        <v>52</v>
      </c>
      <c r="AE17" s="543">
        <f t="shared" si="5"/>
        <v>0</v>
      </c>
      <c r="AF17" s="543">
        <f t="shared" si="5"/>
        <v>52</v>
      </c>
    </row>
    <row r="18" spans="1:32" s="531" customFormat="1" ht="12.75" customHeight="1" x14ac:dyDescent="0.2">
      <c r="A18" s="537">
        <v>9</v>
      </c>
      <c r="B18" s="535"/>
      <c r="C18" s="535"/>
      <c r="D18" s="535"/>
      <c r="E18" s="535"/>
      <c r="F18" s="535"/>
      <c r="G18" s="535">
        <v>52</v>
      </c>
      <c r="H18" s="535"/>
      <c r="I18" s="535"/>
      <c r="J18" s="535"/>
      <c r="K18" s="535"/>
      <c r="L18" s="535"/>
      <c r="M18" s="535"/>
      <c r="N18" s="535"/>
      <c r="O18" s="535"/>
      <c r="P18" s="535"/>
      <c r="Q18" s="535"/>
      <c r="R18" s="535"/>
      <c r="S18" s="535"/>
      <c r="T18" s="534"/>
      <c r="U18" s="535"/>
      <c r="V18" s="535"/>
      <c r="W18" s="535"/>
      <c r="X18" s="535"/>
      <c r="Y18" s="535"/>
      <c r="Z18" s="535"/>
      <c r="AA18" s="535"/>
      <c r="AB18" s="535"/>
      <c r="AC18" s="534"/>
      <c r="AD18" s="534">
        <f>B18+C18+D18+E18+F18+G18+H18+I18+J18+K18+L18+M18+N18+O18+P18+Q18+R18+S18+T18+U18+V18+W18+X18+Y18+Z18+AA18+AB18+AC18</f>
        <v>52</v>
      </c>
      <c r="AE18" s="539"/>
      <c r="AF18" s="534">
        <f>AD18+AE18</f>
        <v>52</v>
      </c>
    </row>
    <row r="19" spans="1:32" s="531" customFormat="1" ht="12.75" customHeight="1" x14ac:dyDescent="0.2">
      <c r="A19" s="554" t="s">
        <v>723</v>
      </c>
      <c r="B19" s="543">
        <f t="shared" ref="B19:AF19" si="6">B20+B21</f>
        <v>0</v>
      </c>
      <c r="C19" s="543">
        <f t="shared" si="6"/>
        <v>0</v>
      </c>
      <c r="D19" s="543">
        <f t="shared" si="6"/>
        <v>0</v>
      </c>
      <c r="E19" s="543">
        <f t="shared" si="6"/>
        <v>0</v>
      </c>
      <c r="F19" s="543">
        <f t="shared" si="6"/>
        <v>0</v>
      </c>
      <c r="G19" s="543">
        <f t="shared" si="6"/>
        <v>0</v>
      </c>
      <c r="H19" s="543">
        <f t="shared" si="6"/>
        <v>0</v>
      </c>
      <c r="I19" s="543">
        <f t="shared" si="6"/>
        <v>0</v>
      </c>
      <c r="J19" s="543">
        <f t="shared" si="6"/>
        <v>0</v>
      </c>
      <c r="K19" s="543">
        <f t="shared" si="6"/>
        <v>0</v>
      </c>
      <c r="L19" s="543">
        <f t="shared" si="6"/>
        <v>0</v>
      </c>
      <c r="M19" s="543">
        <f t="shared" si="6"/>
        <v>0</v>
      </c>
      <c r="N19" s="543">
        <f t="shared" si="6"/>
        <v>0</v>
      </c>
      <c r="O19" s="543">
        <f t="shared" si="6"/>
        <v>0</v>
      </c>
      <c r="P19" s="543">
        <f t="shared" si="6"/>
        <v>0</v>
      </c>
      <c r="Q19" s="543">
        <f t="shared" si="6"/>
        <v>115</v>
      </c>
      <c r="R19" s="543">
        <f t="shared" si="6"/>
        <v>0</v>
      </c>
      <c r="S19" s="543">
        <f t="shared" si="6"/>
        <v>0</v>
      </c>
      <c r="T19" s="543">
        <f t="shared" si="6"/>
        <v>0</v>
      </c>
      <c r="U19" s="543">
        <f t="shared" si="6"/>
        <v>0</v>
      </c>
      <c r="V19" s="543">
        <f t="shared" si="6"/>
        <v>0</v>
      </c>
      <c r="W19" s="543">
        <f t="shared" si="6"/>
        <v>0</v>
      </c>
      <c r="X19" s="543">
        <f t="shared" si="6"/>
        <v>0</v>
      </c>
      <c r="Y19" s="543">
        <f t="shared" si="6"/>
        <v>27</v>
      </c>
      <c r="Z19" s="543">
        <f t="shared" si="6"/>
        <v>0</v>
      </c>
      <c r="AA19" s="543">
        <f t="shared" si="6"/>
        <v>0</v>
      </c>
      <c r="AB19" s="543">
        <f t="shared" si="6"/>
        <v>0</v>
      </c>
      <c r="AC19" s="543">
        <f t="shared" si="6"/>
        <v>0</v>
      </c>
      <c r="AD19" s="543">
        <f t="shared" si="6"/>
        <v>142</v>
      </c>
      <c r="AE19" s="543">
        <f t="shared" si="6"/>
        <v>0</v>
      </c>
      <c r="AF19" s="543">
        <f t="shared" si="6"/>
        <v>142</v>
      </c>
    </row>
    <row r="20" spans="1:32" s="531" customFormat="1" ht="12.75" customHeight="1" x14ac:dyDescent="0.2">
      <c r="A20" s="537">
        <v>10</v>
      </c>
      <c r="B20" s="535"/>
      <c r="C20" s="535"/>
      <c r="D20" s="535"/>
      <c r="E20" s="535"/>
      <c r="F20" s="535"/>
      <c r="G20" s="547"/>
      <c r="H20" s="535"/>
      <c r="I20" s="535"/>
      <c r="J20" s="535"/>
      <c r="K20" s="547"/>
      <c r="L20" s="547"/>
      <c r="M20" s="535"/>
      <c r="N20" s="547"/>
      <c r="O20" s="547"/>
      <c r="P20" s="535"/>
      <c r="Q20" s="534">
        <v>80</v>
      </c>
      <c r="R20" s="547"/>
      <c r="S20" s="535"/>
      <c r="T20" s="534"/>
      <c r="U20" s="535"/>
      <c r="V20" s="535"/>
      <c r="W20" s="535"/>
      <c r="X20" s="547"/>
      <c r="Y20" s="535">
        <f>25+2</f>
        <v>27</v>
      </c>
      <c r="Z20" s="535"/>
      <c r="AA20" s="535"/>
      <c r="AB20" s="535"/>
      <c r="AC20" s="534"/>
      <c r="AD20" s="534">
        <f>B20+C20+D20+E20+F20+G20+H20+I20+J20+K20+L20+M20+N20+O20+P20+Q20+R20+S20+T20+U20+V20+W20+X20+Y20+Z20+AA20+AB20+AC20</f>
        <v>107</v>
      </c>
      <c r="AE20" s="539"/>
      <c r="AF20" s="534">
        <f>AD20+AE20</f>
        <v>107</v>
      </c>
    </row>
    <row r="21" spans="1:32" s="531" customFormat="1" ht="12.75" customHeight="1" x14ac:dyDescent="0.2">
      <c r="A21" s="537">
        <v>11</v>
      </c>
      <c r="B21" s="536"/>
      <c r="C21" s="536"/>
      <c r="D21" s="536"/>
      <c r="E21" s="536"/>
      <c r="F21" s="536"/>
      <c r="G21" s="548"/>
      <c r="H21" s="536"/>
      <c r="I21" s="536"/>
      <c r="J21" s="536"/>
      <c r="K21" s="548"/>
      <c r="L21" s="548"/>
      <c r="M21" s="535"/>
      <c r="N21" s="548"/>
      <c r="O21" s="548"/>
      <c r="P21" s="536"/>
      <c r="Q21" s="534">
        <v>35</v>
      </c>
      <c r="R21" s="548"/>
      <c r="S21" s="536"/>
      <c r="T21" s="534"/>
      <c r="U21" s="535"/>
      <c r="V21" s="535"/>
      <c r="W21" s="535"/>
      <c r="X21" s="547"/>
      <c r="Y21" s="535"/>
      <c r="Z21" s="536"/>
      <c r="AA21" s="536"/>
      <c r="AB21" s="536"/>
      <c r="AC21" s="534"/>
      <c r="AD21" s="534">
        <f>B21+C21+D21+E21+F21+G21+H21+I21+J21+K21+L21+M21+N21+O21+P21+Q21+R21+S21+T21+U21+V21+W21+X21+Y21+Z21+AA21+AB21+AC21</f>
        <v>35</v>
      </c>
      <c r="AE21" s="539"/>
      <c r="AF21" s="534">
        <f>AD21+AE21</f>
        <v>35</v>
      </c>
    </row>
    <row r="22" spans="1:32" s="531" customFormat="1" ht="12.75" customHeight="1" x14ac:dyDescent="0.2">
      <c r="A22" s="554" t="s">
        <v>724</v>
      </c>
      <c r="B22" s="543">
        <f t="shared" ref="B22:AF22" si="7">SUM(B23:B28)</f>
        <v>348</v>
      </c>
      <c r="C22" s="543">
        <f t="shared" si="7"/>
        <v>0</v>
      </c>
      <c r="D22" s="543">
        <f t="shared" si="7"/>
        <v>0</v>
      </c>
      <c r="E22" s="543">
        <f t="shared" si="7"/>
        <v>124</v>
      </c>
      <c r="F22" s="543">
        <f t="shared" si="7"/>
        <v>0</v>
      </c>
      <c r="G22" s="543">
        <f t="shared" si="7"/>
        <v>0</v>
      </c>
      <c r="H22" s="543">
        <f t="shared" si="7"/>
        <v>0</v>
      </c>
      <c r="I22" s="543">
        <f t="shared" si="7"/>
        <v>172</v>
      </c>
      <c r="J22" s="543">
        <f t="shared" si="7"/>
        <v>122</v>
      </c>
      <c r="K22" s="543">
        <f t="shared" si="7"/>
        <v>0</v>
      </c>
      <c r="L22" s="543">
        <f t="shared" si="7"/>
        <v>0</v>
      </c>
      <c r="M22" s="543">
        <f t="shared" si="7"/>
        <v>0</v>
      </c>
      <c r="N22" s="543">
        <f t="shared" si="7"/>
        <v>0</v>
      </c>
      <c r="O22" s="543">
        <f t="shared" si="7"/>
        <v>0</v>
      </c>
      <c r="P22" s="543">
        <f t="shared" si="7"/>
        <v>20</v>
      </c>
      <c r="Q22" s="543">
        <f t="shared" si="7"/>
        <v>0</v>
      </c>
      <c r="R22" s="543">
        <f t="shared" si="7"/>
        <v>0</v>
      </c>
      <c r="S22" s="543">
        <f t="shared" si="7"/>
        <v>10</v>
      </c>
      <c r="T22" s="543">
        <f t="shared" si="7"/>
        <v>0</v>
      </c>
      <c r="U22" s="543">
        <f t="shared" si="7"/>
        <v>25</v>
      </c>
      <c r="V22" s="543">
        <f t="shared" si="7"/>
        <v>0</v>
      </c>
      <c r="W22" s="543">
        <f t="shared" si="7"/>
        <v>0</v>
      </c>
      <c r="X22" s="543">
        <f t="shared" si="7"/>
        <v>0</v>
      </c>
      <c r="Y22" s="543">
        <f t="shared" si="7"/>
        <v>213</v>
      </c>
      <c r="Z22" s="543">
        <f t="shared" si="7"/>
        <v>0</v>
      </c>
      <c r="AA22" s="543">
        <f t="shared" si="7"/>
        <v>0</v>
      </c>
      <c r="AB22" s="543">
        <f t="shared" si="7"/>
        <v>0</v>
      </c>
      <c r="AC22" s="543">
        <f t="shared" si="7"/>
        <v>0</v>
      </c>
      <c r="AD22" s="543">
        <f t="shared" si="7"/>
        <v>1034</v>
      </c>
      <c r="AE22" s="543">
        <f t="shared" si="7"/>
        <v>0</v>
      </c>
      <c r="AF22" s="543">
        <f t="shared" si="7"/>
        <v>1034</v>
      </c>
    </row>
    <row r="23" spans="1:32" s="531" customFormat="1" ht="12.75" customHeight="1" x14ac:dyDescent="0.2">
      <c r="A23" s="537">
        <v>12</v>
      </c>
      <c r="B23" s="534">
        <f>320-22</f>
        <v>298</v>
      </c>
      <c r="C23" s="534"/>
      <c r="D23" s="534"/>
      <c r="E23" s="534">
        <v>65</v>
      </c>
      <c r="F23" s="534"/>
      <c r="G23" s="534"/>
      <c r="H23" s="534"/>
      <c r="I23" s="534">
        <f>60+100</f>
        <v>160</v>
      </c>
      <c r="J23" s="535">
        <f>114-1-4</f>
        <v>109</v>
      </c>
      <c r="K23" s="534"/>
      <c r="L23" s="534"/>
      <c r="M23" s="535">
        <v>0</v>
      </c>
      <c r="N23" s="534"/>
      <c r="O23" s="534"/>
      <c r="P23" s="534">
        <v>6</v>
      </c>
      <c r="Q23" s="534"/>
      <c r="R23" s="534"/>
      <c r="S23" s="535">
        <f>4+5</f>
        <v>9</v>
      </c>
      <c r="T23" s="535"/>
      <c r="U23" s="535">
        <v>7</v>
      </c>
      <c r="V23" s="535"/>
      <c r="W23" s="535"/>
      <c r="X23" s="535"/>
      <c r="Y23" s="535">
        <v>180</v>
      </c>
      <c r="Z23" s="535"/>
      <c r="AA23" s="535"/>
      <c r="AB23" s="534"/>
      <c r="AC23" s="534"/>
      <c r="AD23" s="534">
        <f t="shared" ref="AD23:AD28" si="8">B23+C23+D23+E23+F23+G23+H23+I23+J23+K23+L23+M23+N23+O23+P23+Q23+R23+S23+T23+U23+V23+W23+X23+Y23+Z23+AA23+AB23+AC23</f>
        <v>834</v>
      </c>
      <c r="AE23" s="539"/>
      <c r="AF23" s="534">
        <f t="shared" ref="AF23:AF28" si="9">AD23+AE23</f>
        <v>834</v>
      </c>
    </row>
    <row r="24" spans="1:32" s="531" customFormat="1" ht="12.75" customHeight="1" x14ac:dyDescent="0.2">
      <c r="A24" s="537">
        <v>13</v>
      </c>
      <c r="B24" s="534">
        <v>5</v>
      </c>
      <c r="C24" s="534"/>
      <c r="D24" s="534"/>
      <c r="E24" s="534"/>
      <c r="F24" s="534"/>
      <c r="G24" s="549"/>
      <c r="H24" s="534"/>
      <c r="I24" s="534"/>
      <c r="J24" s="535"/>
      <c r="K24" s="549"/>
      <c r="L24" s="549"/>
      <c r="M24" s="535"/>
      <c r="N24" s="549"/>
      <c r="O24" s="549"/>
      <c r="P24" s="534"/>
      <c r="Q24" s="534"/>
      <c r="R24" s="549"/>
      <c r="S24" s="535">
        <f>6-5</f>
        <v>1</v>
      </c>
      <c r="T24" s="535"/>
      <c r="U24" s="535"/>
      <c r="V24" s="535"/>
      <c r="W24" s="535"/>
      <c r="X24" s="547"/>
      <c r="Y24" s="535"/>
      <c r="Z24" s="535"/>
      <c r="AA24" s="535"/>
      <c r="AB24" s="534"/>
      <c r="AC24" s="534"/>
      <c r="AD24" s="534">
        <f t="shared" si="8"/>
        <v>6</v>
      </c>
      <c r="AE24" s="539"/>
      <c r="AF24" s="534">
        <f t="shared" si="9"/>
        <v>6</v>
      </c>
    </row>
    <row r="25" spans="1:32" s="531" customFormat="1" ht="12.75" customHeight="1" x14ac:dyDescent="0.2">
      <c r="A25" s="537">
        <v>14</v>
      </c>
      <c r="B25" s="535">
        <v>15</v>
      </c>
      <c r="C25" s="535"/>
      <c r="D25" s="535"/>
      <c r="E25" s="535"/>
      <c r="F25" s="535"/>
      <c r="G25" s="547"/>
      <c r="H25" s="535"/>
      <c r="I25" s="535">
        <v>3</v>
      </c>
      <c r="J25" s="535">
        <f>8-1</f>
        <v>7</v>
      </c>
      <c r="K25" s="547"/>
      <c r="L25" s="547"/>
      <c r="M25" s="535"/>
      <c r="N25" s="547"/>
      <c r="O25" s="547"/>
      <c r="P25" s="535"/>
      <c r="Q25" s="535"/>
      <c r="R25" s="547"/>
      <c r="S25" s="535"/>
      <c r="T25" s="535"/>
      <c r="U25" s="535"/>
      <c r="V25" s="535"/>
      <c r="W25" s="535"/>
      <c r="X25" s="547"/>
      <c r="Y25" s="535">
        <v>12</v>
      </c>
      <c r="Z25" s="535"/>
      <c r="AA25" s="535"/>
      <c r="AB25" s="535"/>
      <c r="AC25" s="534"/>
      <c r="AD25" s="534">
        <f t="shared" si="8"/>
        <v>37</v>
      </c>
      <c r="AE25" s="539"/>
      <c r="AF25" s="534">
        <f t="shared" si="9"/>
        <v>37</v>
      </c>
    </row>
    <row r="26" spans="1:32" s="531" customFormat="1" ht="12.75" customHeight="1" x14ac:dyDescent="0.2">
      <c r="A26" s="537">
        <v>15</v>
      </c>
      <c r="B26" s="536"/>
      <c r="C26" s="536"/>
      <c r="D26" s="536"/>
      <c r="E26" s="536">
        <f>60-1</f>
        <v>59</v>
      </c>
      <c r="F26" s="536"/>
      <c r="G26" s="548"/>
      <c r="H26" s="536"/>
      <c r="I26" s="536"/>
      <c r="J26" s="535"/>
      <c r="K26" s="548"/>
      <c r="L26" s="548"/>
      <c r="M26" s="535"/>
      <c r="N26" s="548"/>
      <c r="O26" s="548"/>
      <c r="P26" s="535">
        <f>15-1</f>
        <v>14</v>
      </c>
      <c r="Q26" s="536"/>
      <c r="R26" s="548"/>
      <c r="S26" s="535"/>
      <c r="T26" s="535"/>
      <c r="U26" s="535"/>
      <c r="V26" s="535"/>
      <c r="W26" s="535"/>
      <c r="X26" s="547"/>
      <c r="Y26" s="535"/>
      <c r="Z26" s="535"/>
      <c r="AA26" s="535"/>
      <c r="AB26" s="536"/>
      <c r="AC26" s="534"/>
      <c r="AD26" s="534">
        <f t="shared" si="8"/>
        <v>73</v>
      </c>
      <c r="AE26" s="539"/>
      <c r="AF26" s="534">
        <f t="shared" si="9"/>
        <v>73</v>
      </c>
    </row>
    <row r="27" spans="1:32" s="531" customFormat="1" ht="12.75" customHeight="1" x14ac:dyDescent="0.2">
      <c r="A27" s="537">
        <v>16</v>
      </c>
      <c r="B27" s="535">
        <v>15</v>
      </c>
      <c r="C27" s="535"/>
      <c r="D27" s="535"/>
      <c r="E27" s="535"/>
      <c r="F27" s="535"/>
      <c r="G27" s="547"/>
      <c r="H27" s="535"/>
      <c r="I27" s="535"/>
      <c r="J27" s="535"/>
      <c r="K27" s="547"/>
      <c r="L27" s="547"/>
      <c r="M27" s="535"/>
      <c r="N27" s="547"/>
      <c r="O27" s="547"/>
      <c r="P27" s="535"/>
      <c r="Q27" s="535"/>
      <c r="R27" s="547"/>
      <c r="S27" s="535"/>
      <c r="T27" s="535"/>
      <c r="U27" s="535">
        <v>18</v>
      </c>
      <c r="V27" s="535"/>
      <c r="W27" s="535"/>
      <c r="X27" s="547"/>
      <c r="Y27" s="535">
        <f>33-12</f>
        <v>21</v>
      </c>
      <c r="Z27" s="535"/>
      <c r="AA27" s="535"/>
      <c r="AB27" s="535"/>
      <c r="AC27" s="534"/>
      <c r="AD27" s="534">
        <f t="shared" si="8"/>
        <v>54</v>
      </c>
      <c r="AE27" s="539"/>
      <c r="AF27" s="534">
        <f t="shared" si="9"/>
        <v>54</v>
      </c>
    </row>
    <row r="28" spans="1:32" s="531" customFormat="1" ht="12.75" customHeight="1" x14ac:dyDescent="0.2">
      <c r="A28" s="537">
        <v>17</v>
      </c>
      <c r="B28" s="536">
        <v>15</v>
      </c>
      <c r="C28" s="536"/>
      <c r="D28" s="536"/>
      <c r="E28" s="536"/>
      <c r="F28" s="536"/>
      <c r="G28" s="548"/>
      <c r="H28" s="536"/>
      <c r="I28" s="536">
        <f>20-5-6</f>
        <v>9</v>
      </c>
      <c r="J28" s="535">
        <f>10-2-2</f>
        <v>6</v>
      </c>
      <c r="K28" s="548"/>
      <c r="L28" s="548"/>
      <c r="M28" s="536"/>
      <c r="N28" s="548"/>
      <c r="O28" s="548"/>
      <c r="P28" s="536"/>
      <c r="Q28" s="536"/>
      <c r="R28" s="548"/>
      <c r="S28" s="535"/>
      <c r="T28" s="535"/>
      <c r="U28" s="535"/>
      <c r="V28" s="535"/>
      <c r="W28" s="535"/>
      <c r="X28" s="547"/>
      <c r="Y28" s="535"/>
      <c r="Z28" s="535"/>
      <c r="AA28" s="535"/>
      <c r="AB28" s="536"/>
      <c r="AC28" s="534"/>
      <c r="AD28" s="534">
        <f t="shared" si="8"/>
        <v>30</v>
      </c>
      <c r="AE28" s="539"/>
      <c r="AF28" s="534">
        <f t="shared" si="9"/>
        <v>30</v>
      </c>
    </row>
    <row r="29" spans="1:32" s="531" customFormat="1" ht="12.75" customHeight="1" x14ac:dyDescent="0.2">
      <c r="A29" s="554" t="s">
        <v>725</v>
      </c>
      <c r="B29" s="543">
        <f t="shared" ref="B29:AF29" si="10">B30+B31</f>
        <v>130</v>
      </c>
      <c r="C29" s="543">
        <f t="shared" si="10"/>
        <v>0</v>
      </c>
      <c r="D29" s="543">
        <f t="shared" si="10"/>
        <v>0</v>
      </c>
      <c r="E29" s="543">
        <f t="shared" si="10"/>
        <v>203</v>
      </c>
      <c r="F29" s="543">
        <f t="shared" si="10"/>
        <v>571</v>
      </c>
      <c r="G29" s="543">
        <f t="shared" si="10"/>
        <v>0</v>
      </c>
      <c r="H29" s="543">
        <f t="shared" si="10"/>
        <v>0</v>
      </c>
      <c r="I29" s="543">
        <f t="shared" si="10"/>
        <v>0</v>
      </c>
      <c r="J29" s="543">
        <f t="shared" si="10"/>
        <v>0</v>
      </c>
      <c r="K29" s="543">
        <f t="shared" si="10"/>
        <v>0</v>
      </c>
      <c r="L29" s="543">
        <f t="shared" si="10"/>
        <v>0</v>
      </c>
      <c r="M29" s="543">
        <f t="shared" si="10"/>
        <v>0</v>
      </c>
      <c r="N29" s="543">
        <f t="shared" si="10"/>
        <v>0</v>
      </c>
      <c r="O29" s="543">
        <f t="shared" si="10"/>
        <v>0</v>
      </c>
      <c r="P29" s="543">
        <f t="shared" si="10"/>
        <v>70</v>
      </c>
      <c r="Q29" s="543">
        <f t="shared" si="10"/>
        <v>0</v>
      </c>
      <c r="R29" s="543">
        <f t="shared" si="10"/>
        <v>76</v>
      </c>
      <c r="S29" s="543">
        <f t="shared" si="10"/>
        <v>0</v>
      </c>
      <c r="T29" s="543">
        <f t="shared" si="10"/>
        <v>0</v>
      </c>
      <c r="U29" s="543">
        <f t="shared" si="10"/>
        <v>0</v>
      </c>
      <c r="V29" s="543">
        <f t="shared" si="10"/>
        <v>0</v>
      </c>
      <c r="W29" s="543">
        <f t="shared" si="10"/>
        <v>0</v>
      </c>
      <c r="X29" s="543">
        <f t="shared" si="10"/>
        <v>0</v>
      </c>
      <c r="Y29" s="543">
        <f t="shared" si="10"/>
        <v>0</v>
      </c>
      <c r="Z29" s="543">
        <f t="shared" si="10"/>
        <v>0</v>
      </c>
      <c r="AA29" s="543">
        <f t="shared" si="10"/>
        <v>0</v>
      </c>
      <c r="AB29" s="543">
        <f t="shared" si="10"/>
        <v>10</v>
      </c>
      <c r="AC29" s="543">
        <f t="shared" si="10"/>
        <v>0</v>
      </c>
      <c r="AD29" s="543">
        <f t="shared" si="10"/>
        <v>1060</v>
      </c>
      <c r="AE29" s="543">
        <f t="shared" si="10"/>
        <v>0</v>
      </c>
      <c r="AF29" s="543">
        <f t="shared" si="10"/>
        <v>1060</v>
      </c>
    </row>
    <row r="30" spans="1:32" s="531" customFormat="1" ht="12.75" customHeight="1" x14ac:dyDescent="0.2">
      <c r="A30" s="537">
        <v>18</v>
      </c>
      <c r="B30" s="534">
        <f>130-30</f>
        <v>100</v>
      </c>
      <c r="C30" s="534"/>
      <c r="D30" s="534"/>
      <c r="E30" s="534">
        <f>144</f>
        <v>144</v>
      </c>
      <c r="F30" s="534">
        <f>340-26</f>
        <v>314</v>
      </c>
      <c r="G30" s="534"/>
      <c r="H30" s="534"/>
      <c r="I30" s="534"/>
      <c r="J30" s="534"/>
      <c r="K30" s="534"/>
      <c r="L30" s="534"/>
      <c r="M30" s="534"/>
      <c r="N30" s="534"/>
      <c r="O30" s="534"/>
      <c r="P30" s="534">
        <f>90-30-5-6</f>
        <v>49</v>
      </c>
      <c r="Q30" s="534"/>
      <c r="R30" s="534">
        <f>0+76</f>
        <v>76</v>
      </c>
      <c r="S30" s="534"/>
      <c r="T30" s="534"/>
      <c r="U30" s="534"/>
      <c r="V30" s="534"/>
      <c r="W30" s="534"/>
      <c r="X30" s="534"/>
      <c r="Y30" s="534"/>
      <c r="Z30" s="534"/>
      <c r="AA30" s="534"/>
      <c r="AB30" s="534">
        <f>0+10</f>
        <v>10</v>
      </c>
      <c r="AC30" s="534"/>
      <c r="AD30" s="534">
        <f>B30+C30+D30+E30+F30+G30+H30+I30+J30+K30+L30+M30+N30+O30+P30+Q30+R30+S30+T30+U30+V30+W30+X30+Y30+Z30+AA30+AB30+AC30</f>
        <v>693</v>
      </c>
      <c r="AE30" s="539"/>
      <c r="AF30" s="534">
        <f>AD30+AE30</f>
        <v>693</v>
      </c>
    </row>
    <row r="31" spans="1:32" s="531" customFormat="1" ht="12.75" customHeight="1" x14ac:dyDescent="0.2">
      <c r="A31" s="537">
        <v>19</v>
      </c>
      <c r="B31" s="534">
        <v>30</v>
      </c>
      <c r="C31" s="534"/>
      <c r="D31" s="534"/>
      <c r="E31" s="534">
        <f>56+3</f>
        <v>59</v>
      </c>
      <c r="F31" s="534">
        <v>257</v>
      </c>
      <c r="G31" s="534"/>
      <c r="H31" s="534"/>
      <c r="I31" s="534"/>
      <c r="J31" s="534"/>
      <c r="K31" s="534"/>
      <c r="L31" s="534"/>
      <c r="M31" s="534"/>
      <c r="N31" s="534"/>
      <c r="O31" s="534"/>
      <c r="P31" s="534">
        <f>30-5-4</f>
        <v>21</v>
      </c>
      <c r="Q31" s="534"/>
      <c r="R31" s="534"/>
      <c r="S31" s="534"/>
      <c r="T31" s="534"/>
      <c r="U31" s="534"/>
      <c r="V31" s="534"/>
      <c r="W31" s="534"/>
      <c r="X31" s="534"/>
      <c r="Y31" s="534"/>
      <c r="Z31" s="534"/>
      <c r="AA31" s="534"/>
      <c r="AB31" s="534"/>
      <c r="AC31" s="534"/>
      <c r="AD31" s="534">
        <f>B31+C31+D31+E31+F31+G31+H31+I31+J31+K31+L31+M31+N31+O31+P31+Q31+R31+S31+T31+U31+V31+W31+X31+Y31+Z31+AA31+AB31+AC31</f>
        <v>367</v>
      </c>
      <c r="AE31" s="539"/>
      <c r="AF31" s="534">
        <f>AD31+AE31</f>
        <v>367</v>
      </c>
    </row>
    <row r="32" spans="1:32" s="531" customFormat="1" ht="12.75" customHeight="1" x14ac:dyDescent="0.2">
      <c r="A32" s="554" t="s">
        <v>726</v>
      </c>
      <c r="B32" s="543">
        <f t="shared" ref="B32" si="11">B33+B34+B35+B36+B37+B38</f>
        <v>170</v>
      </c>
      <c r="C32" s="543">
        <f>C33+C34+C35+C36+C37+C38</f>
        <v>1587</v>
      </c>
      <c r="D32" s="543">
        <f t="shared" ref="D32:AF32" si="12">D33+D34+D35+D36+D37+D38</f>
        <v>0</v>
      </c>
      <c r="E32" s="543">
        <f t="shared" si="12"/>
        <v>100</v>
      </c>
      <c r="F32" s="543">
        <f t="shared" si="12"/>
        <v>0</v>
      </c>
      <c r="G32" s="543">
        <f t="shared" si="12"/>
        <v>0</v>
      </c>
      <c r="H32" s="543">
        <f t="shared" si="12"/>
        <v>0</v>
      </c>
      <c r="I32" s="543">
        <f t="shared" si="12"/>
        <v>0</v>
      </c>
      <c r="J32" s="543">
        <f t="shared" si="12"/>
        <v>0</v>
      </c>
      <c r="K32" s="543">
        <f t="shared" si="12"/>
        <v>0</v>
      </c>
      <c r="L32" s="543">
        <f t="shared" si="12"/>
        <v>0</v>
      </c>
      <c r="M32" s="543">
        <f t="shared" si="12"/>
        <v>0</v>
      </c>
      <c r="N32" s="543">
        <f t="shared" si="12"/>
        <v>0</v>
      </c>
      <c r="O32" s="543">
        <f t="shared" si="12"/>
        <v>0</v>
      </c>
      <c r="P32" s="543">
        <f t="shared" si="12"/>
        <v>0</v>
      </c>
      <c r="Q32" s="543">
        <f t="shared" si="12"/>
        <v>0</v>
      </c>
      <c r="R32" s="543">
        <f t="shared" si="12"/>
        <v>0</v>
      </c>
      <c r="S32" s="543">
        <f t="shared" si="12"/>
        <v>0</v>
      </c>
      <c r="T32" s="543">
        <f t="shared" si="12"/>
        <v>0</v>
      </c>
      <c r="U32" s="543">
        <f t="shared" si="12"/>
        <v>0</v>
      </c>
      <c r="V32" s="543">
        <f t="shared" si="12"/>
        <v>0</v>
      </c>
      <c r="W32" s="543">
        <f t="shared" si="12"/>
        <v>10</v>
      </c>
      <c r="X32" s="543">
        <f t="shared" si="12"/>
        <v>0</v>
      </c>
      <c r="Y32" s="543">
        <f t="shared" si="12"/>
        <v>100</v>
      </c>
      <c r="Z32" s="543">
        <f t="shared" si="12"/>
        <v>3</v>
      </c>
      <c r="AA32" s="543">
        <f t="shared" si="12"/>
        <v>0</v>
      </c>
      <c r="AB32" s="543">
        <f t="shared" si="12"/>
        <v>0</v>
      </c>
      <c r="AC32" s="543">
        <f t="shared" si="12"/>
        <v>0</v>
      </c>
      <c r="AD32" s="543">
        <f t="shared" si="12"/>
        <v>1970</v>
      </c>
      <c r="AE32" s="543">
        <f t="shared" si="12"/>
        <v>0</v>
      </c>
      <c r="AF32" s="543">
        <f t="shared" si="12"/>
        <v>1970</v>
      </c>
    </row>
    <row r="33" spans="1:32" s="531" customFormat="1" ht="12.75" customHeight="1" x14ac:dyDescent="0.2">
      <c r="A33" s="537">
        <v>20</v>
      </c>
      <c r="B33" s="535">
        <v>50</v>
      </c>
      <c r="C33" s="535">
        <v>1167</v>
      </c>
      <c r="D33" s="535"/>
      <c r="E33" s="535">
        <v>3</v>
      </c>
      <c r="F33" s="535"/>
      <c r="G33" s="535"/>
      <c r="H33" s="535"/>
      <c r="I33" s="535"/>
      <c r="J33" s="535"/>
      <c r="K33" s="535"/>
      <c r="L33" s="535"/>
      <c r="M33" s="535"/>
      <c r="N33" s="535"/>
      <c r="O33" s="535"/>
      <c r="P33" s="535"/>
      <c r="Q33" s="535"/>
      <c r="R33" s="535"/>
      <c r="S33" s="535"/>
      <c r="T33" s="535"/>
      <c r="U33" s="535"/>
      <c r="V33" s="535"/>
      <c r="W33" s="535">
        <v>10</v>
      </c>
      <c r="X33" s="535"/>
      <c r="Y33" s="535">
        <v>100</v>
      </c>
      <c r="Z33" s="535">
        <v>3</v>
      </c>
      <c r="AA33" s="535"/>
      <c r="AB33" s="535"/>
      <c r="AC33" s="535"/>
      <c r="AD33" s="534">
        <f t="shared" ref="AD33:AD38" si="13">B33+C33+D33+E33+F33+G33+H33+I33+J33+K33+L33+M33+N33+O33+P33+Q33+R33+S33+T33+U33+V33+W33+X33+Y33+Z33+AA33+AB33+AC33</f>
        <v>1333</v>
      </c>
      <c r="AE33" s="539"/>
      <c r="AF33" s="534">
        <f t="shared" ref="AF33:AF38" si="14">AD33+AE33</f>
        <v>1333</v>
      </c>
    </row>
    <row r="34" spans="1:32" s="531" customFormat="1" ht="12.75" customHeight="1" x14ac:dyDescent="0.2">
      <c r="A34" s="537">
        <v>21</v>
      </c>
      <c r="B34" s="535"/>
      <c r="C34" s="535"/>
      <c r="D34" s="535"/>
      <c r="E34" s="535"/>
      <c r="F34" s="535"/>
      <c r="G34" s="535"/>
      <c r="H34" s="535"/>
      <c r="I34" s="535"/>
      <c r="J34" s="535"/>
      <c r="K34" s="535"/>
      <c r="L34" s="535"/>
      <c r="M34" s="535"/>
      <c r="N34" s="535"/>
      <c r="O34" s="535"/>
      <c r="P34" s="535"/>
      <c r="Q34" s="535"/>
      <c r="R34" s="535"/>
      <c r="S34" s="535"/>
      <c r="T34" s="535"/>
      <c r="U34" s="535"/>
      <c r="V34" s="535"/>
      <c r="W34" s="535"/>
      <c r="X34" s="535"/>
      <c r="Y34" s="535"/>
      <c r="Z34" s="535"/>
      <c r="AA34" s="535"/>
      <c r="AB34" s="535"/>
      <c r="AC34" s="535"/>
      <c r="AD34" s="534">
        <f t="shared" si="13"/>
        <v>0</v>
      </c>
      <c r="AE34" s="539"/>
      <c r="AF34" s="534">
        <f t="shared" si="14"/>
        <v>0</v>
      </c>
    </row>
    <row r="35" spans="1:32" s="531" customFormat="1" ht="12.75" customHeight="1" x14ac:dyDescent="0.2">
      <c r="A35" s="537">
        <v>22</v>
      </c>
      <c r="B35" s="535">
        <v>120</v>
      </c>
      <c r="C35" s="535">
        <v>250</v>
      </c>
      <c r="D35" s="535"/>
      <c r="E35" s="535">
        <v>97</v>
      </c>
      <c r="F35" s="535"/>
      <c r="G35" s="547"/>
      <c r="H35" s="535"/>
      <c r="I35" s="535"/>
      <c r="J35" s="535"/>
      <c r="K35" s="535"/>
      <c r="L35" s="547"/>
      <c r="M35" s="535"/>
      <c r="N35" s="547"/>
      <c r="O35" s="547"/>
      <c r="P35" s="535"/>
      <c r="Q35" s="535"/>
      <c r="R35" s="547"/>
      <c r="S35" s="535"/>
      <c r="T35" s="535"/>
      <c r="U35" s="535"/>
      <c r="V35" s="535"/>
      <c r="W35" s="535"/>
      <c r="X35" s="547"/>
      <c r="Y35" s="535"/>
      <c r="Z35" s="535"/>
      <c r="AA35" s="535"/>
      <c r="AB35" s="535"/>
      <c r="AC35" s="535"/>
      <c r="AD35" s="534">
        <f t="shared" si="13"/>
        <v>467</v>
      </c>
      <c r="AE35" s="539"/>
      <c r="AF35" s="534">
        <f t="shared" si="14"/>
        <v>467</v>
      </c>
    </row>
    <row r="36" spans="1:32" s="531" customFormat="1" ht="12.75" customHeight="1" x14ac:dyDescent="0.2">
      <c r="A36" s="537">
        <v>23</v>
      </c>
      <c r="B36" s="535"/>
      <c r="C36" s="535"/>
      <c r="D36" s="535"/>
      <c r="E36" s="535"/>
      <c r="F36" s="535"/>
      <c r="G36" s="547"/>
      <c r="H36" s="535"/>
      <c r="I36" s="535"/>
      <c r="J36" s="535"/>
      <c r="K36" s="535"/>
      <c r="L36" s="547"/>
      <c r="M36" s="535"/>
      <c r="N36" s="547"/>
      <c r="O36" s="547"/>
      <c r="P36" s="535"/>
      <c r="Q36" s="535"/>
      <c r="R36" s="547"/>
      <c r="S36" s="535"/>
      <c r="T36" s="535"/>
      <c r="U36" s="535"/>
      <c r="V36" s="535"/>
      <c r="W36" s="535"/>
      <c r="X36" s="547"/>
      <c r="Y36" s="535"/>
      <c r="Z36" s="535"/>
      <c r="AA36" s="535"/>
      <c r="AB36" s="535"/>
      <c r="AC36" s="535"/>
      <c r="AD36" s="534">
        <f t="shared" si="13"/>
        <v>0</v>
      </c>
      <c r="AE36" s="539"/>
      <c r="AF36" s="534">
        <f t="shared" si="14"/>
        <v>0</v>
      </c>
    </row>
    <row r="37" spans="1:32" s="531" customFormat="1" ht="12.75" customHeight="1" x14ac:dyDescent="0.2">
      <c r="A37" s="537">
        <v>24</v>
      </c>
      <c r="B37" s="535"/>
      <c r="C37" s="535">
        <v>170</v>
      </c>
      <c r="D37" s="535"/>
      <c r="E37" s="535"/>
      <c r="F37" s="535"/>
      <c r="G37" s="547"/>
      <c r="H37" s="535"/>
      <c r="I37" s="535"/>
      <c r="J37" s="535"/>
      <c r="K37" s="535"/>
      <c r="L37" s="547"/>
      <c r="M37" s="535"/>
      <c r="N37" s="547"/>
      <c r="O37" s="547"/>
      <c r="P37" s="535"/>
      <c r="Q37" s="535"/>
      <c r="R37" s="547"/>
      <c r="S37" s="535"/>
      <c r="T37" s="535"/>
      <c r="U37" s="535"/>
      <c r="V37" s="535"/>
      <c r="W37" s="535"/>
      <c r="X37" s="547"/>
      <c r="Y37" s="535"/>
      <c r="Z37" s="535"/>
      <c r="AA37" s="535"/>
      <c r="AB37" s="535"/>
      <c r="AC37" s="535"/>
      <c r="AD37" s="534">
        <f t="shared" si="13"/>
        <v>170</v>
      </c>
      <c r="AE37" s="539"/>
      <c r="AF37" s="534">
        <f t="shared" si="14"/>
        <v>170</v>
      </c>
    </row>
    <row r="38" spans="1:32" s="531" customFormat="1" ht="12.75" customHeight="1" x14ac:dyDescent="0.2">
      <c r="A38" s="537">
        <v>25</v>
      </c>
      <c r="B38" s="535"/>
      <c r="C38" s="535"/>
      <c r="D38" s="535"/>
      <c r="E38" s="535"/>
      <c r="F38" s="535"/>
      <c r="G38" s="547"/>
      <c r="H38" s="535"/>
      <c r="I38" s="535"/>
      <c r="J38" s="535"/>
      <c r="K38" s="535"/>
      <c r="L38" s="547"/>
      <c r="M38" s="535"/>
      <c r="N38" s="547"/>
      <c r="O38" s="547"/>
      <c r="P38" s="535"/>
      <c r="Q38" s="535"/>
      <c r="R38" s="547"/>
      <c r="S38" s="535"/>
      <c r="T38" s="535"/>
      <c r="U38" s="535"/>
      <c r="V38" s="535"/>
      <c r="W38" s="535"/>
      <c r="X38" s="547"/>
      <c r="Y38" s="535"/>
      <c r="Z38" s="535"/>
      <c r="AA38" s="535"/>
      <c r="AB38" s="535"/>
      <c r="AC38" s="535"/>
      <c r="AD38" s="534">
        <f t="shared" si="13"/>
        <v>0</v>
      </c>
      <c r="AE38" s="539"/>
      <c r="AF38" s="534">
        <f t="shared" si="14"/>
        <v>0</v>
      </c>
    </row>
    <row r="39" spans="1:32" s="531" customFormat="1" ht="13.5" customHeight="1" x14ac:dyDescent="0.2">
      <c r="A39" s="553" t="s">
        <v>727</v>
      </c>
      <c r="B39" s="543">
        <f t="shared" ref="B39:AF39" si="15">B40+B41+B42</f>
        <v>150</v>
      </c>
      <c r="C39" s="543">
        <f t="shared" si="15"/>
        <v>0</v>
      </c>
      <c r="D39" s="543">
        <f t="shared" si="15"/>
        <v>0</v>
      </c>
      <c r="E39" s="543">
        <f t="shared" si="15"/>
        <v>52</v>
      </c>
      <c r="F39" s="543">
        <f t="shared" si="15"/>
        <v>0</v>
      </c>
      <c r="G39" s="543">
        <f t="shared" si="15"/>
        <v>0</v>
      </c>
      <c r="H39" s="543">
        <f t="shared" si="15"/>
        <v>0</v>
      </c>
      <c r="I39" s="543">
        <f t="shared" si="15"/>
        <v>5</v>
      </c>
      <c r="J39" s="543">
        <f t="shared" si="15"/>
        <v>66</v>
      </c>
      <c r="K39" s="543">
        <f t="shared" si="15"/>
        <v>0</v>
      </c>
      <c r="L39" s="543">
        <f t="shared" si="15"/>
        <v>0</v>
      </c>
      <c r="M39" s="543">
        <f t="shared" si="15"/>
        <v>0</v>
      </c>
      <c r="N39" s="543">
        <f t="shared" si="15"/>
        <v>0</v>
      </c>
      <c r="O39" s="543">
        <f t="shared" si="15"/>
        <v>100</v>
      </c>
      <c r="P39" s="543">
        <f t="shared" si="15"/>
        <v>0</v>
      </c>
      <c r="Q39" s="543">
        <f t="shared" si="15"/>
        <v>0</v>
      </c>
      <c r="R39" s="543">
        <f t="shared" si="15"/>
        <v>0</v>
      </c>
      <c r="S39" s="543">
        <f t="shared" si="15"/>
        <v>0</v>
      </c>
      <c r="T39" s="543">
        <f t="shared" si="15"/>
        <v>0</v>
      </c>
      <c r="U39" s="543">
        <f t="shared" si="15"/>
        <v>0</v>
      </c>
      <c r="V39" s="543">
        <f t="shared" si="15"/>
        <v>0</v>
      </c>
      <c r="W39" s="543">
        <f t="shared" si="15"/>
        <v>0</v>
      </c>
      <c r="X39" s="543">
        <f t="shared" si="15"/>
        <v>0</v>
      </c>
      <c r="Y39" s="543">
        <f t="shared" si="15"/>
        <v>0</v>
      </c>
      <c r="Z39" s="543">
        <f t="shared" si="15"/>
        <v>0</v>
      </c>
      <c r="AA39" s="543">
        <f t="shared" si="15"/>
        <v>0</v>
      </c>
      <c r="AB39" s="543">
        <f t="shared" si="15"/>
        <v>0</v>
      </c>
      <c r="AC39" s="543">
        <f t="shared" si="15"/>
        <v>0</v>
      </c>
      <c r="AD39" s="543">
        <f t="shared" si="15"/>
        <v>373</v>
      </c>
      <c r="AE39" s="543">
        <f t="shared" si="15"/>
        <v>0</v>
      </c>
      <c r="AF39" s="543">
        <f t="shared" si="15"/>
        <v>373</v>
      </c>
    </row>
    <row r="40" spans="1:32" s="531" customFormat="1" ht="13.5" customHeight="1" x14ac:dyDescent="0.2">
      <c r="A40" s="537">
        <v>26</v>
      </c>
      <c r="B40" s="535">
        <v>120</v>
      </c>
      <c r="C40" s="535"/>
      <c r="D40" s="535"/>
      <c r="E40" s="535">
        <f>35+2</f>
        <v>37</v>
      </c>
      <c r="F40" s="535"/>
      <c r="G40" s="535"/>
      <c r="H40" s="535"/>
      <c r="I40" s="535"/>
      <c r="J40" s="535">
        <v>25</v>
      </c>
      <c r="K40" s="535"/>
      <c r="L40" s="535"/>
      <c r="M40" s="535"/>
      <c r="N40" s="535"/>
      <c r="O40" s="535">
        <v>55</v>
      </c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Z40" s="535"/>
      <c r="AA40" s="535"/>
      <c r="AB40" s="535"/>
      <c r="AC40" s="535"/>
      <c r="AD40" s="534">
        <f>B40+C40+D40+E40+F40+G40+H40+I40+J40+K40+L40+M40+N40+O40+P40+Q40+R40+S40+T40+U40+V40+W40+X40+Y40+Z40+AA40+AB40+AC40</f>
        <v>237</v>
      </c>
      <c r="AE40" s="539"/>
      <c r="AF40" s="534">
        <f>AD40+AE40</f>
        <v>237</v>
      </c>
    </row>
    <row r="41" spans="1:32" s="531" customFormat="1" ht="13.5" customHeight="1" x14ac:dyDescent="0.2">
      <c r="A41" s="537">
        <v>27</v>
      </c>
      <c r="B41" s="535">
        <v>30</v>
      </c>
      <c r="C41" s="535"/>
      <c r="D41" s="535"/>
      <c r="E41" s="535">
        <v>15</v>
      </c>
      <c r="F41" s="535"/>
      <c r="G41" s="535"/>
      <c r="H41" s="535"/>
      <c r="I41" s="535">
        <v>5</v>
      </c>
      <c r="J41" s="535">
        <f>40+1</f>
        <v>41</v>
      </c>
      <c r="K41" s="535"/>
      <c r="L41" s="535"/>
      <c r="M41" s="535"/>
      <c r="N41" s="535"/>
      <c r="O41" s="535">
        <v>45</v>
      </c>
      <c r="P41" s="535"/>
      <c r="Q41" s="535"/>
      <c r="R41" s="535"/>
      <c r="S41" s="535"/>
      <c r="T41" s="535"/>
      <c r="U41" s="535"/>
      <c r="V41" s="535"/>
      <c r="W41" s="535"/>
      <c r="X41" s="535"/>
      <c r="Y41" s="535"/>
      <c r="Z41" s="535"/>
      <c r="AA41" s="535"/>
      <c r="AB41" s="535"/>
      <c r="AC41" s="535"/>
      <c r="AD41" s="534">
        <f>B41+C41+D41+E41+F41+G41+H41+I41+J41+K41+L41+M41+N41+O41+P41+Q41+R41+S41+T41+U41+V41+W41+X41+Y41+Z41+AA41+AB41+AC41</f>
        <v>136</v>
      </c>
      <c r="AE41" s="539"/>
      <c r="AF41" s="534">
        <f>AD41+AE41</f>
        <v>136</v>
      </c>
    </row>
    <row r="42" spans="1:32" s="531" customFormat="1" ht="13.5" customHeight="1" x14ac:dyDescent="0.2">
      <c r="A42" s="537">
        <v>28</v>
      </c>
      <c r="B42" s="535"/>
      <c r="C42" s="535"/>
      <c r="D42" s="535"/>
      <c r="E42" s="535"/>
      <c r="F42" s="535"/>
      <c r="G42" s="535"/>
      <c r="H42" s="535"/>
      <c r="I42" s="535"/>
      <c r="J42" s="535"/>
      <c r="K42" s="535"/>
      <c r="L42" s="535"/>
      <c r="M42" s="535"/>
      <c r="N42" s="535"/>
      <c r="O42" s="535"/>
      <c r="P42" s="535"/>
      <c r="Q42" s="535"/>
      <c r="R42" s="535"/>
      <c r="S42" s="535"/>
      <c r="T42" s="535"/>
      <c r="U42" s="535"/>
      <c r="V42" s="535"/>
      <c r="W42" s="535"/>
      <c r="X42" s="535"/>
      <c r="Y42" s="535"/>
      <c r="Z42" s="535"/>
      <c r="AA42" s="535"/>
      <c r="AB42" s="535"/>
      <c r="AC42" s="535"/>
      <c r="AD42" s="534">
        <f>B42+C42+D42+E42+F42+G42+H42+I42+J42+K42+L42+M42+N42+O42+P42+Q42+R42+S42+T42+U42+V42+W42+X42+Y42+Z42+AA42+AB42+AC42</f>
        <v>0</v>
      </c>
      <c r="AE42" s="539"/>
      <c r="AF42" s="534">
        <f>AD42+AE42</f>
        <v>0</v>
      </c>
    </row>
    <row r="43" spans="1:32" s="531" customFormat="1" ht="13.5" customHeight="1" x14ac:dyDescent="0.2">
      <c r="A43" s="553" t="s">
        <v>728</v>
      </c>
      <c r="B43" s="543">
        <f t="shared" ref="B43:AF43" si="16">B44+B45</f>
        <v>0</v>
      </c>
      <c r="C43" s="543">
        <f t="shared" si="16"/>
        <v>0</v>
      </c>
      <c r="D43" s="543">
        <f t="shared" si="16"/>
        <v>0</v>
      </c>
      <c r="E43" s="543">
        <f t="shared" si="16"/>
        <v>60</v>
      </c>
      <c r="F43" s="543">
        <f t="shared" si="16"/>
        <v>0</v>
      </c>
      <c r="G43" s="543">
        <f t="shared" si="16"/>
        <v>0</v>
      </c>
      <c r="H43" s="543">
        <f t="shared" si="16"/>
        <v>0</v>
      </c>
      <c r="I43" s="543">
        <f t="shared" si="16"/>
        <v>0</v>
      </c>
      <c r="J43" s="543">
        <f t="shared" si="16"/>
        <v>0</v>
      </c>
      <c r="K43" s="543">
        <f t="shared" si="16"/>
        <v>0</v>
      </c>
      <c r="L43" s="543">
        <f t="shared" si="16"/>
        <v>2400</v>
      </c>
      <c r="M43" s="543">
        <f t="shared" si="16"/>
        <v>0</v>
      </c>
      <c r="N43" s="543">
        <f t="shared" si="16"/>
        <v>200</v>
      </c>
      <c r="O43" s="543">
        <f t="shared" si="16"/>
        <v>0</v>
      </c>
      <c r="P43" s="543">
        <f t="shared" si="16"/>
        <v>0</v>
      </c>
      <c r="Q43" s="543">
        <f t="shared" si="16"/>
        <v>0</v>
      </c>
      <c r="R43" s="543">
        <f t="shared" si="16"/>
        <v>0</v>
      </c>
      <c r="S43" s="543">
        <f t="shared" si="16"/>
        <v>0</v>
      </c>
      <c r="T43" s="543">
        <f t="shared" si="16"/>
        <v>0</v>
      </c>
      <c r="U43" s="543">
        <f t="shared" si="16"/>
        <v>0</v>
      </c>
      <c r="V43" s="543">
        <f t="shared" si="16"/>
        <v>0</v>
      </c>
      <c r="W43" s="543">
        <f t="shared" si="16"/>
        <v>0</v>
      </c>
      <c r="X43" s="543">
        <f t="shared" si="16"/>
        <v>0</v>
      </c>
      <c r="Y43" s="543">
        <f t="shared" si="16"/>
        <v>0</v>
      </c>
      <c r="Z43" s="543">
        <f t="shared" si="16"/>
        <v>0</v>
      </c>
      <c r="AA43" s="543">
        <f t="shared" si="16"/>
        <v>0</v>
      </c>
      <c r="AB43" s="543">
        <f t="shared" si="16"/>
        <v>0</v>
      </c>
      <c r="AC43" s="543">
        <f t="shared" si="16"/>
        <v>0</v>
      </c>
      <c r="AD43" s="543">
        <f t="shared" si="16"/>
        <v>2660</v>
      </c>
      <c r="AE43" s="543">
        <f t="shared" si="16"/>
        <v>0</v>
      </c>
      <c r="AF43" s="543">
        <f t="shared" si="16"/>
        <v>2660</v>
      </c>
    </row>
    <row r="44" spans="1:32" s="531" customFormat="1" ht="13.5" customHeight="1" x14ac:dyDescent="0.2">
      <c r="A44" s="537">
        <v>29</v>
      </c>
      <c r="B44" s="535"/>
      <c r="C44" s="535"/>
      <c r="D44" s="535"/>
      <c r="E44" s="535">
        <v>60</v>
      </c>
      <c r="F44" s="535"/>
      <c r="G44" s="535"/>
      <c r="H44" s="535"/>
      <c r="I44" s="535"/>
      <c r="J44" s="535"/>
      <c r="K44" s="535"/>
      <c r="L44" s="535">
        <v>2380</v>
      </c>
      <c r="M44" s="534"/>
      <c r="N44" s="535">
        <v>200</v>
      </c>
      <c r="O44" s="535"/>
      <c r="P44" s="535"/>
      <c r="Q44" s="535"/>
      <c r="R44" s="535"/>
      <c r="S44" s="535"/>
      <c r="T44" s="534"/>
      <c r="U44" s="534"/>
      <c r="V44" s="534"/>
      <c r="W44" s="534"/>
      <c r="X44" s="535"/>
      <c r="Y44" s="535"/>
      <c r="Z44" s="535"/>
      <c r="AA44" s="535"/>
      <c r="AB44" s="535"/>
      <c r="AC44" s="534"/>
      <c r="AD44" s="534">
        <f>B44+C44+D44+E44+F44+G44+H44+I44+J44+K44+L44+M44+N44+O44+P44+Q44+R44+S44+T44+U44+V44+W44+X44+Y44+Z44+AA44+AB44+AC44</f>
        <v>2640</v>
      </c>
      <c r="AE44" s="539"/>
      <c r="AF44" s="534">
        <f>AD44+AE44</f>
        <v>2640</v>
      </c>
    </row>
    <row r="45" spans="1:32" s="531" customFormat="1" ht="13.5" customHeight="1" x14ac:dyDescent="0.2">
      <c r="A45" s="537">
        <v>30</v>
      </c>
      <c r="B45" s="535"/>
      <c r="C45" s="535"/>
      <c r="D45" s="535"/>
      <c r="E45" s="535"/>
      <c r="F45" s="535"/>
      <c r="G45" s="535"/>
      <c r="H45" s="535"/>
      <c r="I45" s="535"/>
      <c r="J45" s="535"/>
      <c r="K45" s="535"/>
      <c r="L45" s="535">
        <v>20</v>
      </c>
      <c r="M45" s="534"/>
      <c r="N45" s="535"/>
      <c r="O45" s="535"/>
      <c r="P45" s="535"/>
      <c r="Q45" s="535"/>
      <c r="R45" s="535"/>
      <c r="S45" s="535"/>
      <c r="T45" s="534"/>
      <c r="U45" s="534"/>
      <c r="V45" s="534"/>
      <c r="W45" s="534"/>
      <c r="X45" s="535"/>
      <c r="Y45" s="535"/>
      <c r="Z45" s="535"/>
      <c r="AA45" s="535"/>
      <c r="AB45" s="535"/>
      <c r="AC45" s="534"/>
      <c r="AD45" s="534">
        <f>B45+C45+D45+E45+F45+G45+H45+I45+J45+K45+L45+M45+N45+O45+P45+Q45+R45+S45+T45+U45+V45+W45+X45+Y45+Z45+AA45+AB45+AC45</f>
        <v>20</v>
      </c>
      <c r="AE45" s="539"/>
      <c r="AF45" s="534">
        <f>AD45+AE45</f>
        <v>20</v>
      </c>
    </row>
    <row r="46" spans="1:32" s="531" customFormat="1" ht="13.5" customHeight="1" x14ac:dyDescent="0.2">
      <c r="A46" s="553" t="s">
        <v>729</v>
      </c>
      <c r="B46" s="543">
        <f>B47+B48+B49+B50</f>
        <v>0</v>
      </c>
      <c r="C46" s="543">
        <f t="shared" ref="C46:AF46" si="17">C47+C48+C49+C50</f>
        <v>0</v>
      </c>
      <c r="D46" s="543">
        <f t="shared" si="17"/>
        <v>0</v>
      </c>
      <c r="E46" s="543">
        <f t="shared" si="17"/>
        <v>44</v>
      </c>
      <c r="F46" s="543">
        <f t="shared" si="17"/>
        <v>0</v>
      </c>
      <c r="G46" s="543">
        <f t="shared" si="17"/>
        <v>0</v>
      </c>
      <c r="H46" s="543">
        <f t="shared" si="17"/>
        <v>0</v>
      </c>
      <c r="I46" s="543">
        <f t="shared" si="17"/>
        <v>0</v>
      </c>
      <c r="J46" s="543">
        <f t="shared" si="17"/>
        <v>0</v>
      </c>
      <c r="K46" s="543">
        <f t="shared" si="17"/>
        <v>0</v>
      </c>
      <c r="L46" s="543">
        <f t="shared" si="17"/>
        <v>0</v>
      </c>
      <c r="M46" s="543">
        <f t="shared" si="17"/>
        <v>0</v>
      </c>
      <c r="N46" s="543">
        <f t="shared" si="17"/>
        <v>0</v>
      </c>
      <c r="O46" s="543">
        <f t="shared" si="17"/>
        <v>0</v>
      </c>
      <c r="P46" s="543">
        <f t="shared" si="17"/>
        <v>0</v>
      </c>
      <c r="Q46" s="543">
        <f t="shared" si="17"/>
        <v>0</v>
      </c>
      <c r="R46" s="543">
        <f t="shared" si="17"/>
        <v>0</v>
      </c>
      <c r="S46" s="543">
        <f t="shared" si="17"/>
        <v>0</v>
      </c>
      <c r="T46" s="543">
        <f t="shared" si="17"/>
        <v>0</v>
      </c>
      <c r="U46" s="543">
        <f t="shared" si="17"/>
        <v>0</v>
      </c>
      <c r="V46" s="543">
        <f t="shared" si="17"/>
        <v>0</v>
      </c>
      <c r="W46" s="543">
        <f t="shared" si="17"/>
        <v>0</v>
      </c>
      <c r="X46" s="543">
        <f t="shared" si="17"/>
        <v>0</v>
      </c>
      <c r="Y46" s="543">
        <f t="shared" si="17"/>
        <v>0</v>
      </c>
      <c r="Z46" s="543">
        <f t="shared" si="17"/>
        <v>0</v>
      </c>
      <c r="AA46" s="543">
        <f t="shared" si="17"/>
        <v>0</v>
      </c>
      <c r="AB46" s="543">
        <f t="shared" si="17"/>
        <v>0</v>
      </c>
      <c r="AC46" s="543">
        <f t="shared" si="17"/>
        <v>0</v>
      </c>
      <c r="AD46" s="543">
        <f t="shared" si="17"/>
        <v>44</v>
      </c>
      <c r="AE46" s="543">
        <f t="shared" si="17"/>
        <v>0</v>
      </c>
      <c r="AF46" s="543">
        <f t="shared" si="17"/>
        <v>44</v>
      </c>
    </row>
    <row r="47" spans="1:32" s="531" customFormat="1" ht="13.5" customHeight="1" x14ac:dyDescent="0.2">
      <c r="A47" s="537">
        <v>31</v>
      </c>
      <c r="B47" s="535"/>
      <c r="C47" s="535"/>
      <c r="D47" s="535"/>
      <c r="E47" s="535">
        <v>3</v>
      </c>
      <c r="F47" s="535"/>
      <c r="G47" s="535"/>
      <c r="H47" s="535"/>
      <c r="I47" s="535"/>
      <c r="J47" s="535"/>
      <c r="K47" s="535"/>
      <c r="L47" s="535"/>
      <c r="M47" s="535"/>
      <c r="N47" s="535"/>
      <c r="O47" s="535"/>
      <c r="P47" s="535"/>
      <c r="Q47" s="535"/>
      <c r="R47" s="535"/>
      <c r="S47" s="535"/>
      <c r="T47" s="535"/>
      <c r="U47" s="535"/>
      <c r="V47" s="535"/>
      <c r="W47" s="535"/>
      <c r="X47" s="535"/>
      <c r="Y47" s="535"/>
      <c r="Z47" s="535"/>
      <c r="AA47" s="535"/>
      <c r="AB47" s="535"/>
      <c r="AC47" s="535"/>
      <c r="AD47" s="534">
        <f>B47+C47+D47+E47+F47+G47+H47+I47+J47+K47+L47+M47+N47+O47+P47+Q47+R47+S47+T47+U47+V47+W47+X47+Y47+Z47+AA47+AB47+AC47</f>
        <v>3</v>
      </c>
      <c r="AE47" s="539"/>
      <c r="AF47" s="535">
        <f>AD47+AE47</f>
        <v>3</v>
      </c>
    </row>
    <row r="48" spans="1:32" s="531" customFormat="1" ht="13.5" customHeight="1" x14ac:dyDescent="0.2">
      <c r="A48" s="537">
        <v>32</v>
      </c>
      <c r="B48" s="535"/>
      <c r="C48" s="535"/>
      <c r="D48" s="535"/>
      <c r="E48" s="535">
        <f>40+1</f>
        <v>41</v>
      </c>
      <c r="F48" s="535"/>
      <c r="G48" s="535"/>
      <c r="H48" s="535"/>
      <c r="I48" s="535"/>
      <c r="J48" s="535"/>
      <c r="K48" s="535"/>
      <c r="L48" s="535"/>
      <c r="M48" s="535"/>
      <c r="N48" s="535"/>
      <c r="O48" s="535"/>
      <c r="P48" s="535"/>
      <c r="Q48" s="535"/>
      <c r="R48" s="535"/>
      <c r="S48" s="535"/>
      <c r="T48" s="535"/>
      <c r="U48" s="535"/>
      <c r="V48" s="535"/>
      <c r="W48" s="535"/>
      <c r="X48" s="535"/>
      <c r="Y48" s="535"/>
      <c r="Z48" s="535"/>
      <c r="AA48" s="535"/>
      <c r="AB48" s="535"/>
      <c r="AC48" s="535"/>
      <c r="AD48" s="534">
        <f>B48+C48+D48+E48+F48+G48+H48+I48+J48+K48+L48+M48+N48+O48+P48+Q48+R48+S48+T48+U48+V48+W48+X48+Y48+Z48+AA48+AB48+AC48</f>
        <v>41</v>
      </c>
      <c r="AE48" s="539"/>
      <c r="AF48" s="535">
        <f>AD48+AE48</f>
        <v>41</v>
      </c>
    </row>
    <row r="49" spans="1:32" s="531" customFormat="1" ht="13.5" customHeight="1" x14ac:dyDescent="0.2">
      <c r="A49" s="537">
        <v>33</v>
      </c>
      <c r="B49" s="535"/>
      <c r="C49" s="535"/>
      <c r="D49" s="535"/>
      <c r="E49" s="535"/>
      <c r="F49" s="535"/>
      <c r="G49" s="547"/>
      <c r="H49" s="535"/>
      <c r="I49" s="535"/>
      <c r="J49" s="535"/>
      <c r="K49" s="547"/>
      <c r="L49" s="547"/>
      <c r="M49" s="535"/>
      <c r="N49" s="547"/>
      <c r="O49" s="547"/>
      <c r="P49" s="535"/>
      <c r="Q49" s="535"/>
      <c r="R49" s="547"/>
      <c r="S49" s="535"/>
      <c r="T49" s="535"/>
      <c r="U49" s="535"/>
      <c r="V49" s="535"/>
      <c r="W49" s="535"/>
      <c r="X49" s="547"/>
      <c r="Y49" s="535"/>
      <c r="Z49" s="535"/>
      <c r="AA49" s="535"/>
      <c r="AB49" s="535"/>
      <c r="AC49" s="535"/>
      <c r="AD49" s="534">
        <f>B49+C49+D49+E49+F49+G49+H49+I49+J49+K49+L49+M49+N49+O49+P49+Q49+R49+S49+T49+U49+V49+W49+X49+Y49+Z49+AA49+AB49+AC49</f>
        <v>0</v>
      </c>
      <c r="AE49" s="539"/>
      <c r="AF49" s="535">
        <f>AD49+AE49</f>
        <v>0</v>
      </c>
    </row>
    <row r="50" spans="1:32" s="531" customFormat="1" ht="13.5" customHeight="1" x14ac:dyDescent="0.2">
      <c r="A50" s="537">
        <v>34</v>
      </c>
      <c r="B50" s="535"/>
      <c r="C50" s="535"/>
      <c r="D50" s="535"/>
      <c r="E50" s="535"/>
      <c r="F50" s="535"/>
      <c r="G50" s="547"/>
      <c r="H50" s="535"/>
      <c r="I50" s="535"/>
      <c r="J50" s="535"/>
      <c r="K50" s="547"/>
      <c r="L50" s="547"/>
      <c r="M50" s="535"/>
      <c r="N50" s="547"/>
      <c r="O50" s="547"/>
      <c r="P50" s="535"/>
      <c r="Q50" s="535"/>
      <c r="R50" s="547"/>
      <c r="S50" s="535"/>
      <c r="T50" s="535"/>
      <c r="U50" s="535"/>
      <c r="V50" s="535"/>
      <c r="W50" s="535"/>
      <c r="X50" s="547"/>
      <c r="Y50" s="535"/>
      <c r="Z50" s="535"/>
      <c r="AA50" s="535"/>
      <c r="AB50" s="535"/>
      <c r="AC50" s="535"/>
      <c r="AD50" s="534">
        <f>B50+C50+D50+E50+F50+G50+H50+I50+J50+K50+L50+M50+N50+O50+P50+Q50+R50+S50+T50+U50+V50+W50+X50+Y50+Z50+AA50+AB50+AC50</f>
        <v>0</v>
      </c>
      <c r="AE50" s="539"/>
      <c r="AF50" s="535">
        <f>AD50+AE50</f>
        <v>0</v>
      </c>
    </row>
    <row r="51" spans="1:32" s="531" customFormat="1" ht="13.5" customHeight="1" x14ac:dyDescent="0.2">
      <c r="A51" s="553" t="s">
        <v>730</v>
      </c>
      <c r="B51" s="543">
        <f t="shared" ref="B51:AF51" si="18">B52</f>
        <v>200</v>
      </c>
      <c r="C51" s="543">
        <f t="shared" si="18"/>
        <v>0</v>
      </c>
      <c r="D51" s="543">
        <f t="shared" si="18"/>
        <v>0</v>
      </c>
      <c r="E51" s="543">
        <f t="shared" si="18"/>
        <v>0</v>
      </c>
      <c r="F51" s="543">
        <f t="shared" si="18"/>
        <v>0</v>
      </c>
      <c r="G51" s="543">
        <f t="shared" si="18"/>
        <v>0</v>
      </c>
      <c r="H51" s="543">
        <f t="shared" si="18"/>
        <v>0</v>
      </c>
      <c r="I51" s="543">
        <f t="shared" si="18"/>
        <v>0</v>
      </c>
      <c r="J51" s="543">
        <f t="shared" si="18"/>
        <v>0</v>
      </c>
      <c r="K51" s="543">
        <f t="shared" si="18"/>
        <v>0</v>
      </c>
      <c r="L51" s="543">
        <f t="shared" si="18"/>
        <v>0</v>
      </c>
      <c r="M51" s="543">
        <f t="shared" si="18"/>
        <v>0</v>
      </c>
      <c r="N51" s="543">
        <f t="shared" si="18"/>
        <v>0</v>
      </c>
      <c r="O51" s="543">
        <f t="shared" si="18"/>
        <v>170</v>
      </c>
      <c r="P51" s="543">
        <f t="shared" si="18"/>
        <v>0</v>
      </c>
      <c r="Q51" s="543">
        <f t="shared" si="18"/>
        <v>0</v>
      </c>
      <c r="R51" s="543">
        <f t="shared" si="18"/>
        <v>0</v>
      </c>
      <c r="S51" s="543">
        <f t="shared" si="18"/>
        <v>0</v>
      </c>
      <c r="T51" s="543">
        <f t="shared" si="18"/>
        <v>0</v>
      </c>
      <c r="U51" s="543">
        <f t="shared" si="18"/>
        <v>0</v>
      </c>
      <c r="V51" s="543">
        <f t="shared" si="18"/>
        <v>0</v>
      </c>
      <c r="W51" s="543">
        <f t="shared" si="18"/>
        <v>0</v>
      </c>
      <c r="X51" s="543">
        <f t="shared" si="18"/>
        <v>0</v>
      </c>
      <c r="Y51" s="543">
        <f t="shared" si="18"/>
        <v>40</v>
      </c>
      <c r="Z51" s="543">
        <f t="shared" si="18"/>
        <v>0</v>
      </c>
      <c r="AA51" s="543">
        <f t="shared" si="18"/>
        <v>0</v>
      </c>
      <c r="AB51" s="543">
        <f t="shared" si="18"/>
        <v>0</v>
      </c>
      <c r="AC51" s="543">
        <f t="shared" si="18"/>
        <v>0</v>
      </c>
      <c r="AD51" s="543">
        <f t="shared" si="18"/>
        <v>410</v>
      </c>
      <c r="AE51" s="543">
        <f t="shared" si="18"/>
        <v>0</v>
      </c>
      <c r="AF51" s="543">
        <f t="shared" si="18"/>
        <v>410</v>
      </c>
    </row>
    <row r="52" spans="1:32" s="531" customFormat="1" ht="13.5" customHeight="1" x14ac:dyDescent="0.2">
      <c r="A52" s="537">
        <v>35</v>
      </c>
      <c r="B52" s="535">
        <v>200</v>
      </c>
      <c r="C52" s="535"/>
      <c r="D52" s="535"/>
      <c r="E52" s="535"/>
      <c r="F52" s="535"/>
      <c r="G52" s="535"/>
      <c r="H52" s="535"/>
      <c r="I52" s="535"/>
      <c r="J52" s="535"/>
      <c r="K52" s="535"/>
      <c r="L52" s="535"/>
      <c r="M52" s="535"/>
      <c r="N52" s="535"/>
      <c r="O52" s="535">
        <v>170</v>
      </c>
      <c r="P52" s="535"/>
      <c r="Q52" s="535"/>
      <c r="R52" s="535"/>
      <c r="S52" s="535"/>
      <c r="T52" s="535"/>
      <c r="U52" s="535"/>
      <c r="V52" s="535"/>
      <c r="W52" s="535"/>
      <c r="X52" s="535"/>
      <c r="Y52" s="535">
        <v>40</v>
      </c>
      <c r="Z52" s="535"/>
      <c r="AA52" s="535"/>
      <c r="AB52" s="535"/>
      <c r="AC52" s="535"/>
      <c r="AD52" s="534">
        <f>B52+C52+D52+E52+F52+G52+H52+I52+J52+K52+L52+M52+N52+O52+P52+Q52+R52+S52+T52+U52+V52+W52+X52+Y52+Z52+AA52+AB52+AC52</f>
        <v>410</v>
      </c>
      <c r="AE52" s="539"/>
      <c r="AF52" s="535">
        <f>AD52+AE52</f>
        <v>410</v>
      </c>
    </row>
    <row r="53" spans="1:32" s="531" customFormat="1" ht="26.25" customHeight="1" x14ac:dyDescent="0.2">
      <c r="A53" s="554" t="s">
        <v>731</v>
      </c>
      <c r="B53" s="543">
        <f t="shared" ref="B53:AF53" si="19">SUM(B54:B64)</f>
        <v>400</v>
      </c>
      <c r="C53" s="543">
        <f t="shared" si="19"/>
        <v>0</v>
      </c>
      <c r="D53" s="543">
        <f t="shared" si="19"/>
        <v>3408</v>
      </c>
      <c r="E53" s="543">
        <f t="shared" si="19"/>
        <v>0</v>
      </c>
      <c r="F53" s="543">
        <f t="shared" si="19"/>
        <v>0</v>
      </c>
      <c r="G53" s="543">
        <f t="shared" si="19"/>
        <v>0</v>
      </c>
      <c r="H53" s="543">
        <f t="shared" si="19"/>
        <v>0</v>
      </c>
      <c r="I53" s="543">
        <f t="shared" si="19"/>
        <v>625</v>
      </c>
      <c r="J53" s="543">
        <f t="shared" ref="J53" si="20">SUM(J54:J64)</f>
        <v>500</v>
      </c>
      <c r="K53" s="543">
        <f t="shared" si="19"/>
        <v>0</v>
      </c>
      <c r="L53" s="543">
        <f t="shared" si="19"/>
        <v>0</v>
      </c>
      <c r="M53" s="543">
        <f t="shared" si="19"/>
        <v>0</v>
      </c>
      <c r="N53" s="543">
        <f t="shared" si="19"/>
        <v>0</v>
      </c>
      <c r="O53" s="543">
        <f t="shared" si="19"/>
        <v>0</v>
      </c>
      <c r="P53" s="543">
        <f t="shared" si="19"/>
        <v>0</v>
      </c>
      <c r="Q53" s="543">
        <f t="shared" si="19"/>
        <v>264</v>
      </c>
      <c r="R53" s="543">
        <f t="shared" si="19"/>
        <v>0</v>
      </c>
      <c r="S53" s="543">
        <f t="shared" si="19"/>
        <v>213</v>
      </c>
      <c r="T53" s="543">
        <f t="shared" si="19"/>
        <v>179</v>
      </c>
      <c r="U53" s="543">
        <f t="shared" si="19"/>
        <v>0</v>
      </c>
      <c r="V53" s="543">
        <f t="shared" si="19"/>
        <v>162</v>
      </c>
      <c r="W53" s="543">
        <f t="shared" si="19"/>
        <v>0</v>
      </c>
      <c r="X53" s="543">
        <f t="shared" si="19"/>
        <v>0</v>
      </c>
      <c r="Y53" s="543">
        <f t="shared" si="19"/>
        <v>428</v>
      </c>
      <c r="Z53" s="543">
        <f t="shared" ref="Z53" si="21">SUM(Z54:Z64)</f>
        <v>32</v>
      </c>
      <c r="AA53" s="543">
        <f t="shared" si="19"/>
        <v>0</v>
      </c>
      <c r="AB53" s="543">
        <f t="shared" si="19"/>
        <v>0</v>
      </c>
      <c r="AC53" s="543">
        <f t="shared" ref="AC53:AD53" si="22">SUM(AC54:AC64)</f>
        <v>307</v>
      </c>
      <c r="AD53" s="543">
        <f t="shared" si="22"/>
        <v>6518</v>
      </c>
      <c r="AE53" s="543">
        <f t="shared" si="19"/>
        <v>280</v>
      </c>
      <c r="AF53" s="543">
        <f t="shared" si="19"/>
        <v>6798</v>
      </c>
    </row>
    <row r="54" spans="1:32" s="531" customFormat="1" ht="14.25" customHeight="1" x14ac:dyDescent="0.2">
      <c r="A54" s="537">
        <v>36</v>
      </c>
      <c r="B54" s="538">
        <v>51</v>
      </c>
      <c r="C54" s="538"/>
      <c r="D54" s="538">
        <f>360-10+5</f>
        <v>355</v>
      </c>
      <c r="E54" s="538"/>
      <c r="F54" s="538"/>
      <c r="G54" s="550"/>
      <c r="H54" s="538"/>
      <c r="I54" s="538">
        <f>253-41</f>
        <v>212</v>
      </c>
      <c r="J54" s="538">
        <v>221</v>
      </c>
      <c r="K54" s="550"/>
      <c r="L54" s="550"/>
      <c r="M54" s="536"/>
      <c r="N54" s="550"/>
      <c r="O54" s="550"/>
      <c r="P54" s="538"/>
      <c r="Q54" s="538">
        <v>10</v>
      </c>
      <c r="R54" s="550"/>
      <c r="S54" s="534">
        <v>25</v>
      </c>
      <c r="T54" s="534">
        <f>100-13</f>
        <v>87</v>
      </c>
      <c r="U54" s="535"/>
      <c r="V54" s="535">
        <v>50</v>
      </c>
      <c r="W54" s="535"/>
      <c r="X54" s="547"/>
      <c r="Y54" s="535">
        <f>253+1</f>
        <v>254</v>
      </c>
      <c r="Z54" s="535">
        <f>15+4+2-7</f>
        <v>14</v>
      </c>
      <c r="AA54" s="538"/>
      <c r="AB54" s="538"/>
      <c r="AC54" s="534">
        <f>51+10</f>
        <v>61</v>
      </c>
      <c r="AD54" s="534">
        <f t="shared" ref="AD54:AD64" si="23">B54+C54+D54+E54+F54+G54+H54+I54+J54+K54+L54+M54+N54+O54+P54+Q54+R54+S54+T54+U54+V54+W54+X54+Y54+Z54+AA54+AB54+AC54</f>
        <v>1340</v>
      </c>
      <c r="AE54" s="539">
        <f>135-5-2-1</f>
        <v>127</v>
      </c>
      <c r="AF54" s="534">
        <f t="shared" ref="AF54:AF64" si="24">AD54+AE54</f>
        <v>1467</v>
      </c>
    </row>
    <row r="55" spans="1:32" s="531" customFormat="1" ht="14.25" customHeight="1" x14ac:dyDescent="0.2">
      <c r="A55" s="537">
        <v>37</v>
      </c>
      <c r="B55" s="535">
        <v>50</v>
      </c>
      <c r="C55" s="535"/>
      <c r="D55" s="538">
        <f>140-15+15</f>
        <v>140</v>
      </c>
      <c r="E55" s="535"/>
      <c r="F55" s="535"/>
      <c r="G55" s="535"/>
      <c r="H55" s="535"/>
      <c r="I55" s="535">
        <f>70-21</f>
        <v>49</v>
      </c>
      <c r="J55" s="535">
        <v>68</v>
      </c>
      <c r="K55" s="535"/>
      <c r="L55" s="535"/>
      <c r="M55" s="534"/>
      <c r="N55" s="535"/>
      <c r="O55" s="535"/>
      <c r="P55" s="535"/>
      <c r="Q55" s="535">
        <f>52-20</f>
        <v>32</v>
      </c>
      <c r="R55" s="535"/>
      <c r="S55" s="534">
        <v>20</v>
      </c>
      <c r="T55" s="534">
        <f>6+8</f>
        <v>14</v>
      </c>
      <c r="U55" s="535"/>
      <c r="V55" s="535">
        <v>20</v>
      </c>
      <c r="W55" s="535"/>
      <c r="X55" s="535"/>
      <c r="Y55" s="535">
        <f>22+1</f>
        <v>23</v>
      </c>
      <c r="Z55" s="535">
        <f>0+2+4</f>
        <v>6</v>
      </c>
      <c r="AA55" s="535"/>
      <c r="AB55" s="538"/>
      <c r="AC55" s="534">
        <f>44+15</f>
        <v>59</v>
      </c>
      <c r="AD55" s="534">
        <f t="shared" si="23"/>
        <v>481</v>
      </c>
      <c r="AE55" s="539">
        <f>60-2-1</f>
        <v>57</v>
      </c>
      <c r="AF55" s="534">
        <f t="shared" si="24"/>
        <v>538</v>
      </c>
    </row>
    <row r="56" spans="1:32" s="531" customFormat="1" ht="14.25" customHeight="1" x14ac:dyDescent="0.2">
      <c r="A56" s="537">
        <v>38</v>
      </c>
      <c r="B56" s="535">
        <v>18</v>
      </c>
      <c r="C56" s="535"/>
      <c r="D56" s="538">
        <f>100-10</f>
        <v>90</v>
      </c>
      <c r="E56" s="535"/>
      <c r="F56" s="535"/>
      <c r="G56" s="547"/>
      <c r="H56" s="535"/>
      <c r="I56" s="535">
        <f>18-2</f>
        <v>16</v>
      </c>
      <c r="J56" s="535">
        <v>12</v>
      </c>
      <c r="K56" s="547"/>
      <c r="L56" s="547"/>
      <c r="M56" s="534"/>
      <c r="N56" s="547"/>
      <c r="O56" s="547"/>
      <c r="P56" s="535"/>
      <c r="Q56" s="535">
        <f>47-20</f>
        <v>27</v>
      </c>
      <c r="R56" s="547"/>
      <c r="S56" s="534">
        <v>10</v>
      </c>
      <c r="T56" s="534">
        <v>2</v>
      </c>
      <c r="U56" s="534"/>
      <c r="V56" s="534">
        <v>3</v>
      </c>
      <c r="W56" s="535"/>
      <c r="X56" s="547"/>
      <c r="Y56" s="535">
        <v>8</v>
      </c>
      <c r="Z56" s="535">
        <f>0+1+1</f>
        <v>2</v>
      </c>
      <c r="AA56" s="535"/>
      <c r="AB56" s="538"/>
      <c r="AC56" s="534">
        <f>34</f>
        <v>34</v>
      </c>
      <c r="AD56" s="534">
        <f t="shared" si="23"/>
        <v>222</v>
      </c>
      <c r="AE56" s="539">
        <f>25-1</f>
        <v>24</v>
      </c>
      <c r="AF56" s="534">
        <f t="shared" si="24"/>
        <v>246</v>
      </c>
    </row>
    <row r="57" spans="1:32" s="531" customFormat="1" ht="14.25" customHeight="1" x14ac:dyDescent="0.2">
      <c r="A57" s="537">
        <v>39</v>
      </c>
      <c r="B57" s="535">
        <v>100</v>
      </c>
      <c r="C57" s="535"/>
      <c r="D57" s="538">
        <v>425</v>
      </c>
      <c r="E57" s="535"/>
      <c r="F57" s="535"/>
      <c r="G57" s="547"/>
      <c r="H57" s="535"/>
      <c r="I57" s="535">
        <f>274-55</f>
        <v>219</v>
      </c>
      <c r="J57" s="535">
        <v>163</v>
      </c>
      <c r="K57" s="547"/>
      <c r="L57" s="547"/>
      <c r="M57" s="534"/>
      <c r="N57" s="547"/>
      <c r="O57" s="547"/>
      <c r="P57" s="535"/>
      <c r="Q57" s="535"/>
      <c r="R57" s="547"/>
      <c r="S57" s="534">
        <v>70</v>
      </c>
      <c r="T57" s="534">
        <f>40+5</f>
        <v>45</v>
      </c>
      <c r="U57" s="534"/>
      <c r="V57" s="534">
        <v>60</v>
      </c>
      <c r="W57" s="535"/>
      <c r="X57" s="547"/>
      <c r="Y57" s="535">
        <v>133</v>
      </c>
      <c r="Z57" s="535">
        <f>0+2+5</f>
        <v>7</v>
      </c>
      <c r="AA57" s="535"/>
      <c r="AB57" s="538"/>
      <c r="AC57" s="534">
        <f>36</f>
        <v>36</v>
      </c>
      <c r="AD57" s="534">
        <f t="shared" si="23"/>
        <v>1258</v>
      </c>
      <c r="AE57" s="539">
        <f>40-1</f>
        <v>39</v>
      </c>
      <c r="AF57" s="534">
        <f t="shared" si="24"/>
        <v>1297</v>
      </c>
    </row>
    <row r="58" spans="1:32" s="531" customFormat="1" ht="14.25" customHeight="1" x14ac:dyDescent="0.2">
      <c r="A58" s="537">
        <v>40</v>
      </c>
      <c r="B58" s="535">
        <v>90</v>
      </c>
      <c r="C58" s="535"/>
      <c r="D58" s="538">
        <f>230-35</f>
        <v>195</v>
      </c>
      <c r="E58" s="535"/>
      <c r="F58" s="535"/>
      <c r="G58" s="535"/>
      <c r="H58" s="535"/>
      <c r="I58" s="535">
        <f>74-20</f>
        <v>54</v>
      </c>
      <c r="J58" s="535">
        <v>31</v>
      </c>
      <c r="K58" s="535"/>
      <c r="L58" s="535"/>
      <c r="M58" s="534"/>
      <c r="N58" s="535"/>
      <c r="O58" s="535"/>
      <c r="P58" s="535"/>
      <c r="Q58" s="535">
        <f>60+16</f>
        <v>76</v>
      </c>
      <c r="R58" s="535"/>
      <c r="S58" s="534">
        <v>60</v>
      </c>
      <c r="T58" s="534">
        <v>14</v>
      </c>
      <c r="U58" s="534"/>
      <c r="V58" s="534">
        <v>20</v>
      </c>
      <c r="W58" s="535"/>
      <c r="X58" s="535"/>
      <c r="Y58" s="535">
        <v>10</v>
      </c>
      <c r="Z58" s="535">
        <f>0+5-2</f>
        <v>3</v>
      </c>
      <c r="AA58" s="535"/>
      <c r="AB58" s="538"/>
      <c r="AC58" s="534">
        <v>34</v>
      </c>
      <c r="AD58" s="534">
        <f t="shared" si="23"/>
        <v>587</v>
      </c>
      <c r="AE58" s="539">
        <f>32-5</f>
        <v>27</v>
      </c>
      <c r="AF58" s="534">
        <f t="shared" si="24"/>
        <v>614</v>
      </c>
    </row>
    <row r="59" spans="1:32" s="531" customFormat="1" ht="14.25" customHeight="1" x14ac:dyDescent="0.2">
      <c r="A59" s="537">
        <v>41</v>
      </c>
      <c r="B59" s="535">
        <v>41</v>
      </c>
      <c r="C59" s="535"/>
      <c r="D59" s="538">
        <f>120-2</f>
        <v>118</v>
      </c>
      <c r="E59" s="535"/>
      <c r="F59" s="535"/>
      <c r="G59" s="535"/>
      <c r="H59" s="535"/>
      <c r="I59" s="535">
        <f>35-10</f>
        <v>25</v>
      </c>
      <c r="J59" s="535">
        <v>5</v>
      </c>
      <c r="K59" s="535"/>
      <c r="L59" s="535"/>
      <c r="M59" s="534"/>
      <c r="N59" s="535"/>
      <c r="O59" s="535"/>
      <c r="P59" s="535"/>
      <c r="Q59" s="535">
        <f>47+5</f>
        <v>52</v>
      </c>
      <c r="R59" s="535"/>
      <c r="S59" s="534">
        <v>25</v>
      </c>
      <c r="T59" s="534"/>
      <c r="U59" s="534"/>
      <c r="V59" s="534">
        <v>9</v>
      </c>
      <c r="W59" s="535"/>
      <c r="X59" s="535"/>
      <c r="Y59" s="535"/>
      <c r="Z59" s="535">
        <f>0+1-1</f>
        <v>0</v>
      </c>
      <c r="AA59" s="535"/>
      <c r="AB59" s="538"/>
      <c r="AC59" s="534">
        <f>40+2</f>
        <v>42</v>
      </c>
      <c r="AD59" s="534">
        <f t="shared" si="23"/>
        <v>317</v>
      </c>
      <c r="AE59" s="539">
        <f>7-1</f>
        <v>6</v>
      </c>
      <c r="AF59" s="534">
        <f t="shared" si="24"/>
        <v>323</v>
      </c>
    </row>
    <row r="60" spans="1:32" s="531" customFormat="1" ht="14.25" customHeight="1" x14ac:dyDescent="0.2">
      <c r="A60" s="537">
        <v>42</v>
      </c>
      <c r="B60" s="535">
        <v>50</v>
      </c>
      <c r="C60" s="535"/>
      <c r="D60" s="538">
        <f>835-15</f>
        <v>820</v>
      </c>
      <c r="E60" s="535"/>
      <c r="F60" s="535"/>
      <c r="G60" s="547"/>
      <c r="H60" s="535"/>
      <c r="I60" s="535">
        <f>40+10</f>
        <v>50</v>
      </c>
      <c r="J60" s="535"/>
      <c r="K60" s="547"/>
      <c r="L60" s="547"/>
      <c r="M60" s="534"/>
      <c r="N60" s="547"/>
      <c r="O60" s="547"/>
      <c r="P60" s="535"/>
      <c r="Q60" s="535"/>
      <c r="R60" s="547"/>
      <c r="S60" s="534"/>
      <c r="T60" s="534">
        <v>17</v>
      </c>
      <c r="U60" s="534"/>
      <c r="V60" s="534"/>
      <c r="W60" s="534"/>
      <c r="X60" s="547"/>
      <c r="Y60" s="535"/>
      <c r="Z60" s="535"/>
      <c r="AA60" s="535"/>
      <c r="AB60" s="538"/>
      <c r="AC60" s="534">
        <f>35</f>
        <v>35</v>
      </c>
      <c r="AD60" s="534">
        <f t="shared" si="23"/>
        <v>972</v>
      </c>
      <c r="AE60" s="539"/>
      <c r="AF60" s="534">
        <f t="shared" si="24"/>
        <v>972</v>
      </c>
    </row>
    <row r="61" spans="1:32" s="531" customFormat="1" ht="14.25" customHeight="1" x14ac:dyDescent="0.2">
      <c r="A61" s="537">
        <v>43</v>
      </c>
      <c r="B61" s="535"/>
      <c r="C61" s="535"/>
      <c r="D61" s="538">
        <v>220</v>
      </c>
      <c r="E61" s="535"/>
      <c r="F61" s="535"/>
      <c r="G61" s="547"/>
      <c r="H61" s="535"/>
      <c r="I61" s="535"/>
      <c r="J61" s="535"/>
      <c r="K61" s="547"/>
      <c r="L61" s="547"/>
      <c r="M61" s="534"/>
      <c r="N61" s="547"/>
      <c r="O61" s="547"/>
      <c r="P61" s="535"/>
      <c r="Q61" s="535">
        <f>10+15</f>
        <v>25</v>
      </c>
      <c r="R61" s="547"/>
      <c r="S61" s="534">
        <v>3</v>
      </c>
      <c r="T61" s="534"/>
      <c r="U61" s="534"/>
      <c r="V61" s="534"/>
      <c r="W61" s="534"/>
      <c r="X61" s="547"/>
      <c r="Y61" s="535"/>
      <c r="Z61" s="535"/>
      <c r="AA61" s="535"/>
      <c r="AB61" s="538"/>
      <c r="AC61" s="534"/>
      <c r="AD61" s="534">
        <f t="shared" si="23"/>
        <v>248</v>
      </c>
      <c r="AE61" s="539"/>
      <c r="AF61" s="534">
        <f t="shared" si="24"/>
        <v>248</v>
      </c>
    </row>
    <row r="62" spans="1:32" s="531" customFormat="1" ht="14.25" customHeight="1" x14ac:dyDescent="0.2">
      <c r="A62" s="537">
        <v>44</v>
      </c>
      <c r="B62" s="535"/>
      <c r="C62" s="535"/>
      <c r="D62" s="538">
        <f>5-3</f>
        <v>2</v>
      </c>
      <c r="E62" s="535"/>
      <c r="F62" s="535"/>
      <c r="G62" s="547"/>
      <c r="H62" s="535"/>
      <c r="I62" s="535"/>
      <c r="J62" s="535"/>
      <c r="K62" s="547"/>
      <c r="L62" s="547"/>
      <c r="M62" s="534"/>
      <c r="N62" s="547"/>
      <c r="O62" s="547"/>
      <c r="P62" s="535"/>
      <c r="Q62" s="535"/>
      <c r="R62" s="547"/>
      <c r="S62" s="535"/>
      <c r="T62" s="534"/>
      <c r="U62" s="534"/>
      <c r="V62" s="534"/>
      <c r="W62" s="534"/>
      <c r="X62" s="547"/>
      <c r="Y62" s="535"/>
      <c r="Z62" s="535"/>
      <c r="AA62" s="535"/>
      <c r="AB62" s="538"/>
      <c r="AC62" s="534"/>
      <c r="AD62" s="534">
        <f t="shared" si="23"/>
        <v>2</v>
      </c>
      <c r="AE62" s="539"/>
      <c r="AF62" s="534">
        <f t="shared" si="24"/>
        <v>2</v>
      </c>
    </row>
    <row r="63" spans="1:32" s="531" customFormat="1" ht="14.25" customHeight="1" x14ac:dyDescent="0.2">
      <c r="A63" s="537">
        <v>45</v>
      </c>
      <c r="B63" s="535"/>
      <c r="C63" s="535"/>
      <c r="D63" s="538">
        <f>650+58</f>
        <v>708</v>
      </c>
      <c r="E63" s="535"/>
      <c r="F63" s="535"/>
      <c r="G63" s="547"/>
      <c r="H63" s="535"/>
      <c r="I63" s="535"/>
      <c r="J63" s="535"/>
      <c r="K63" s="547"/>
      <c r="L63" s="547"/>
      <c r="M63" s="534"/>
      <c r="N63" s="547"/>
      <c r="O63" s="547"/>
      <c r="P63" s="535"/>
      <c r="Q63" s="535">
        <f>20+22</f>
        <v>42</v>
      </c>
      <c r="R63" s="547"/>
      <c r="S63" s="535"/>
      <c r="T63" s="534"/>
      <c r="U63" s="534"/>
      <c r="V63" s="534"/>
      <c r="W63" s="534"/>
      <c r="X63" s="547"/>
      <c r="Y63" s="535"/>
      <c r="Z63" s="535"/>
      <c r="AA63" s="535"/>
      <c r="AB63" s="538"/>
      <c r="AC63" s="534">
        <f>6</f>
        <v>6</v>
      </c>
      <c r="AD63" s="534">
        <f t="shared" si="23"/>
        <v>756</v>
      </c>
      <c r="AE63" s="539"/>
      <c r="AF63" s="534">
        <f t="shared" si="24"/>
        <v>756</v>
      </c>
    </row>
    <row r="64" spans="1:32" s="531" customFormat="1" ht="14.25" customHeight="1" x14ac:dyDescent="0.2">
      <c r="A64" s="537">
        <v>46</v>
      </c>
      <c r="B64" s="534"/>
      <c r="C64" s="534"/>
      <c r="D64" s="538">
        <f>350-15</f>
        <v>335</v>
      </c>
      <c r="E64" s="534"/>
      <c r="F64" s="534"/>
      <c r="G64" s="534"/>
      <c r="H64" s="534"/>
      <c r="I64" s="534"/>
      <c r="J64" s="534"/>
      <c r="K64" s="534"/>
      <c r="L64" s="534"/>
      <c r="M64" s="534"/>
      <c r="N64" s="534"/>
      <c r="O64" s="534"/>
      <c r="P64" s="534"/>
      <c r="Q64" s="534"/>
      <c r="R64" s="534"/>
      <c r="S64" s="534"/>
      <c r="T64" s="534"/>
      <c r="U64" s="534"/>
      <c r="V64" s="534"/>
      <c r="W64" s="534"/>
      <c r="X64" s="534"/>
      <c r="Y64" s="534"/>
      <c r="Z64" s="534"/>
      <c r="AA64" s="534"/>
      <c r="AB64" s="538"/>
      <c r="AC64" s="534"/>
      <c r="AD64" s="534">
        <f t="shared" si="23"/>
        <v>335</v>
      </c>
      <c r="AE64" s="539"/>
      <c r="AF64" s="534">
        <f t="shared" si="24"/>
        <v>335</v>
      </c>
    </row>
    <row r="65" spans="1:32" s="531" customFormat="1" ht="15.75" customHeight="1" x14ac:dyDescent="0.2">
      <c r="A65" s="554" t="s">
        <v>732</v>
      </c>
      <c r="B65" s="543">
        <f t="shared" ref="B65:AF65" si="25">B66+B67</f>
        <v>20</v>
      </c>
      <c r="C65" s="543">
        <f t="shared" si="25"/>
        <v>0</v>
      </c>
      <c r="D65" s="543">
        <f t="shared" si="25"/>
        <v>0</v>
      </c>
      <c r="E65" s="543">
        <f t="shared" si="25"/>
        <v>6</v>
      </c>
      <c r="F65" s="543">
        <f t="shared" si="25"/>
        <v>0</v>
      </c>
      <c r="G65" s="543">
        <f t="shared" si="25"/>
        <v>0</v>
      </c>
      <c r="H65" s="543">
        <f t="shared" si="25"/>
        <v>0</v>
      </c>
      <c r="I65" s="543">
        <f t="shared" si="25"/>
        <v>0</v>
      </c>
      <c r="J65" s="543">
        <f t="shared" si="25"/>
        <v>0</v>
      </c>
      <c r="K65" s="543">
        <f t="shared" si="25"/>
        <v>0</v>
      </c>
      <c r="L65" s="543">
        <f t="shared" si="25"/>
        <v>0</v>
      </c>
      <c r="M65" s="543">
        <f t="shared" si="25"/>
        <v>0</v>
      </c>
      <c r="N65" s="543">
        <f t="shared" si="25"/>
        <v>0</v>
      </c>
      <c r="O65" s="543">
        <f t="shared" si="25"/>
        <v>0</v>
      </c>
      <c r="P65" s="543">
        <f t="shared" si="25"/>
        <v>0</v>
      </c>
      <c r="Q65" s="543">
        <f t="shared" si="25"/>
        <v>0</v>
      </c>
      <c r="R65" s="543">
        <f t="shared" si="25"/>
        <v>0</v>
      </c>
      <c r="S65" s="543">
        <f t="shared" si="25"/>
        <v>0</v>
      </c>
      <c r="T65" s="543">
        <f t="shared" si="25"/>
        <v>0</v>
      </c>
      <c r="U65" s="543">
        <f t="shared" si="25"/>
        <v>0</v>
      </c>
      <c r="V65" s="543">
        <f t="shared" si="25"/>
        <v>0</v>
      </c>
      <c r="W65" s="543">
        <f t="shared" si="25"/>
        <v>0</v>
      </c>
      <c r="X65" s="543">
        <f t="shared" si="25"/>
        <v>0</v>
      </c>
      <c r="Y65" s="543">
        <f t="shared" si="25"/>
        <v>0</v>
      </c>
      <c r="Z65" s="543">
        <f t="shared" si="25"/>
        <v>0</v>
      </c>
      <c r="AA65" s="543">
        <f t="shared" si="25"/>
        <v>0</v>
      </c>
      <c r="AB65" s="543">
        <f t="shared" si="25"/>
        <v>0</v>
      </c>
      <c r="AC65" s="543">
        <f t="shared" si="25"/>
        <v>0</v>
      </c>
      <c r="AD65" s="543">
        <f t="shared" si="25"/>
        <v>26</v>
      </c>
      <c r="AE65" s="543">
        <f t="shared" si="25"/>
        <v>0</v>
      </c>
      <c r="AF65" s="543">
        <f t="shared" si="25"/>
        <v>26</v>
      </c>
    </row>
    <row r="66" spans="1:32" s="531" customFormat="1" ht="15.75" customHeight="1" x14ac:dyDescent="0.2">
      <c r="A66" s="537">
        <v>47</v>
      </c>
      <c r="B66" s="535">
        <v>10</v>
      </c>
      <c r="C66" s="535"/>
      <c r="D66" s="535"/>
      <c r="E66" s="535">
        <f>2+1</f>
        <v>3</v>
      </c>
      <c r="F66" s="535"/>
      <c r="G66" s="547"/>
      <c r="H66" s="535"/>
      <c r="I66" s="535"/>
      <c r="J66" s="535"/>
      <c r="K66" s="547"/>
      <c r="L66" s="547"/>
      <c r="M66" s="534"/>
      <c r="N66" s="547"/>
      <c r="O66" s="547"/>
      <c r="P66" s="535"/>
      <c r="Q66" s="535"/>
      <c r="R66" s="547"/>
      <c r="S66" s="535"/>
      <c r="T66" s="534"/>
      <c r="U66" s="534"/>
      <c r="V66" s="534"/>
      <c r="W66" s="534"/>
      <c r="X66" s="547"/>
      <c r="Y66" s="535"/>
      <c r="Z66" s="535"/>
      <c r="AA66" s="535"/>
      <c r="AB66" s="535"/>
      <c r="AC66" s="534"/>
      <c r="AD66" s="534">
        <f>B66+C66+D66+E66+F66+G66+H66+I66+J66+K66+L66+M66+N66+O66+P66+Q66+R66+S66+T66+U66+V66+W66+X66+Y66+Z66+AA66+AB66+AC66</f>
        <v>13</v>
      </c>
      <c r="AE66" s="539"/>
      <c r="AF66" s="534">
        <f>AD66+AE66</f>
        <v>13</v>
      </c>
    </row>
    <row r="67" spans="1:32" s="531" customFormat="1" ht="15.75" customHeight="1" x14ac:dyDescent="0.2">
      <c r="A67" s="537">
        <v>48</v>
      </c>
      <c r="B67" s="534">
        <v>10</v>
      </c>
      <c r="C67" s="534"/>
      <c r="D67" s="534"/>
      <c r="E67" s="534">
        <v>3</v>
      </c>
      <c r="F67" s="534"/>
      <c r="G67" s="534"/>
      <c r="H67" s="534"/>
      <c r="I67" s="53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34"/>
      <c r="AC67" s="534"/>
      <c r="AD67" s="534">
        <f>B67+C67+D67+E67+F67+G67+H67+I67+J67+K67+L67+M67+N67+O67+P67+Q67+R67+S67+T67+U67+V67+W67+X67+Y67+Z67+AA67+AB67+AC67</f>
        <v>13</v>
      </c>
      <c r="AE67" s="539"/>
      <c r="AF67" s="534">
        <f>AD67+AE67</f>
        <v>13</v>
      </c>
    </row>
    <row r="68" spans="1:32" s="531" customFormat="1" ht="15.75" customHeight="1" x14ac:dyDescent="0.2">
      <c r="A68" s="554" t="s">
        <v>733</v>
      </c>
      <c r="B68" s="543">
        <f t="shared" ref="B68:AF68" si="26">SUM(B69:B73)</f>
        <v>366</v>
      </c>
      <c r="C68" s="543">
        <f t="shared" si="26"/>
        <v>0</v>
      </c>
      <c r="D68" s="543">
        <f t="shared" si="26"/>
        <v>0</v>
      </c>
      <c r="E68" s="543">
        <f t="shared" si="26"/>
        <v>64</v>
      </c>
      <c r="F68" s="543">
        <f t="shared" si="26"/>
        <v>0</v>
      </c>
      <c r="G68" s="543">
        <f t="shared" si="26"/>
        <v>0</v>
      </c>
      <c r="H68" s="543">
        <f t="shared" si="26"/>
        <v>210</v>
      </c>
      <c r="I68" s="543">
        <f t="shared" si="26"/>
        <v>224</v>
      </c>
      <c r="J68" s="543">
        <f t="shared" si="26"/>
        <v>209</v>
      </c>
      <c r="K68" s="543">
        <f t="shared" si="26"/>
        <v>0</v>
      </c>
      <c r="L68" s="543">
        <f t="shared" si="26"/>
        <v>0</v>
      </c>
      <c r="M68" s="543">
        <f t="shared" si="26"/>
        <v>0</v>
      </c>
      <c r="N68" s="543">
        <f t="shared" si="26"/>
        <v>0</v>
      </c>
      <c r="O68" s="543">
        <f t="shared" si="26"/>
        <v>79</v>
      </c>
      <c r="P68" s="543">
        <f t="shared" si="26"/>
        <v>259</v>
      </c>
      <c r="Q68" s="543">
        <f t="shared" si="26"/>
        <v>296</v>
      </c>
      <c r="R68" s="543">
        <f t="shared" si="26"/>
        <v>0</v>
      </c>
      <c r="S68" s="543">
        <f t="shared" si="26"/>
        <v>30</v>
      </c>
      <c r="T68" s="543">
        <f t="shared" si="26"/>
        <v>33</v>
      </c>
      <c r="U68" s="543">
        <f t="shared" si="26"/>
        <v>40</v>
      </c>
      <c r="V68" s="543">
        <f t="shared" si="26"/>
        <v>0</v>
      </c>
      <c r="W68" s="543">
        <f t="shared" si="26"/>
        <v>15</v>
      </c>
      <c r="X68" s="543">
        <f t="shared" si="26"/>
        <v>30</v>
      </c>
      <c r="Y68" s="543">
        <f t="shared" si="26"/>
        <v>87</v>
      </c>
      <c r="Z68" s="543">
        <f t="shared" si="26"/>
        <v>0</v>
      </c>
      <c r="AA68" s="543">
        <f t="shared" si="26"/>
        <v>0</v>
      </c>
      <c r="AB68" s="543">
        <f t="shared" si="26"/>
        <v>0</v>
      </c>
      <c r="AC68" s="543">
        <f t="shared" si="26"/>
        <v>0</v>
      </c>
      <c r="AD68" s="543">
        <f t="shared" si="26"/>
        <v>1942</v>
      </c>
      <c r="AE68" s="543">
        <f t="shared" si="26"/>
        <v>38</v>
      </c>
      <c r="AF68" s="543">
        <f t="shared" si="26"/>
        <v>1980</v>
      </c>
    </row>
    <row r="69" spans="1:32" s="531" customFormat="1" ht="15.75" customHeight="1" x14ac:dyDescent="0.2">
      <c r="A69" s="545">
        <v>49</v>
      </c>
      <c r="B69" s="534">
        <v>70</v>
      </c>
      <c r="C69" s="534"/>
      <c r="D69" s="534"/>
      <c r="E69" s="534">
        <v>60</v>
      </c>
      <c r="F69" s="534"/>
      <c r="G69" s="534"/>
      <c r="H69" s="534">
        <v>50</v>
      </c>
      <c r="I69" s="534">
        <f>90-6</f>
        <v>84</v>
      </c>
      <c r="J69" s="534">
        <v>75</v>
      </c>
      <c r="K69" s="534"/>
      <c r="L69" s="534"/>
      <c r="M69" s="534"/>
      <c r="N69" s="534"/>
      <c r="O69" s="534">
        <v>16</v>
      </c>
      <c r="P69" s="534">
        <f>217+28</f>
        <v>245</v>
      </c>
      <c r="Q69" s="534">
        <v>10</v>
      </c>
      <c r="R69" s="534"/>
      <c r="S69" s="534">
        <v>10</v>
      </c>
      <c r="T69" s="534">
        <v>30</v>
      </c>
      <c r="U69" s="534">
        <v>27</v>
      </c>
      <c r="V69" s="534"/>
      <c r="W69" s="534">
        <f>10-10</f>
        <v>0</v>
      </c>
      <c r="X69" s="534"/>
      <c r="Y69" s="534">
        <v>36</v>
      </c>
      <c r="Z69" s="534"/>
      <c r="AA69" s="534"/>
      <c r="AB69" s="534"/>
      <c r="AC69" s="534"/>
      <c r="AD69" s="534">
        <f>B69+C69+D69+E69+F69+G69+H69+I69+J69+K69+L69+M69+N69+O69+P69+Q69+R69+S69+T69+U69+V69+W69+X69+Y69+Z69+AA69+AB69+AC69</f>
        <v>713</v>
      </c>
      <c r="AE69" s="539">
        <v>10</v>
      </c>
      <c r="AF69" s="534">
        <f>AD69+AE69</f>
        <v>723</v>
      </c>
    </row>
    <row r="70" spans="1:32" s="531" customFormat="1" ht="15.75" customHeight="1" x14ac:dyDescent="0.2">
      <c r="A70" s="545">
        <v>50</v>
      </c>
      <c r="B70" s="534">
        <f>0+15</f>
        <v>15</v>
      </c>
      <c r="C70" s="534"/>
      <c r="D70" s="534"/>
      <c r="E70" s="534">
        <f>3+1</f>
        <v>4</v>
      </c>
      <c r="F70" s="534"/>
      <c r="G70" s="534"/>
      <c r="H70" s="534"/>
      <c r="I70" s="534">
        <f>0+15+25</f>
        <v>40</v>
      </c>
      <c r="J70" s="534">
        <f>4+5</f>
        <v>9</v>
      </c>
      <c r="K70" s="534"/>
      <c r="L70" s="534"/>
      <c r="M70" s="534"/>
      <c r="N70" s="534"/>
      <c r="O70" s="534"/>
      <c r="P70" s="534">
        <v>4</v>
      </c>
      <c r="Q70" s="534"/>
      <c r="R70" s="534"/>
      <c r="S70" s="534">
        <v>12</v>
      </c>
      <c r="T70" s="534">
        <v>3</v>
      </c>
      <c r="U70" s="534">
        <v>13</v>
      </c>
      <c r="V70" s="534"/>
      <c r="W70" s="534">
        <f>0+5</f>
        <v>5</v>
      </c>
      <c r="X70" s="534">
        <v>30</v>
      </c>
      <c r="Y70" s="534">
        <f>22+9</f>
        <v>31</v>
      </c>
      <c r="Z70" s="534"/>
      <c r="AA70" s="534"/>
      <c r="AB70" s="534"/>
      <c r="AC70" s="534"/>
      <c r="AD70" s="534">
        <f>B70+C70+D70+E70+F70+G70+H70+I70+J70+K70+L70+M70+N70+O70+P70+Q70+R70+S70+T70+U70+V70+W70+X70+Y70+Z70+AA70+AB70+AC70</f>
        <v>166</v>
      </c>
      <c r="AE70" s="539">
        <v>12</v>
      </c>
      <c r="AF70" s="534">
        <f>AD70+AE70</f>
        <v>178</v>
      </c>
    </row>
    <row r="71" spans="1:32" s="531" customFormat="1" ht="15.75" customHeight="1" x14ac:dyDescent="0.2">
      <c r="A71" s="545">
        <v>51</v>
      </c>
      <c r="B71" s="534">
        <v>150</v>
      </c>
      <c r="C71" s="534"/>
      <c r="D71" s="534"/>
      <c r="E71" s="534"/>
      <c r="F71" s="534"/>
      <c r="G71" s="534"/>
      <c r="H71" s="534">
        <v>160</v>
      </c>
      <c r="I71" s="534">
        <v>93</v>
      </c>
      <c r="J71" s="534">
        <v>125</v>
      </c>
      <c r="K71" s="534"/>
      <c r="L71" s="534"/>
      <c r="M71" s="534"/>
      <c r="N71" s="534"/>
      <c r="O71" s="534">
        <v>63</v>
      </c>
      <c r="P71" s="534"/>
      <c r="Q71" s="534">
        <f>174+18</f>
        <v>192</v>
      </c>
      <c r="R71" s="534"/>
      <c r="S71" s="534">
        <v>8</v>
      </c>
      <c r="T71" s="534"/>
      <c r="U71" s="534"/>
      <c r="V71" s="534"/>
      <c r="W71" s="534">
        <v>10</v>
      </c>
      <c r="X71" s="534"/>
      <c r="Y71" s="534">
        <v>20</v>
      </c>
      <c r="Z71" s="534"/>
      <c r="AA71" s="534"/>
      <c r="AB71" s="534"/>
      <c r="AC71" s="534"/>
      <c r="AD71" s="534">
        <f>B71+C71+D71+E71+F71+G71+H71+I71+J71+K71+L71+M71+N71+O71+P71+Q71+R71+S71+T71+U71+V71+W71+X71+Y71+Z71+AA71+AB71+AC71</f>
        <v>821</v>
      </c>
      <c r="AE71" s="539">
        <v>16</v>
      </c>
      <c r="AF71" s="534">
        <f>AD71+AE71</f>
        <v>837</v>
      </c>
    </row>
    <row r="72" spans="1:32" s="531" customFormat="1" ht="15.75" customHeight="1" x14ac:dyDescent="0.2">
      <c r="A72" s="545">
        <v>52</v>
      </c>
      <c r="B72" s="534">
        <f>150-19</f>
        <v>131</v>
      </c>
      <c r="C72" s="534"/>
      <c r="D72" s="534"/>
      <c r="E72" s="534"/>
      <c r="F72" s="534"/>
      <c r="G72" s="549"/>
      <c r="H72" s="534"/>
      <c r="I72" s="534">
        <v>7</v>
      </c>
      <c r="J72" s="534"/>
      <c r="K72" s="549"/>
      <c r="L72" s="549"/>
      <c r="M72" s="534"/>
      <c r="N72" s="549"/>
      <c r="O72" s="534"/>
      <c r="P72" s="534"/>
      <c r="Q72" s="534">
        <f>50+44</f>
        <v>94</v>
      </c>
      <c r="R72" s="549"/>
      <c r="S72" s="534"/>
      <c r="T72" s="534"/>
      <c r="U72" s="534"/>
      <c r="V72" s="534"/>
      <c r="W72" s="534"/>
      <c r="X72" s="549"/>
      <c r="Y72" s="534"/>
      <c r="Z72" s="534"/>
      <c r="AA72" s="534"/>
      <c r="AB72" s="534"/>
      <c r="AC72" s="534"/>
      <c r="AD72" s="534">
        <f>B72+C72+D72+E72+F72+G72+H72+I72+J72+K72+L72+M72+N72+O72+P72+Q72+R72+S72+T72+U72+V72+W72+X72+Y72+Z72+AA72+AB72+AC72</f>
        <v>232</v>
      </c>
      <c r="AE72" s="539"/>
      <c r="AF72" s="534">
        <f>AD72+AE72</f>
        <v>232</v>
      </c>
    </row>
    <row r="73" spans="1:32" s="531" customFormat="1" ht="15.75" customHeight="1" x14ac:dyDescent="0.2">
      <c r="A73" s="545">
        <v>53</v>
      </c>
      <c r="B73" s="534"/>
      <c r="C73" s="534"/>
      <c r="D73" s="534"/>
      <c r="E73" s="534"/>
      <c r="F73" s="534"/>
      <c r="G73" s="534"/>
      <c r="H73" s="534"/>
      <c r="I73" s="534"/>
      <c r="J73" s="534"/>
      <c r="K73" s="534"/>
      <c r="L73" s="534"/>
      <c r="M73" s="534"/>
      <c r="N73" s="534"/>
      <c r="O73" s="534"/>
      <c r="P73" s="534">
        <v>10</v>
      </c>
      <c r="Q73" s="534"/>
      <c r="R73" s="534"/>
      <c r="S73" s="534"/>
      <c r="T73" s="534"/>
      <c r="U73" s="534"/>
      <c r="V73" s="534"/>
      <c r="W73" s="534"/>
      <c r="X73" s="534"/>
      <c r="Y73" s="534"/>
      <c r="Z73" s="534"/>
      <c r="AA73" s="534"/>
      <c r="AB73" s="534"/>
      <c r="AC73" s="534"/>
      <c r="AD73" s="534">
        <f>B73+C73+D73+E73+F73+G73+H73+I73+J73+K73+L73+M73+N73+O73+P73+Q73+R73+S73+T73+U73+V73+W73+X73+Y73+Z73+AA73+AB73+AC73</f>
        <v>10</v>
      </c>
      <c r="AE73" s="539"/>
      <c r="AF73" s="534">
        <f>AD73+AE73</f>
        <v>10</v>
      </c>
    </row>
    <row r="74" spans="1:32" s="531" customFormat="1" ht="15.75" customHeight="1" x14ac:dyDescent="0.2">
      <c r="A74" s="554" t="s">
        <v>734</v>
      </c>
      <c r="B74" s="543">
        <f t="shared" ref="B74:AF74" si="27">B75+B76</f>
        <v>134</v>
      </c>
      <c r="C74" s="543">
        <f t="shared" si="27"/>
        <v>0</v>
      </c>
      <c r="D74" s="543">
        <f t="shared" si="27"/>
        <v>0</v>
      </c>
      <c r="E74" s="543">
        <f t="shared" si="27"/>
        <v>130</v>
      </c>
      <c r="F74" s="543">
        <f t="shared" si="27"/>
        <v>0</v>
      </c>
      <c r="G74" s="543">
        <f t="shared" si="27"/>
        <v>0</v>
      </c>
      <c r="H74" s="543">
        <f t="shared" si="27"/>
        <v>0</v>
      </c>
      <c r="I74" s="543">
        <f t="shared" si="27"/>
        <v>0</v>
      </c>
      <c r="J74" s="543">
        <f t="shared" si="27"/>
        <v>10</v>
      </c>
      <c r="K74" s="543">
        <f t="shared" si="27"/>
        <v>0</v>
      </c>
      <c r="L74" s="543">
        <f t="shared" si="27"/>
        <v>0</v>
      </c>
      <c r="M74" s="543">
        <f t="shared" si="27"/>
        <v>30</v>
      </c>
      <c r="N74" s="543">
        <f t="shared" si="27"/>
        <v>0</v>
      </c>
      <c r="O74" s="543">
        <f t="shared" si="27"/>
        <v>0</v>
      </c>
      <c r="P74" s="543">
        <f t="shared" si="27"/>
        <v>36</v>
      </c>
      <c r="Q74" s="543">
        <f t="shared" si="27"/>
        <v>0</v>
      </c>
      <c r="R74" s="543">
        <f t="shared" si="27"/>
        <v>0</v>
      </c>
      <c r="S74" s="543">
        <f t="shared" si="27"/>
        <v>0</v>
      </c>
      <c r="T74" s="543">
        <f t="shared" si="27"/>
        <v>0</v>
      </c>
      <c r="U74" s="543">
        <f t="shared" si="27"/>
        <v>0</v>
      </c>
      <c r="V74" s="543">
        <f t="shared" si="27"/>
        <v>0</v>
      </c>
      <c r="W74" s="543">
        <f t="shared" si="27"/>
        <v>0</v>
      </c>
      <c r="X74" s="543">
        <f t="shared" si="27"/>
        <v>0</v>
      </c>
      <c r="Y74" s="543">
        <f t="shared" si="27"/>
        <v>0</v>
      </c>
      <c r="Z74" s="543">
        <f t="shared" si="27"/>
        <v>7</v>
      </c>
      <c r="AA74" s="543">
        <f t="shared" si="27"/>
        <v>50</v>
      </c>
      <c r="AB74" s="543">
        <f t="shared" si="27"/>
        <v>0</v>
      </c>
      <c r="AC74" s="543">
        <f t="shared" si="27"/>
        <v>0</v>
      </c>
      <c r="AD74" s="543">
        <f t="shared" si="27"/>
        <v>397</v>
      </c>
      <c r="AE74" s="543">
        <f t="shared" si="27"/>
        <v>0</v>
      </c>
      <c r="AF74" s="543">
        <f t="shared" si="27"/>
        <v>397</v>
      </c>
    </row>
    <row r="75" spans="1:32" s="531" customFormat="1" ht="15.75" customHeight="1" x14ac:dyDescent="0.2">
      <c r="A75" s="537">
        <v>54</v>
      </c>
      <c r="B75" s="534">
        <f>100+14</f>
        <v>114</v>
      </c>
      <c r="C75" s="534"/>
      <c r="D75" s="534"/>
      <c r="E75" s="534">
        <v>130</v>
      </c>
      <c r="F75" s="534"/>
      <c r="G75" s="534"/>
      <c r="H75" s="534"/>
      <c r="I75" s="534"/>
      <c r="J75" s="534">
        <v>10</v>
      </c>
      <c r="K75" s="534"/>
      <c r="L75" s="534"/>
      <c r="M75" s="534">
        <v>20</v>
      </c>
      <c r="N75" s="534"/>
      <c r="O75" s="534"/>
      <c r="P75" s="534">
        <v>36</v>
      </c>
      <c r="Q75" s="534"/>
      <c r="R75" s="534"/>
      <c r="S75" s="534"/>
      <c r="T75" s="534"/>
      <c r="U75" s="534"/>
      <c r="V75" s="534"/>
      <c r="W75" s="534"/>
      <c r="X75" s="534"/>
      <c r="Y75" s="534"/>
      <c r="Z75" s="534">
        <v>7</v>
      </c>
      <c r="AA75" s="534">
        <v>40</v>
      </c>
      <c r="AB75" s="534"/>
      <c r="AC75" s="534"/>
      <c r="AD75" s="534">
        <f>B75+C75+D75+E75+F75+G75+H75+I75+J75+K75+L75+M75+N75+O75+P75+Q75+R75+S75+T75+U75+V75+W75+X75+Y75+Z75+AA75+AB75+AC75</f>
        <v>357</v>
      </c>
      <c r="AE75" s="539"/>
      <c r="AF75" s="534">
        <f>AD75+AE75</f>
        <v>357</v>
      </c>
    </row>
    <row r="76" spans="1:32" s="531" customFormat="1" ht="15.75" customHeight="1" x14ac:dyDescent="0.2">
      <c r="A76" s="537">
        <v>55</v>
      </c>
      <c r="B76" s="534">
        <f>30-10</f>
        <v>20</v>
      </c>
      <c r="C76" s="534"/>
      <c r="D76" s="534"/>
      <c r="E76" s="534"/>
      <c r="F76" s="534"/>
      <c r="G76" s="534"/>
      <c r="H76" s="534"/>
      <c r="I76" s="534"/>
      <c r="J76" s="534"/>
      <c r="K76" s="534"/>
      <c r="L76" s="534"/>
      <c r="M76" s="534">
        <v>10</v>
      </c>
      <c r="N76" s="534"/>
      <c r="O76" s="534"/>
      <c r="P76" s="534"/>
      <c r="Q76" s="534"/>
      <c r="R76" s="534"/>
      <c r="S76" s="534"/>
      <c r="T76" s="534"/>
      <c r="U76" s="534"/>
      <c r="V76" s="534"/>
      <c r="W76" s="534"/>
      <c r="X76" s="534"/>
      <c r="Y76" s="534"/>
      <c r="Z76" s="534"/>
      <c r="AA76" s="534">
        <v>10</v>
      </c>
      <c r="AB76" s="534"/>
      <c r="AC76" s="534"/>
      <c r="AD76" s="534">
        <f>B76+C76+D76+E76+F76+G76+H76+I76+J76+K76+L76+M76+N76+O76+P76+Q76+R76+S76+T76+U76+V76+W76+X76+Y76+Z76+AA76+AB76+AC76</f>
        <v>40</v>
      </c>
      <c r="AE76" s="539"/>
      <c r="AF76" s="534">
        <f>AD76+AE76</f>
        <v>40</v>
      </c>
    </row>
    <row r="77" spans="1:32" s="531" customFormat="1" ht="15.75" customHeight="1" x14ac:dyDescent="0.2">
      <c r="A77" s="554" t="s">
        <v>735</v>
      </c>
      <c r="B77" s="543">
        <f t="shared" ref="B77:AF77" si="28">B78</f>
        <v>0</v>
      </c>
      <c r="C77" s="543">
        <f t="shared" si="28"/>
        <v>0</v>
      </c>
      <c r="D77" s="543">
        <f t="shared" si="28"/>
        <v>0</v>
      </c>
      <c r="E77" s="543">
        <f t="shared" si="28"/>
        <v>65</v>
      </c>
      <c r="F77" s="543">
        <f t="shared" si="28"/>
        <v>0</v>
      </c>
      <c r="G77" s="543">
        <f t="shared" si="28"/>
        <v>0</v>
      </c>
      <c r="H77" s="543">
        <f t="shared" si="28"/>
        <v>0</v>
      </c>
      <c r="I77" s="543">
        <f t="shared" si="28"/>
        <v>0</v>
      </c>
      <c r="J77" s="543">
        <f t="shared" si="28"/>
        <v>60</v>
      </c>
      <c r="K77" s="543">
        <f t="shared" si="28"/>
        <v>0</v>
      </c>
      <c r="L77" s="543">
        <f t="shared" si="28"/>
        <v>0</v>
      </c>
      <c r="M77" s="543">
        <f t="shared" si="28"/>
        <v>0</v>
      </c>
      <c r="N77" s="543">
        <f t="shared" si="28"/>
        <v>0</v>
      </c>
      <c r="O77" s="543">
        <f t="shared" si="28"/>
        <v>0</v>
      </c>
      <c r="P77" s="543">
        <f t="shared" si="28"/>
        <v>0</v>
      </c>
      <c r="Q77" s="543">
        <f t="shared" si="28"/>
        <v>0</v>
      </c>
      <c r="R77" s="543">
        <f t="shared" si="28"/>
        <v>0</v>
      </c>
      <c r="S77" s="543">
        <f t="shared" si="28"/>
        <v>0</v>
      </c>
      <c r="T77" s="543">
        <f t="shared" si="28"/>
        <v>0</v>
      </c>
      <c r="U77" s="543">
        <f t="shared" si="28"/>
        <v>0</v>
      </c>
      <c r="V77" s="543">
        <f t="shared" si="28"/>
        <v>0</v>
      </c>
      <c r="W77" s="543">
        <f t="shared" si="28"/>
        <v>0</v>
      </c>
      <c r="X77" s="543">
        <f t="shared" si="28"/>
        <v>0</v>
      </c>
      <c r="Y77" s="543">
        <f t="shared" si="28"/>
        <v>20</v>
      </c>
      <c r="Z77" s="543">
        <f t="shared" si="28"/>
        <v>0</v>
      </c>
      <c r="AA77" s="543">
        <f t="shared" si="28"/>
        <v>0</v>
      </c>
      <c r="AB77" s="543">
        <f t="shared" si="28"/>
        <v>0</v>
      </c>
      <c r="AC77" s="543">
        <f t="shared" si="28"/>
        <v>0</v>
      </c>
      <c r="AD77" s="543">
        <f t="shared" si="28"/>
        <v>145</v>
      </c>
      <c r="AE77" s="543">
        <f t="shared" si="28"/>
        <v>0</v>
      </c>
      <c r="AF77" s="543">
        <f t="shared" si="28"/>
        <v>145</v>
      </c>
    </row>
    <row r="78" spans="1:32" s="531" customFormat="1" ht="15.75" customHeight="1" x14ac:dyDescent="0.2">
      <c r="A78" s="537">
        <v>56</v>
      </c>
      <c r="B78" s="534"/>
      <c r="C78" s="534"/>
      <c r="D78" s="534"/>
      <c r="E78" s="534">
        <v>65</v>
      </c>
      <c r="F78" s="534"/>
      <c r="G78" s="534"/>
      <c r="H78" s="534"/>
      <c r="I78" s="534"/>
      <c r="J78" s="534">
        <v>60</v>
      </c>
      <c r="K78" s="534"/>
      <c r="L78" s="534"/>
      <c r="M78" s="534"/>
      <c r="N78" s="534"/>
      <c r="O78" s="534"/>
      <c r="P78" s="534"/>
      <c r="Q78" s="534"/>
      <c r="R78" s="534"/>
      <c r="S78" s="534"/>
      <c r="T78" s="534"/>
      <c r="U78" s="534"/>
      <c r="V78" s="534"/>
      <c r="W78" s="534"/>
      <c r="X78" s="534"/>
      <c r="Y78" s="534">
        <v>20</v>
      </c>
      <c r="Z78" s="534"/>
      <c r="AA78" s="534"/>
      <c r="AB78" s="534"/>
      <c r="AC78" s="534"/>
      <c r="AD78" s="534">
        <f>B78+C78+D78+E78+F78+G78+H78+I78+J78+K78+L78+M78+N78+O78+P78+Q78+R78+S78+T78+U78+V78+W78+X78+Y78+Z78+AA78+AB78+AC78</f>
        <v>145</v>
      </c>
      <c r="AE78" s="539"/>
      <c r="AF78" s="534">
        <f>AD78+AE78</f>
        <v>145</v>
      </c>
    </row>
    <row r="79" spans="1:32" s="531" customFormat="1" ht="15.75" customHeight="1" x14ac:dyDescent="0.2">
      <c r="A79" s="554" t="s">
        <v>736</v>
      </c>
      <c r="B79" s="543">
        <f t="shared" ref="B79:AF79" si="29">B80+B81</f>
        <v>20</v>
      </c>
      <c r="C79" s="543">
        <f t="shared" si="29"/>
        <v>0</v>
      </c>
      <c r="D79" s="543">
        <f t="shared" si="29"/>
        <v>0</v>
      </c>
      <c r="E79" s="543">
        <f t="shared" si="29"/>
        <v>170</v>
      </c>
      <c r="F79" s="543">
        <f t="shared" si="29"/>
        <v>0</v>
      </c>
      <c r="G79" s="543">
        <f t="shared" si="29"/>
        <v>0</v>
      </c>
      <c r="H79" s="543">
        <f t="shared" si="29"/>
        <v>0</v>
      </c>
      <c r="I79" s="543">
        <f t="shared" si="29"/>
        <v>0</v>
      </c>
      <c r="J79" s="543">
        <f t="shared" si="29"/>
        <v>20</v>
      </c>
      <c r="K79" s="543">
        <f t="shared" si="29"/>
        <v>0</v>
      </c>
      <c r="L79" s="543">
        <f t="shared" si="29"/>
        <v>0</v>
      </c>
      <c r="M79" s="543">
        <f t="shared" si="29"/>
        <v>0</v>
      </c>
      <c r="N79" s="543">
        <f t="shared" si="29"/>
        <v>0</v>
      </c>
      <c r="O79" s="543">
        <f t="shared" si="29"/>
        <v>0</v>
      </c>
      <c r="P79" s="543">
        <f t="shared" si="29"/>
        <v>0</v>
      </c>
      <c r="Q79" s="543">
        <f t="shared" si="29"/>
        <v>0</v>
      </c>
      <c r="R79" s="543">
        <f t="shared" si="29"/>
        <v>0</v>
      </c>
      <c r="S79" s="543">
        <f t="shared" si="29"/>
        <v>0</v>
      </c>
      <c r="T79" s="543">
        <f t="shared" si="29"/>
        <v>0</v>
      </c>
      <c r="U79" s="543">
        <f t="shared" si="29"/>
        <v>0</v>
      </c>
      <c r="V79" s="543">
        <f t="shared" si="29"/>
        <v>0</v>
      </c>
      <c r="W79" s="543">
        <f t="shared" si="29"/>
        <v>0</v>
      </c>
      <c r="X79" s="543">
        <f t="shared" si="29"/>
        <v>0</v>
      </c>
      <c r="Y79" s="543">
        <f t="shared" si="29"/>
        <v>0</v>
      </c>
      <c r="Z79" s="543">
        <f t="shared" si="29"/>
        <v>0</v>
      </c>
      <c r="AA79" s="543">
        <f t="shared" si="29"/>
        <v>0</v>
      </c>
      <c r="AB79" s="543">
        <f t="shared" si="29"/>
        <v>0</v>
      </c>
      <c r="AC79" s="543">
        <f t="shared" si="29"/>
        <v>0</v>
      </c>
      <c r="AD79" s="543">
        <f t="shared" si="29"/>
        <v>210</v>
      </c>
      <c r="AE79" s="543">
        <f t="shared" si="29"/>
        <v>0</v>
      </c>
      <c r="AF79" s="543">
        <f t="shared" si="29"/>
        <v>210</v>
      </c>
    </row>
    <row r="80" spans="1:32" s="531" customFormat="1" ht="15.75" customHeight="1" x14ac:dyDescent="0.2">
      <c r="A80" s="537">
        <v>57</v>
      </c>
      <c r="B80" s="534">
        <v>20</v>
      </c>
      <c r="C80" s="534"/>
      <c r="D80" s="534"/>
      <c r="E80" s="534">
        <v>170</v>
      </c>
      <c r="F80" s="534"/>
      <c r="G80" s="534"/>
      <c r="H80" s="534"/>
      <c r="I80" s="534"/>
      <c r="J80" s="534">
        <v>20</v>
      </c>
      <c r="K80" s="534"/>
      <c r="L80" s="534"/>
      <c r="M80" s="534"/>
      <c r="N80" s="534"/>
      <c r="O80" s="534"/>
      <c r="P80" s="534"/>
      <c r="Q80" s="534"/>
      <c r="R80" s="534"/>
      <c r="S80" s="534"/>
      <c r="T80" s="534"/>
      <c r="U80" s="534"/>
      <c r="V80" s="534"/>
      <c r="W80" s="534"/>
      <c r="X80" s="534"/>
      <c r="Y80" s="534"/>
      <c r="Z80" s="534"/>
      <c r="AA80" s="534"/>
      <c r="AB80" s="534"/>
      <c r="AC80" s="534"/>
      <c r="AD80" s="534">
        <f>B80+C80+D80+E80+F80+G80+H80+I80+J80+K80+L80+M80+N80+O80+P80+Q80+R80+S80+T80+U80+V80+W80+X80+Y80+Z80+AA80+AB80+AC80</f>
        <v>210</v>
      </c>
      <c r="AE80" s="539"/>
      <c r="AF80" s="534">
        <f>AD80+AE80</f>
        <v>210</v>
      </c>
    </row>
    <row r="81" spans="1:32" s="531" customFormat="1" ht="17.25" customHeight="1" x14ac:dyDescent="0.2">
      <c r="A81" s="537">
        <v>58</v>
      </c>
      <c r="B81" s="534"/>
      <c r="C81" s="534"/>
      <c r="D81" s="534"/>
      <c r="E81" s="534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534"/>
      <c r="AB81" s="534"/>
      <c r="AC81" s="534"/>
      <c r="AD81" s="534">
        <f>B81+C81+D81+E81+F81+G81+H81+I81+J81+K81+L81+M81+N81+O81+P81+Q81+R81+S81+T81+U81+V81+W81+X81+Y81+Z81+AA81+AB81+AC81</f>
        <v>0</v>
      </c>
      <c r="AE81" s="539"/>
      <c r="AF81" s="534">
        <f>AD81+AE81</f>
        <v>0</v>
      </c>
    </row>
    <row r="82" spans="1:32" s="531" customFormat="1" ht="18.75" customHeight="1" x14ac:dyDescent="0.2">
      <c r="A82" s="554" t="s">
        <v>1</v>
      </c>
      <c r="B82" s="543">
        <f t="shared" ref="B82:AF82" si="30">B4+B7+B10+B12+B15+B17+B19+B22+B29+B32+B39+B43+B51+B53+B65+B68+B74+B77+B79+B46</f>
        <v>2582</v>
      </c>
      <c r="C82" s="543">
        <f t="shared" si="30"/>
        <v>1587</v>
      </c>
      <c r="D82" s="543">
        <f t="shared" si="30"/>
        <v>3408</v>
      </c>
      <c r="E82" s="543">
        <f t="shared" si="30"/>
        <v>1118</v>
      </c>
      <c r="F82" s="543">
        <f t="shared" si="30"/>
        <v>801</v>
      </c>
      <c r="G82" s="543">
        <f t="shared" si="30"/>
        <v>52</v>
      </c>
      <c r="H82" s="543">
        <f t="shared" si="30"/>
        <v>210</v>
      </c>
      <c r="I82" s="543">
        <f t="shared" si="30"/>
        <v>1026</v>
      </c>
      <c r="J82" s="543">
        <f t="shared" si="30"/>
        <v>1159</v>
      </c>
      <c r="K82" s="543">
        <f t="shared" si="30"/>
        <v>0</v>
      </c>
      <c r="L82" s="543">
        <f t="shared" si="30"/>
        <v>2400</v>
      </c>
      <c r="M82" s="543">
        <f t="shared" si="30"/>
        <v>30</v>
      </c>
      <c r="N82" s="543">
        <f t="shared" si="30"/>
        <v>200</v>
      </c>
      <c r="O82" s="543">
        <f t="shared" si="30"/>
        <v>373</v>
      </c>
      <c r="P82" s="543">
        <f t="shared" si="30"/>
        <v>385</v>
      </c>
      <c r="Q82" s="543">
        <f t="shared" si="30"/>
        <v>804</v>
      </c>
      <c r="R82" s="543">
        <f t="shared" si="30"/>
        <v>116</v>
      </c>
      <c r="S82" s="543">
        <f t="shared" si="30"/>
        <v>253</v>
      </c>
      <c r="T82" s="543">
        <f t="shared" si="30"/>
        <v>212</v>
      </c>
      <c r="U82" s="543">
        <f t="shared" si="30"/>
        <v>65</v>
      </c>
      <c r="V82" s="543">
        <f t="shared" si="30"/>
        <v>162</v>
      </c>
      <c r="W82" s="543">
        <f t="shared" si="30"/>
        <v>25</v>
      </c>
      <c r="X82" s="543">
        <f t="shared" si="30"/>
        <v>30</v>
      </c>
      <c r="Y82" s="543">
        <f t="shared" si="30"/>
        <v>915</v>
      </c>
      <c r="Z82" s="543">
        <f t="shared" si="30"/>
        <v>42</v>
      </c>
      <c r="AA82" s="543">
        <f t="shared" si="30"/>
        <v>265</v>
      </c>
      <c r="AB82" s="543">
        <f t="shared" si="30"/>
        <v>10</v>
      </c>
      <c r="AC82" s="543">
        <f t="shared" si="30"/>
        <v>307</v>
      </c>
      <c r="AD82" s="543">
        <f t="shared" si="30"/>
        <v>18537</v>
      </c>
      <c r="AE82" s="543">
        <f t="shared" si="30"/>
        <v>318</v>
      </c>
      <c r="AF82" s="543">
        <f t="shared" si="30"/>
        <v>18855</v>
      </c>
    </row>
    <row r="83" spans="1:32" x14ac:dyDescent="0.2"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552"/>
      <c r="AC83" s="552"/>
      <c r="AD83" s="552"/>
      <c r="AE83" s="542"/>
      <c r="AF83" s="552"/>
    </row>
  </sheetData>
  <mergeCells count="1">
    <mergeCell ref="A1:A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workbookViewId="0">
      <pane ySplit="4" topLeftCell="A5" activePane="bottomLeft" state="frozen"/>
      <selection activeCell="C156" sqref="C156"/>
      <selection pane="bottomLeft" activeCell="N150" sqref="N150"/>
    </sheetView>
  </sheetViews>
  <sheetFormatPr defaultRowHeight="15" x14ac:dyDescent="0.25"/>
  <cols>
    <col min="1" max="1" width="5.7109375" style="432" customWidth="1"/>
    <col min="2" max="2" width="9.140625" style="432"/>
    <col min="3" max="3" width="34.140625" style="442" customWidth="1"/>
    <col min="4" max="5" width="9.140625" style="432"/>
    <col min="6" max="6" width="10.140625" style="432" customWidth="1"/>
    <col min="7" max="7" width="9.140625" style="432"/>
    <col min="8" max="8" width="10.28515625" style="432" customWidth="1"/>
    <col min="9" max="9" width="11.28515625" style="432" customWidth="1"/>
    <col min="10" max="11" width="9.140625" style="432"/>
    <col min="12" max="12" width="11.42578125" style="432" customWidth="1"/>
    <col min="13" max="13" width="9.140625" style="419"/>
    <col min="14" max="16384" width="9.140625" style="432"/>
  </cols>
  <sheetData>
    <row r="1" spans="1:12" s="416" customFormat="1" x14ac:dyDescent="0.25">
      <c r="A1" s="586" t="s">
        <v>564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</row>
    <row r="2" spans="1:12" s="419" customFormat="1" x14ac:dyDescent="0.25">
      <c r="A2" s="417"/>
      <c r="B2" s="417"/>
      <c r="C2" s="418"/>
      <c r="D2" s="417"/>
      <c r="E2" s="417"/>
      <c r="F2" s="417"/>
      <c r="G2" s="417"/>
      <c r="H2" s="417"/>
      <c r="I2" s="417"/>
      <c r="J2" s="417"/>
      <c r="K2" s="417"/>
      <c r="L2" s="417"/>
    </row>
    <row r="3" spans="1:12" s="419" customFormat="1" x14ac:dyDescent="0.25">
      <c r="A3" s="587" t="s">
        <v>0</v>
      </c>
      <c r="B3" s="587" t="s">
        <v>565</v>
      </c>
      <c r="C3" s="587" t="s">
        <v>432</v>
      </c>
      <c r="D3" s="589" t="s">
        <v>566</v>
      </c>
      <c r="E3" s="591" t="s">
        <v>567</v>
      </c>
      <c r="F3" s="593" t="s">
        <v>18</v>
      </c>
      <c r="G3" s="594"/>
      <c r="H3" s="594"/>
      <c r="I3" s="594"/>
      <c r="J3" s="594"/>
      <c r="K3" s="595"/>
      <c r="L3" s="589" t="s">
        <v>568</v>
      </c>
    </row>
    <row r="4" spans="1:12" s="419" customFormat="1" ht="48" x14ac:dyDescent="0.25">
      <c r="A4" s="588"/>
      <c r="B4" s="588"/>
      <c r="C4" s="588"/>
      <c r="D4" s="590"/>
      <c r="E4" s="592"/>
      <c r="F4" s="420" t="s">
        <v>569</v>
      </c>
      <c r="G4" s="421" t="s">
        <v>570</v>
      </c>
      <c r="H4" s="421">
        <v>4125</v>
      </c>
      <c r="I4" s="421" t="s">
        <v>571</v>
      </c>
      <c r="J4" s="421" t="s">
        <v>572</v>
      </c>
      <c r="K4" s="421" t="s">
        <v>573</v>
      </c>
      <c r="L4" s="590"/>
    </row>
    <row r="5" spans="1:12" s="419" customFormat="1" x14ac:dyDescent="0.25">
      <c r="A5" s="579" t="s">
        <v>1</v>
      </c>
      <c r="B5" s="579"/>
      <c r="C5" s="579"/>
      <c r="D5" s="443">
        <f>D6+D7</f>
        <v>244779</v>
      </c>
      <c r="E5" s="443">
        <f t="shared" ref="E5:L5" si="0">E6+E7</f>
        <v>244379</v>
      </c>
      <c r="F5" s="443">
        <f t="shared" si="0"/>
        <v>100</v>
      </c>
      <c r="G5" s="443">
        <f t="shared" si="0"/>
        <v>1801</v>
      </c>
      <c r="H5" s="443">
        <f t="shared" si="0"/>
        <v>27649</v>
      </c>
      <c r="I5" s="443">
        <f t="shared" si="0"/>
        <v>5539</v>
      </c>
      <c r="J5" s="443">
        <f t="shared" si="0"/>
        <v>197</v>
      </c>
      <c r="K5" s="443">
        <f t="shared" si="0"/>
        <v>394</v>
      </c>
      <c r="L5" s="443">
        <f t="shared" si="0"/>
        <v>400</v>
      </c>
    </row>
    <row r="6" spans="1:12" s="419" customFormat="1" x14ac:dyDescent="0.25">
      <c r="A6" s="580" t="s">
        <v>19</v>
      </c>
      <c r="B6" s="581"/>
      <c r="C6" s="582"/>
      <c r="D6" s="443">
        <v>359</v>
      </c>
      <c r="E6" s="444">
        <v>359</v>
      </c>
      <c r="F6" s="445"/>
      <c r="G6" s="446">
        <v>41</v>
      </c>
      <c r="H6" s="446">
        <v>102</v>
      </c>
      <c r="I6" s="446"/>
      <c r="J6" s="446"/>
      <c r="K6" s="446"/>
      <c r="L6" s="443"/>
    </row>
    <row r="7" spans="1:12" s="447" customFormat="1" x14ac:dyDescent="0.25">
      <c r="A7" s="583" t="s">
        <v>20</v>
      </c>
      <c r="B7" s="584"/>
      <c r="C7" s="585"/>
      <c r="D7" s="443">
        <f>SUM(D8:D155)</f>
        <v>244420</v>
      </c>
      <c r="E7" s="443">
        <f t="shared" ref="E7:L7" si="1">SUM(E8:E155)</f>
        <v>244020</v>
      </c>
      <c r="F7" s="443">
        <f t="shared" si="1"/>
        <v>100</v>
      </c>
      <c r="G7" s="443">
        <f t="shared" si="1"/>
        <v>1760</v>
      </c>
      <c r="H7" s="443">
        <f t="shared" si="1"/>
        <v>27547</v>
      </c>
      <c r="I7" s="443">
        <f t="shared" si="1"/>
        <v>5539</v>
      </c>
      <c r="J7" s="443">
        <f t="shared" si="1"/>
        <v>197</v>
      </c>
      <c r="K7" s="443">
        <f t="shared" si="1"/>
        <v>394</v>
      </c>
      <c r="L7" s="443">
        <f t="shared" si="1"/>
        <v>400</v>
      </c>
    </row>
    <row r="8" spans="1:12" s="419" customFormat="1" x14ac:dyDescent="0.25">
      <c r="A8" s="422">
        <v>1</v>
      </c>
      <c r="B8" s="422" t="s">
        <v>21</v>
      </c>
      <c r="C8" s="423" t="s">
        <v>22</v>
      </c>
      <c r="D8" s="422">
        <f t="shared" ref="D8:D69" si="2">E8+L8</f>
        <v>915</v>
      </c>
      <c r="E8" s="422">
        <v>915</v>
      </c>
      <c r="F8" s="422"/>
      <c r="G8" s="422">
        <v>0</v>
      </c>
      <c r="H8" s="422">
        <v>0</v>
      </c>
      <c r="I8" s="422">
        <v>0</v>
      </c>
      <c r="J8" s="422">
        <v>0</v>
      </c>
      <c r="K8" s="422"/>
      <c r="L8" s="422"/>
    </row>
    <row r="9" spans="1:12" s="419" customFormat="1" x14ac:dyDescent="0.25">
      <c r="A9" s="422">
        <v>2</v>
      </c>
      <c r="B9" s="422" t="s">
        <v>23</v>
      </c>
      <c r="C9" s="423" t="s">
        <v>195</v>
      </c>
      <c r="D9" s="422">
        <f t="shared" si="2"/>
        <v>935</v>
      </c>
      <c r="E9" s="422">
        <v>935</v>
      </c>
      <c r="F9" s="422"/>
      <c r="G9" s="422">
        <v>0</v>
      </c>
      <c r="H9" s="422">
        <v>0</v>
      </c>
      <c r="I9" s="422">
        <v>0</v>
      </c>
      <c r="J9" s="422">
        <v>0</v>
      </c>
      <c r="K9" s="422"/>
      <c r="L9" s="422"/>
    </row>
    <row r="10" spans="1:12" s="419" customFormat="1" x14ac:dyDescent="0.25">
      <c r="A10" s="422">
        <v>3</v>
      </c>
      <c r="B10" s="422" t="s">
        <v>24</v>
      </c>
      <c r="C10" s="423" t="s">
        <v>25</v>
      </c>
      <c r="D10" s="422">
        <f t="shared" si="2"/>
        <v>2795</v>
      </c>
      <c r="E10" s="422">
        <v>2795</v>
      </c>
      <c r="F10" s="422"/>
      <c r="G10" s="422">
        <v>0</v>
      </c>
      <c r="H10" s="422">
        <v>0</v>
      </c>
      <c r="I10" s="422">
        <v>0</v>
      </c>
      <c r="J10" s="422">
        <v>6</v>
      </c>
      <c r="K10" s="422"/>
      <c r="L10" s="422"/>
    </row>
    <row r="11" spans="1:12" s="419" customFormat="1" x14ac:dyDescent="0.25">
      <c r="A11" s="422">
        <v>4</v>
      </c>
      <c r="B11" s="422" t="s">
        <v>26</v>
      </c>
      <c r="C11" s="423" t="s">
        <v>196</v>
      </c>
      <c r="D11" s="422">
        <f t="shared" si="2"/>
        <v>1026</v>
      </c>
      <c r="E11" s="422">
        <v>1026</v>
      </c>
      <c r="F11" s="422"/>
      <c r="G11" s="422">
        <v>0</v>
      </c>
      <c r="H11" s="422">
        <v>0</v>
      </c>
      <c r="I11" s="422">
        <v>0</v>
      </c>
      <c r="J11" s="422">
        <v>0</v>
      </c>
      <c r="K11" s="422"/>
      <c r="L11" s="422"/>
    </row>
    <row r="12" spans="1:12" s="419" customFormat="1" ht="12.75" customHeight="1" x14ac:dyDescent="0.25">
      <c r="A12" s="422">
        <v>5</v>
      </c>
      <c r="B12" s="422" t="s">
        <v>27</v>
      </c>
      <c r="C12" s="423" t="s">
        <v>28</v>
      </c>
      <c r="D12" s="422">
        <f t="shared" si="2"/>
        <v>1108</v>
      </c>
      <c r="E12" s="422">
        <v>1108</v>
      </c>
      <c r="F12" s="422"/>
      <c r="G12" s="422">
        <v>0</v>
      </c>
      <c r="H12" s="422">
        <v>0</v>
      </c>
      <c r="I12" s="422">
        <v>0</v>
      </c>
      <c r="J12" s="422">
        <v>0</v>
      </c>
      <c r="K12" s="422"/>
      <c r="L12" s="422"/>
    </row>
    <row r="13" spans="1:12" s="419" customFormat="1" x14ac:dyDescent="0.25">
      <c r="A13" s="422">
        <v>6</v>
      </c>
      <c r="B13" s="422" t="s">
        <v>4</v>
      </c>
      <c r="C13" s="423" t="s">
        <v>29</v>
      </c>
      <c r="D13" s="422">
        <f t="shared" si="2"/>
        <v>7687</v>
      </c>
      <c r="E13" s="422">
        <f>7691+4+2-10</f>
        <v>7687</v>
      </c>
      <c r="F13" s="422"/>
      <c r="G13" s="422">
        <v>0</v>
      </c>
      <c r="H13" s="422">
        <f>26-10</f>
        <v>16</v>
      </c>
      <c r="I13" s="422">
        <v>0</v>
      </c>
      <c r="J13" s="422">
        <v>10</v>
      </c>
      <c r="K13" s="422"/>
      <c r="L13" s="422"/>
    </row>
    <row r="14" spans="1:12" s="419" customFormat="1" x14ac:dyDescent="0.25">
      <c r="A14" s="422">
        <v>7</v>
      </c>
      <c r="B14" s="422" t="s">
        <v>30</v>
      </c>
      <c r="C14" s="423" t="s">
        <v>197</v>
      </c>
      <c r="D14" s="422">
        <f t="shared" si="2"/>
        <v>2796</v>
      </c>
      <c r="E14" s="422">
        <f>2797-1</f>
        <v>2796</v>
      </c>
      <c r="F14" s="422"/>
      <c r="G14" s="422">
        <v>0</v>
      </c>
      <c r="H14" s="422">
        <v>0</v>
      </c>
      <c r="I14" s="422">
        <v>0</v>
      </c>
      <c r="J14" s="422">
        <f>6-1</f>
        <v>5</v>
      </c>
      <c r="K14" s="422"/>
      <c r="L14" s="422"/>
    </row>
    <row r="15" spans="1:12" s="419" customFormat="1" x14ac:dyDescent="0.25">
      <c r="A15" s="422">
        <v>8</v>
      </c>
      <c r="B15" s="422" t="s">
        <v>31</v>
      </c>
      <c r="C15" s="423" t="s">
        <v>32</v>
      </c>
      <c r="D15" s="422">
        <f t="shared" si="2"/>
        <v>1170</v>
      </c>
      <c r="E15" s="422">
        <v>1170</v>
      </c>
      <c r="F15" s="422"/>
      <c r="G15" s="422">
        <v>0</v>
      </c>
      <c r="H15" s="422">
        <v>0</v>
      </c>
      <c r="I15" s="422">
        <v>0</v>
      </c>
      <c r="J15" s="422">
        <v>0</v>
      </c>
      <c r="K15" s="422"/>
      <c r="L15" s="422"/>
    </row>
    <row r="16" spans="1:12" s="419" customFormat="1" x14ac:dyDescent="0.25">
      <c r="A16" s="422">
        <v>9</v>
      </c>
      <c r="B16" s="422" t="s">
        <v>33</v>
      </c>
      <c r="C16" s="423" t="s">
        <v>34</v>
      </c>
      <c r="D16" s="422">
        <f t="shared" si="2"/>
        <v>1058</v>
      </c>
      <c r="E16" s="422">
        <v>1058</v>
      </c>
      <c r="F16" s="422"/>
      <c r="G16" s="422">
        <v>0</v>
      </c>
      <c r="H16" s="422">
        <v>0</v>
      </c>
      <c r="I16" s="422">
        <v>0</v>
      </c>
      <c r="J16" s="422">
        <v>0</v>
      </c>
      <c r="K16" s="422"/>
      <c r="L16" s="422"/>
    </row>
    <row r="17" spans="1:12" s="419" customFormat="1" x14ac:dyDescent="0.25">
      <c r="A17" s="422">
        <v>10</v>
      </c>
      <c r="B17" s="422" t="s">
        <v>35</v>
      </c>
      <c r="C17" s="423" t="s">
        <v>36</v>
      </c>
      <c r="D17" s="422">
        <f t="shared" si="2"/>
        <v>1295</v>
      </c>
      <c r="E17" s="422">
        <v>1295</v>
      </c>
      <c r="F17" s="422"/>
      <c r="G17" s="422">
        <v>0</v>
      </c>
      <c r="H17" s="422">
        <v>0</v>
      </c>
      <c r="I17" s="422">
        <v>0</v>
      </c>
      <c r="J17" s="422">
        <v>0</v>
      </c>
      <c r="K17" s="422"/>
      <c r="L17" s="422"/>
    </row>
    <row r="18" spans="1:12" s="419" customFormat="1" x14ac:dyDescent="0.25">
      <c r="A18" s="422">
        <v>11</v>
      </c>
      <c r="B18" s="422" t="s">
        <v>37</v>
      </c>
      <c r="C18" s="423" t="s">
        <v>38</v>
      </c>
      <c r="D18" s="422">
        <f t="shared" si="2"/>
        <v>1065</v>
      </c>
      <c r="E18" s="422">
        <v>1065</v>
      </c>
      <c r="F18" s="422"/>
      <c r="G18" s="422">
        <v>0</v>
      </c>
      <c r="H18" s="422">
        <v>0</v>
      </c>
      <c r="I18" s="422">
        <v>0</v>
      </c>
      <c r="J18" s="422">
        <f>0+1</f>
        <v>1</v>
      </c>
      <c r="K18" s="422"/>
      <c r="L18" s="422"/>
    </row>
    <row r="19" spans="1:12" s="419" customFormat="1" x14ac:dyDescent="0.25">
      <c r="A19" s="422">
        <v>12</v>
      </c>
      <c r="B19" s="422" t="s">
        <v>39</v>
      </c>
      <c r="C19" s="423" t="s">
        <v>40</v>
      </c>
      <c r="D19" s="422">
        <f t="shared" si="2"/>
        <v>2114</v>
      </c>
      <c r="E19" s="422">
        <v>2114</v>
      </c>
      <c r="F19" s="422"/>
      <c r="G19" s="422">
        <v>0</v>
      </c>
      <c r="H19" s="422">
        <v>0</v>
      </c>
      <c r="I19" s="422">
        <v>0</v>
      </c>
      <c r="J19" s="422">
        <v>0</v>
      </c>
      <c r="K19" s="422"/>
      <c r="L19" s="422"/>
    </row>
    <row r="20" spans="1:12" s="419" customFormat="1" ht="12.75" customHeight="1" x14ac:dyDescent="0.25">
      <c r="A20" s="422">
        <v>13</v>
      </c>
      <c r="B20" s="422" t="s">
        <v>307</v>
      </c>
      <c r="C20" s="423" t="s">
        <v>450</v>
      </c>
      <c r="D20" s="422">
        <f t="shared" si="2"/>
        <v>5</v>
      </c>
      <c r="E20" s="422">
        <v>5</v>
      </c>
      <c r="F20" s="422"/>
      <c r="G20" s="422">
        <v>0</v>
      </c>
      <c r="H20" s="422">
        <v>0</v>
      </c>
      <c r="I20" s="422">
        <v>0</v>
      </c>
      <c r="J20" s="422">
        <v>0</v>
      </c>
      <c r="K20" s="422"/>
      <c r="L20" s="422"/>
    </row>
    <row r="21" spans="1:12" s="419" customFormat="1" ht="12.75" customHeight="1" x14ac:dyDescent="0.25">
      <c r="A21" s="422">
        <v>14</v>
      </c>
      <c r="B21" s="424" t="s">
        <v>309</v>
      </c>
      <c r="C21" s="425" t="s">
        <v>451</v>
      </c>
      <c r="D21" s="422"/>
      <c r="E21" s="422"/>
      <c r="F21" s="422"/>
      <c r="G21" s="422"/>
      <c r="H21" s="422">
        <v>0</v>
      </c>
      <c r="I21" s="422"/>
      <c r="J21" s="422"/>
      <c r="K21" s="422"/>
      <c r="L21" s="422"/>
    </row>
    <row r="22" spans="1:12" s="419" customFormat="1" x14ac:dyDescent="0.25">
      <c r="A22" s="422">
        <v>15</v>
      </c>
      <c r="B22" s="422" t="s">
        <v>41</v>
      </c>
      <c r="C22" s="423" t="s">
        <v>42</v>
      </c>
      <c r="D22" s="422">
        <f t="shared" si="2"/>
        <v>1407</v>
      </c>
      <c r="E22" s="422">
        <v>1407</v>
      </c>
      <c r="F22" s="422"/>
      <c r="G22" s="422">
        <v>0</v>
      </c>
      <c r="H22" s="422">
        <v>0</v>
      </c>
      <c r="I22" s="422">
        <v>0</v>
      </c>
      <c r="J22" s="422">
        <v>0</v>
      </c>
      <c r="K22" s="422"/>
      <c r="L22" s="422"/>
    </row>
    <row r="23" spans="1:12" s="419" customFormat="1" x14ac:dyDescent="0.25">
      <c r="A23" s="422">
        <v>16</v>
      </c>
      <c r="B23" s="422" t="s">
        <v>43</v>
      </c>
      <c r="C23" s="423" t="s">
        <v>44</v>
      </c>
      <c r="D23" s="422">
        <f t="shared" si="2"/>
        <v>2005</v>
      </c>
      <c r="E23" s="422">
        <v>2005</v>
      </c>
      <c r="F23" s="422"/>
      <c r="G23" s="422">
        <v>0</v>
      </c>
      <c r="H23" s="422">
        <v>0</v>
      </c>
      <c r="I23" s="422">
        <v>0</v>
      </c>
      <c r="J23" s="422">
        <v>0</v>
      </c>
      <c r="K23" s="422"/>
      <c r="L23" s="422"/>
    </row>
    <row r="24" spans="1:12" s="419" customFormat="1" x14ac:dyDescent="0.25">
      <c r="A24" s="422">
        <v>17</v>
      </c>
      <c r="B24" s="422" t="s">
        <v>45</v>
      </c>
      <c r="C24" s="423" t="s">
        <v>198</v>
      </c>
      <c r="D24" s="422">
        <f t="shared" si="2"/>
        <v>2711</v>
      </c>
      <c r="E24" s="422">
        <f>2661+50</f>
        <v>2711</v>
      </c>
      <c r="F24" s="422"/>
      <c r="G24" s="422">
        <v>0</v>
      </c>
      <c r="H24" s="422">
        <v>0</v>
      </c>
      <c r="I24" s="422">
        <v>0</v>
      </c>
      <c r="J24" s="422">
        <v>0</v>
      </c>
      <c r="K24" s="422"/>
      <c r="L24" s="422"/>
    </row>
    <row r="25" spans="1:12" s="419" customFormat="1" x14ac:dyDescent="0.25">
      <c r="A25" s="422">
        <v>18</v>
      </c>
      <c r="B25" s="422" t="s">
        <v>46</v>
      </c>
      <c r="C25" s="423" t="s">
        <v>47</v>
      </c>
      <c r="D25" s="422">
        <f t="shared" si="2"/>
        <v>4883</v>
      </c>
      <c r="E25" s="422">
        <v>4883</v>
      </c>
      <c r="F25" s="422"/>
      <c r="G25" s="422">
        <v>0</v>
      </c>
      <c r="H25" s="422">
        <v>0</v>
      </c>
      <c r="I25" s="422">
        <f>0+81</f>
        <v>81</v>
      </c>
      <c r="J25" s="422">
        <v>10</v>
      </c>
      <c r="K25" s="422"/>
      <c r="L25" s="422"/>
    </row>
    <row r="26" spans="1:12" s="419" customFormat="1" x14ac:dyDescent="0.25">
      <c r="A26" s="422">
        <v>19</v>
      </c>
      <c r="B26" s="422" t="s">
        <v>48</v>
      </c>
      <c r="C26" s="423" t="s">
        <v>49</v>
      </c>
      <c r="D26" s="422">
        <f t="shared" si="2"/>
        <v>887</v>
      </c>
      <c r="E26" s="422">
        <f>837+50</f>
        <v>887</v>
      </c>
      <c r="F26" s="422"/>
      <c r="G26" s="422">
        <v>0</v>
      </c>
      <c r="H26" s="422">
        <v>0</v>
      </c>
      <c r="I26" s="422">
        <v>0</v>
      </c>
      <c r="J26" s="422">
        <v>0</v>
      </c>
      <c r="K26" s="422"/>
      <c r="L26" s="422"/>
    </row>
    <row r="27" spans="1:12" s="419" customFormat="1" x14ac:dyDescent="0.25">
      <c r="A27" s="422">
        <v>20</v>
      </c>
      <c r="B27" s="422" t="s">
        <v>50</v>
      </c>
      <c r="C27" s="423" t="s">
        <v>199</v>
      </c>
      <c r="D27" s="422">
        <f t="shared" si="2"/>
        <v>658</v>
      </c>
      <c r="E27" s="422">
        <v>658</v>
      </c>
      <c r="F27" s="422"/>
      <c r="G27" s="422">
        <v>0</v>
      </c>
      <c r="H27" s="422">
        <v>0</v>
      </c>
      <c r="I27" s="422">
        <v>0</v>
      </c>
      <c r="J27" s="422">
        <v>0</v>
      </c>
      <c r="K27" s="422"/>
      <c r="L27" s="422"/>
    </row>
    <row r="28" spans="1:12" s="419" customFormat="1" x14ac:dyDescent="0.25">
      <c r="A28" s="422">
        <v>21</v>
      </c>
      <c r="B28" s="422" t="s">
        <v>51</v>
      </c>
      <c r="C28" s="423" t="s">
        <v>52</v>
      </c>
      <c r="D28" s="422">
        <f t="shared" si="2"/>
        <v>3414</v>
      </c>
      <c r="E28" s="422">
        <v>3414</v>
      </c>
      <c r="F28" s="422"/>
      <c r="G28" s="422">
        <v>0</v>
      </c>
      <c r="H28" s="422">
        <v>0</v>
      </c>
      <c r="I28" s="422">
        <v>0</v>
      </c>
      <c r="J28" s="422">
        <v>0</v>
      </c>
      <c r="K28" s="422"/>
      <c r="L28" s="422"/>
    </row>
    <row r="29" spans="1:12" s="419" customFormat="1" x14ac:dyDescent="0.25">
      <c r="A29" s="422">
        <v>22</v>
      </c>
      <c r="B29" s="422" t="s">
        <v>53</v>
      </c>
      <c r="C29" s="423" t="s">
        <v>54</v>
      </c>
      <c r="D29" s="422">
        <f t="shared" si="2"/>
        <v>3019</v>
      </c>
      <c r="E29" s="422">
        <v>3019</v>
      </c>
      <c r="F29" s="422"/>
      <c r="G29" s="422">
        <v>0</v>
      </c>
      <c r="H29" s="422">
        <v>0</v>
      </c>
      <c r="I29" s="422">
        <v>60</v>
      </c>
      <c r="J29" s="422">
        <v>9</v>
      </c>
      <c r="K29" s="422"/>
      <c r="L29" s="422"/>
    </row>
    <row r="30" spans="1:12" s="419" customFormat="1" ht="12.75" customHeight="1" x14ac:dyDescent="0.25">
      <c r="A30" s="422">
        <v>23</v>
      </c>
      <c r="B30" s="426" t="s">
        <v>55</v>
      </c>
      <c r="C30" s="427" t="s">
        <v>56</v>
      </c>
      <c r="D30" s="422">
        <f t="shared" si="2"/>
        <v>274</v>
      </c>
      <c r="E30" s="422">
        <v>274</v>
      </c>
      <c r="F30" s="422"/>
      <c r="G30" s="422"/>
      <c r="H30" s="422">
        <v>0</v>
      </c>
      <c r="I30" s="422"/>
      <c r="J30" s="422"/>
      <c r="K30" s="422"/>
      <c r="L30" s="422"/>
    </row>
    <row r="31" spans="1:12" s="419" customFormat="1" ht="12.75" customHeight="1" x14ac:dyDescent="0.25">
      <c r="A31" s="422">
        <v>24</v>
      </c>
      <c r="B31" s="428" t="s">
        <v>57</v>
      </c>
      <c r="C31" s="429" t="s">
        <v>58</v>
      </c>
      <c r="D31" s="422"/>
      <c r="E31" s="422"/>
      <c r="F31" s="422"/>
      <c r="G31" s="422"/>
      <c r="H31" s="422">
        <v>0</v>
      </c>
      <c r="I31" s="422"/>
      <c r="J31" s="422"/>
      <c r="K31" s="422"/>
      <c r="L31" s="422"/>
    </row>
    <row r="32" spans="1:12" s="419" customFormat="1" ht="24" x14ac:dyDescent="0.25">
      <c r="A32" s="422">
        <v>25</v>
      </c>
      <c r="B32" s="422" t="s">
        <v>454</v>
      </c>
      <c r="C32" s="423" t="s">
        <v>455</v>
      </c>
      <c r="D32" s="422">
        <f t="shared" si="2"/>
        <v>432</v>
      </c>
      <c r="E32" s="422">
        <v>432</v>
      </c>
      <c r="F32" s="422"/>
      <c r="G32" s="422">
        <v>0</v>
      </c>
      <c r="H32" s="422">
        <v>0</v>
      </c>
      <c r="I32" s="422">
        <v>432</v>
      </c>
      <c r="J32" s="422">
        <v>0</v>
      </c>
      <c r="K32" s="422"/>
      <c r="L32" s="422"/>
    </row>
    <row r="33" spans="1:12" s="419" customFormat="1" x14ac:dyDescent="0.25">
      <c r="A33" s="422">
        <v>26</v>
      </c>
      <c r="B33" s="422" t="s">
        <v>6</v>
      </c>
      <c r="C33" s="423" t="s">
        <v>59</v>
      </c>
      <c r="D33" s="422">
        <f t="shared" si="2"/>
        <v>5923</v>
      </c>
      <c r="E33" s="422">
        <f>6025-64-52+14</f>
        <v>5923</v>
      </c>
      <c r="F33" s="422"/>
      <c r="G33" s="422">
        <v>0</v>
      </c>
      <c r="H33" s="422">
        <f>522+14</f>
        <v>536</v>
      </c>
      <c r="I33" s="422">
        <v>0</v>
      </c>
      <c r="J33" s="422">
        <v>0</v>
      </c>
      <c r="K33" s="422"/>
      <c r="L33" s="422"/>
    </row>
    <row r="34" spans="1:12" s="419" customFormat="1" x14ac:dyDescent="0.25">
      <c r="A34" s="422">
        <v>27</v>
      </c>
      <c r="B34" s="422" t="s">
        <v>5</v>
      </c>
      <c r="C34" s="423" t="s">
        <v>17</v>
      </c>
      <c r="D34" s="422">
        <f t="shared" si="2"/>
        <v>6831</v>
      </c>
      <c r="E34" s="422">
        <f>6881-50</f>
        <v>6831</v>
      </c>
      <c r="F34" s="422"/>
      <c r="G34" s="422">
        <v>0</v>
      </c>
      <c r="H34" s="422">
        <v>0</v>
      </c>
      <c r="I34" s="422">
        <v>0</v>
      </c>
      <c r="J34" s="422">
        <v>0</v>
      </c>
      <c r="K34" s="422"/>
      <c r="L34" s="422"/>
    </row>
    <row r="35" spans="1:12" s="419" customFormat="1" x14ac:dyDescent="0.25">
      <c r="A35" s="422">
        <v>28</v>
      </c>
      <c r="B35" s="422" t="s">
        <v>60</v>
      </c>
      <c r="C35" s="423" t="s">
        <v>61</v>
      </c>
      <c r="D35" s="422">
        <f t="shared" si="2"/>
        <v>2104</v>
      </c>
      <c r="E35" s="422">
        <f>2104</f>
        <v>2104</v>
      </c>
      <c r="F35" s="422"/>
      <c r="G35" s="422">
        <v>0</v>
      </c>
      <c r="H35" s="422">
        <v>0</v>
      </c>
      <c r="I35" s="422">
        <v>0</v>
      </c>
      <c r="J35" s="422">
        <f>44+2</f>
        <v>46</v>
      </c>
      <c r="K35" s="422"/>
      <c r="L35" s="422"/>
    </row>
    <row r="36" spans="1:12" s="419" customFormat="1" x14ac:dyDescent="0.25">
      <c r="A36" s="422">
        <v>29</v>
      </c>
      <c r="B36" s="422" t="s">
        <v>315</v>
      </c>
      <c r="C36" s="423" t="s">
        <v>316</v>
      </c>
      <c r="D36" s="422">
        <f t="shared" si="2"/>
        <v>285</v>
      </c>
      <c r="E36" s="422">
        <v>285</v>
      </c>
      <c r="F36" s="422"/>
      <c r="G36" s="422">
        <v>0</v>
      </c>
      <c r="H36" s="422">
        <v>0</v>
      </c>
      <c r="I36" s="422">
        <v>0</v>
      </c>
      <c r="J36" s="422">
        <v>0</v>
      </c>
      <c r="K36" s="422"/>
      <c r="L36" s="422"/>
    </row>
    <row r="37" spans="1:12" s="419" customFormat="1" x14ac:dyDescent="0.25">
      <c r="A37" s="422">
        <v>30</v>
      </c>
      <c r="B37" s="430" t="s">
        <v>317</v>
      </c>
      <c r="C37" s="431" t="s">
        <v>318</v>
      </c>
      <c r="D37" s="422"/>
      <c r="E37" s="422"/>
      <c r="F37" s="422"/>
      <c r="G37" s="422"/>
      <c r="H37" s="422"/>
      <c r="I37" s="422"/>
      <c r="J37" s="422"/>
      <c r="K37" s="422"/>
      <c r="L37" s="422"/>
    </row>
    <row r="38" spans="1:12" s="419" customFormat="1" ht="24" x14ac:dyDescent="0.25">
      <c r="A38" s="422">
        <v>31</v>
      </c>
      <c r="B38" s="424" t="s">
        <v>456</v>
      </c>
      <c r="C38" s="425" t="s">
        <v>457</v>
      </c>
      <c r="D38" s="422"/>
      <c r="E38" s="422"/>
      <c r="F38" s="422"/>
      <c r="G38" s="422"/>
      <c r="H38" s="422"/>
      <c r="I38" s="422"/>
      <c r="J38" s="422"/>
      <c r="K38" s="422"/>
      <c r="L38" s="422"/>
    </row>
    <row r="39" spans="1:12" s="419" customFormat="1" ht="14.25" customHeight="1" x14ac:dyDescent="0.25">
      <c r="A39" s="422">
        <v>32</v>
      </c>
      <c r="B39" s="422" t="s">
        <v>62</v>
      </c>
      <c r="C39" s="423" t="s">
        <v>63</v>
      </c>
      <c r="D39" s="422">
        <f t="shared" si="2"/>
        <v>374</v>
      </c>
      <c r="E39" s="422">
        <v>374</v>
      </c>
      <c r="F39" s="422"/>
      <c r="G39" s="422">
        <v>0</v>
      </c>
      <c r="H39" s="422">
        <v>0</v>
      </c>
      <c r="I39" s="422">
        <v>0</v>
      </c>
      <c r="J39" s="422">
        <v>0</v>
      </c>
      <c r="K39" s="422"/>
      <c r="L39" s="422"/>
    </row>
    <row r="40" spans="1:12" s="419" customFormat="1" x14ac:dyDescent="0.25">
      <c r="A40" s="422">
        <v>33</v>
      </c>
      <c r="B40" s="422" t="s">
        <v>64</v>
      </c>
      <c r="C40" s="423" t="s">
        <v>65</v>
      </c>
      <c r="D40" s="422">
        <f t="shared" si="2"/>
        <v>4170</v>
      </c>
      <c r="E40" s="422">
        <f>4208-38</f>
        <v>4170</v>
      </c>
      <c r="F40" s="422"/>
      <c r="G40" s="422">
        <v>0</v>
      </c>
      <c r="H40" s="422">
        <v>0</v>
      </c>
      <c r="I40" s="422">
        <v>0</v>
      </c>
      <c r="J40" s="422">
        <v>6</v>
      </c>
      <c r="K40" s="422"/>
      <c r="L40" s="422"/>
    </row>
    <row r="41" spans="1:12" s="419" customFormat="1" x14ac:dyDescent="0.25">
      <c r="A41" s="422">
        <v>34</v>
      </c>
      <c r="B41" s="422" t="s">
        <v>66</v>
      </c>
      <c r="C41" s="423" t="s">
        <v>67</v>
      </c>
      <c r="D41" s="422">
        <f t="shared" si="2"/>
        <v>6173</v>
      </c>
      <c r="E41" s="422">
        <f>6173+20+10-30</f>
        <v>6173</v>
      </c>
      <c r="F41" s="422"/>
      <c r="G41" s="422">
        <v>0</v>
      </c>
      <c r="H41" s="422">
        <f>71-30</f>
        <v>41</v>
      </c>
      <c r="I41" s="422">
        <v>0</v>
      </c>
      <c r="J41" s="422">
        <f>8+4+10</f>
        <v>22</v>
      </c>
      <c r="K41" s="422"/>
      <c r="L41" s="422"/>
    </row>
    <row r="42" spans="1:12" s="419" customFormat="1" x14ac:dyDescent="0.25">
      <c r="A42" s="422">
        <v>35</v>
      </c>
      <c r="B42" s="422" t="s">
        <v>320</v>
      </c>
      <c r="C42" s="423" t="s">
        <v>321</v>
      </c>
      <c r="D42" s="422">
        <f t="shared" si="2"/>
        <v>201</v>
      </c>
      <c r="E42" s="422">
        <v>201</v>
      </c>
      <c r="F42" s="422"/>
      <c r="G42" s="422">
        <v>0</v>
      </c>
      <c r="H42" s="422">
        <v>0</v>
      </c>
      <c r="I42" s="422">
        <v>0</v>
      </c>
      <c r="J42" s="422">
        <v>0</v>
      </c>
      <c r="K42" s="422"/>
      <c r="L42" s="422"/>
    </row>
    <row r="43" spans="1:12" s="419" customFormat="1" x14ac:dyDescent="0.25">
      <c r="A43" s="422">
        <v>36</v>
      </c>
      <c r="B43" s="422" t="s">
        <v>68</v>
      </c>
      <c r="C43" s="423" t="s">
        <v>69</v>
      </c>
      <c r="D43" s="422">
        <f t="shared" si="2"/>
        <v>1208</v>
      </c>
      <c r="E43" s="422">
        <v>1208</v>
      </c>
      <c r="F43" s="422"/>
      <c r="G43" s="422">
        <v>0</v>
      </c>
      <c r="H43" s="422">
        <v>0</v>
      </c>
      <c r="I43" s="422">
        <v>0</v>
      </c>
      <c r="J43" s="422">
        <v>0</v>
      </c>
      <c r="K43" s="422"/>
      <c r="L43" s="422"/>
    </row>
    <row r="44" spans="1:12" s="419" customFormat="1" x14ac:dyDescent="0.25">
      <c r="A44" s="422">
        <v>37</v>
      </c>
      <c r="B44" s="422" t="s">
        <v>70</v>
      </c>
      <c r="C44" s="423" t="s">
        <v>71</v>
      </c>
      <c r="D44" s="422">
        <f t="shared" si="2"/>
        <v>4041</v>
      </c>
      <c r="E44" s="422">
        <f>4027+11+3</f>
        <v>4041</v>
      </c>
      <c r="F44" s="422"/>
      <c r="G44" s="422">
        <v>0</v>
      </c>
      <c r="H44" s="422">
        <v>0</v>
      </c>
      <c r="I44" s="422">
        <v>0</v>
      </c>
      <c r="J44" s="422">
        <f>0+11+3</f>
        <v>14</v>
      </c>
      <c r="K44" s="422"/>
      <c r="L44" s="422"/>
    </row>
    <row r="45" spans="1:12" s="419" customFormat="1" x14ac:dyDescent="0.25">
      <c r="A45" s="422">
        <v>38</v>
      </c>
      <c r="B45" s="422" t="s">
        <v>72</v>
      </c>
      <c r="C45" s="423" t="s">
        <v>73</v>
      </c>
      <c r="D45" s="422">
        <f t="shared" si="2"/>
        <v>1535</v>
      </c>
      <c r="E45" s="422">
        <f>1538-1-2</f>
        <v>1535</v>
      </c>
      <c r="F45" s="422"/>
      <c r="G45" s="422">
        <v>0</v>
      </c>
      <c r="H45" s="422">
        <v>0</v>
      </c>
      <c r="I45" s="422">
        <v>0</v>
      </c>
      <c r="J45" s="422">
        <f>8-1-2</f>
        <v>5</v>
      </c>
      <c r="K45" s="422"/>
      <c r="L45" s="422"/>
    </row>
    <row r="46" spans="1:12" s="419" customFormat="1" x14ac:dyDescent="0.25">
      <c r="A46" s="422">
        <v>39</v>
      </c>
      <c r="B46" s="422" t="s">
        <v>74</v>
      </c>
      <c r="C46" s="423" t="s">
        <v>200</v>
      </c>
      <c r="D46" s="422">
        <f t="shared" si="2"/>
        <v>3919</v>
      </c>
      <c r="E46" s="422">
        <f>3929-11+1</f>
        <v>3919</v>
      </c>
      <c r="F46" s="422"/>
      <c r="G46" s="422">
        <v>0</v>
      </c>
      <c r="H46" s="422">
        <f>0+1</f>
        <v>1</v>
      </c>
      <c r="I46" s="422">
        <v>0</v>
      </c>
      <c r="J46" s="422">
        <f>25-11</f>
        <v>14</v>
      </c>
      <c r="K46" s="422"/>
      <c r="L46" s="422"/>
    </row>
    <row r="47" spans="1:12" s="419" customFormat="1" x14ac:dyDescent="0.25">
      <c r="A47" s="422">
        <v>40</v>
      </c>
      <c r="B47" s="422" t="s">
        <v>75</v>
      </c>
      <c r="C47" s="423" t="s">
        <v>201</v>
      </c>
      <c r="D47" s="422">
        <f t="shared" si="2"/>
        <v>1409</v>
      </c>
      <c r="E47" s="422">
        <v>1409</v>
      </c>
      <c r="F47" s="422"/>
      <c r="G47" s="422">
        <v>0</v>
      </c>
      <c r="H47" s="422">
        <v>0</v>
      </c>
      <c r="I47" s="422">
        <v>0</v>
      </c>
      <c r="J47" s="422">
        <v>0</v>
      </c>
      <c r="K47" s="422"/>
      <c r="L47" s="422"/>
    </row>
    <row r="48" spans="1:12" s="419" customFormat="1" x14ac:dyDescent="0.25">
      <c r="A48" s="422">
        <v>41</v>
      </c>
      <c r="B48" s="422" t="s">
        <v>76</v>
      </c>
      <c r="C48" s="423" t="s">
        <v>202</v>
      </c>
      <c r="D48" s="422">
        <f t="shared" si="2"/>
        <v>886</v>
      </c>
      <c r="E48" s="422">
        <v>886</v>
      </c>
      <c r="F48" s="422"/>
      <c r="G48" s="422">
        <v>0</v>
      </c>
      <c r="H48" s="422">
        <v>0</v>
      </c>
      <c r="I48" s="422">
        <v>0</v>
      </c>
      <c r="J48" s="422">
        <v>0</v>
      </c>
      <c r="K48" s="422"/>
      <c r="L48" s="422"/>
    </row>
    <row r="49" spans="1:12" s="419" customFormat="1" x14ac:dyDescent="0.25">
      <c r="A49" s="422">
        <v>42</v>
      </c>
      <c r="B49" s="422" t="s">
        <v>77</v>
      </c>
      <c r="C49" s="423" t="s">
        <v>78</v>
      </c>
      <c r="D49" s="422">
        <f t="shared" si="2"/>
        <v>1537</v>
      </c>
      <c r="E49" s="422">
        <v>1537</v>
      </c>
      <c r="F49" s="422"/>
      <c r="G49" s="422">
        <v>0</v>
      </c>
      <c r="H49" s="422">
        <v>0</v>
      </c>
      <c r="I49" s="422">
        <v>0</v>
      </c>
      <c r="J49" s="422">
        <f>2+2</f>
        <v>4</v>
      </c>
      <c r="K49" s="422"/>
      <c r="L49" s="422"/>
    </row>
    <row r="50" spans="1:12" s="419" customFormat="1" x14ac:dyDescent="0.25">
      <c r="A50" s="422">
        <v>43</v>
      </c>
      <c r="B50" s="422" t="s">
        <v>322</v>
      </c>
      <c r="C50" s="423" t="s">
        <v>323</v>
      </c>
      <c r="D50" s="422">
        <f t="shared" si="2"/>
        <v>711</v>
      </c>
      <c r="E50" s="422">
        <v>711</v>
      </c>
      <c r="F50" s="422"/>
      <c r="G50" s="422">
        <v>0</v>
      </c>
      <c r="H50" s="422">
        <v>0</v>
      </c>
      <c r="I50" s="422">
        <v>0</v>
      </c>
      <c r="J50" s="422">
        <v>0</v>
      </c>
      <c r="K50" s="422"/>
      <c r="L50" s="422"/>
    </row>
    <row r="51" spans="1:12" s="419" customFormat="1" x14ac:dyDescent="0.25">
      <c r="A51" s="422">
        <v>44</v>
      </c>
      <c r="B51" s="422" t="s">
        <v>79</v>
      </c>
      <c r="C51" s="423" t="s">
        <v>80</v>
      </c>
      <c r="D51" s="422">
        <f t="shared" si="2"/>
        <v>289</v>
      </c>
      <c r="E51" s="422">
        <v>289</v>
      </c>
      <c r="F51" s="422"/>
      <c r="G51" s="422">
        <v>0</v>
      </c>
      <c r="H51" s="422">
        <v>0</v>
      </c>
      <c r="I51" s="422">
        <v>0</v>
      </c>
      <c r="J51" s="422">
        <v>0</v>
      </c>
      <c r="K51" s="422">
        <v>60</v>
      </c>
      <c r="L51" s="422"/>
    </row>
    <row r="52" spans="1:12" s="419" customFormat="1" x14ac:dyDescent="0.25">
      <c r="A52" s="422">
        <v>45</v>
      </c>
      <c r="B52" s="422" t="s">
        <v>81</v>
      </c>
      <c r="C52" s="423" t="s">
        <v>82</v>
      </c>
      <c r="D52" s="422">
        <f t="shared" si="2"/>
        <v>5169</v>
      </c>
      <c r="E52" s="422">
        <f>5222+5-8-50</f>
        <v>5169</v>
      </c>
      <c r="F52" s="422"/>
      <c r="G52" s="422">
        <v>0</v>
      </c>
      <c r="H52" s="422">
        <f>61-50</f>
        <v>11</v>
      </c>
      <c r="I52" s="422">
        <v>60</v>
      </c>
      <c r="J52" s="422">
        <f>16-8</f>
        <v>8</v>
      </c>
      <c r="K52" s="422"/>
      <c r="L52" s="422"/>
    </row>
    <row r="53" spans="1:12" s="419" customFormat="1" x14ac:dyDescent="0.25">
      <c r="A53" s="422">
        <v>46</v>
      </c>
      <c r="B53" s="422" t="s">
        <v>83</v>
      </c>
      <c r="C53" s="423" t="s">
        <v>203</v>
      </c>
      <c r="D53" s="422">
        <f t="shared" si="2"/>
        <v>1288</v>
      </c>
      <c r="E53" s="422">
        <v>1288</v>
      </c>
      <c r="F53" s="422"/>
      <c r="G53" s="422">
        <v>0</v>
      </c>
      <c r="H53" s="422">
        <v>0</v>
      </c>
      <c r="I53" s="422">
        <v>0</v>
      </c>
      <c r="J53" s="422">
        <v>0</v>
      </c>
      <c r="K53" s="422"/>
      <c r="L53" s="422"/>
    </row>
    <row r="54" spans="1:12" s="419" customFormat="1" x14ac:dyDescent="0.25">
      <c r="A54" s="422">
        <v>47</v>
      </c>
      <c r="B54" s="422" t="s">
        <v>84</v>
      </c>
      <c r="C54" s="423" t="s">
        <v>85</v>
      </c>
      <c r="D54" s="422">
        <f t="shared" si="2"/>
        <v>4369</v>
      </c>
      <c r="E54" s="422">
        <f>4376-1-6</f>
        <v>4369</v>
      </c>
      <c r="F54" s="422"/>
      <c r="G54" s="422">
        <v>0</v>
      </c>
      <c r="H54" s="422">
        <v>0</v>
      </c>
      <c r="I54" s="422">
        <v>0</v>
      </c>
      <c r="J54" s="422">
        <f>8-1-6</f>
        <v>1</v>
      </c>
      <c r="K54" s="422"/>
      <c r="L54" s="422"/>
    </row>
    <row r="55" spans="1:12" s="419" customFormat="1" x14ac:dyDescent="0.25">
      <c r="A55" s="422">
        <v>48</v>
      </c>
      <c r="B55" s="422" t="s">
        <v>86</v>
      </c>
      <c r="C55" s="423" t="s">
        <v>87</v>
      </c>
      <c r="D55" s="422">
        <f t="shared" si="2"/>
        <v>981</v>
      </c>
      <c r="E55" s="422">
        <v>981</v>
      </c>
      <c r="F55" s="422"/>
      <c r="G55" s="422">
        <v>0</v>
      </c>
      <c r="H55" s="422">
        <v>0</v>
      </c>
      <c r="I55" s="422">
        <v>0</v>
      </c>
      <c r="J55" s="422">
        <v>0</v>
      </c>
      <c r="K55" s="422"/>
      <c r="L55" s="422"/>
    </row>
    <row r="56" spans="1:12" s="419" customFormat="1" x14ac:dyDescent="0.25">
      <c r="A56" s="422">
        <v>49</v>
      </c>
      <c r="B56" s="422" t="s">
        <v>88</v>
      </c>
      <c r="C56" s="423" t="s">
        <v>204</v>
      </c>
      <c r="D56" s="422">
        <f t="shared" si="2"/>
        <v>1506</v>
      </c>
      <c r="E56" s="422">
        <v>1506</v>
      </c>
      <c r="F56" s="422"/>
      <c r="G56" s="422">
        <v>0</v>
      </c>
      <c r="H56" s="422">
        <v>0</v>
      </c>
      <c r="I56" s="422">
        <v>0</v>
      </c>
      <c r="J56" s="422">
        <v>0</v>
      </c>
      <c r="K56" s="422"/>
      <c r="L56" s="422"/>
    </row>
    <row r="57" spans="1:12" s="419" customFormat="1" x14ac:dyDescent="0.25">
      <c r="A57" s="422">
        <v>50</v>
      </c>
      <c r="B57" s="422" t="s">
        <v>89</v>
      </c>
      <c r="C57" s="423" t="s">
        <v>90</v>
      </c>
      <c r="D57" s="422">
        <f t="shared" si="2"/>
        <v>1789</v>
      </c>
      <c r="E57" s="422">
        <v>1789</v>
      </c>
      <c r="F57" s="422"/>
      <c r="G57" s="422">
        <v>0</v>
      </c>
      <c r="H57" s="422">
        <v>0</v>
      </c>
      <c r="I57" s="422">
        <v>0</v>
      </c>
      <c r="J57" s="422">
        <v>0</v>
      </c>
      <c r="K57" s="422"/>
      <c r="L57" s="422"/>
    </row>
    <row r="58" spans="1:12" s="419" customFormat="1" x14ac:dyDescent="0.25">
      <c r="A58" s="422">
        <v>51</v>
      </c>
      <c r="B58" s="422" t="s">
        <v>91</v>
      </c>
      <c r="C58" s="423" t="s">
        <v>92</v>
      </c>
      <c r="D58" s="422">
        <f t="shared" si="2"/>
        <v>609</v>
      </c>
      <c r="E58" s="422">
        <v>609</v>
      </c>
      <c r="F58" s="422"/>
      <c r="G58" s="422">
        <v>0</v>
      </c>
      <c r="H58" s="422">
        <v>0</v>
      </c>
      <c r="I58" s="422">
        <v>0</v>
      </c>
      <c r="J58" s="422">
        <v>0</v>
      </c>
      <c r="K58" s="422"/>
      <c r="L58" s="422"/>
    </row>
    <row r="59" spans="1:12" s="419" customFormat="1" x14ac:dyDescent="0.25">
      <c r="A59" s="422">
        <v>52</v>
      </c>
      <c r="B59" s="422" t="s">
        <v>93</v>
      </c>
      <c r="C59" s="423" t="s">
        <v>94</v>
      </c>
      <c r="D59" s="422">
        <f t="shared" si="2"/>
        <v>1232</v>
      </c>
      <c r="E59" s="422">
        <f>1217+15</f>
        <v>1232</v>
      </c>
      <c r="F59" s="422"/>
      <c r="G59" s="422">
        <v>0</v>
      </c>
      <c r="H59" s="422">
        <v>0</v>
      </c>
      <c r="I59" s="422">
        <v>0</v>
      </c>
      <c r="J59" s="422">
        <v>0</v>
      </c>
      <c r="K59" s="422"/>
      <c r="L59" s="422"/>
    </row>
    <row r="60" spans="1:12" s="419" customFormat="1" x14ac:dyDescent="0.25">
      <c r="A60" s="422">
        <v>53</v>
      </c>
      <c r="B60" s="422" t="s">
        <v>95</v>
      </c>
      <c r="C60" s="423" t="s">
        <v>205</v>
      </c>
      <c r="D60" s="422">
        <f t="shared" si="2"/>
        <v>1829</v>
      </c>
      <c r="E60" s="422">
        <v>1829</v>
      </c>
      <c r="F60" s="422"/>
      <c r="G60" s="422">
        <v>0</v>
      </c>
      <c r="H60" s="422">
        <v>0</v>
      </c>
      <c r="I60" s="422">
        <v>0</v>
      </c>
      <c r="J60" s="422">
        <v>0</v>
      </c>
      <c r="K60" s="422"/>
      <c r="L60" s="422"/>
    </row>
    <row r="61" spans="1:12" s="419" customFormat="1" x14ac:dyDescent="0.25">
      <c r="A61" s="422">
        <v>54</v>
      </c>
      <c r="B61" s="422" t="s">
        <v>96</v>
      </c>
      <c r="C61" s="423" t="s">
        <v>97</v>
      </c>
      <c r="D61" s="422">
        <f t="shared" si="2"/>
        <v>6272</v>
      </c>
      <c r="E61" s="422">
        <v>6272</v>
      </c>
      <c r="F61" s="422"/>
      <c r="G61" s="422">
        <v>0</v>
      </c>
      <c r="H61" s="422">
        <v>0</v>
      </c>
      <c r="I61" s="422">
        <v>14</v>
      </c>
      <c r="J61" s="422">
        <v>11</v>
      </c>
      <c r="K61" s="422"/>
      <c r="L61" s="422"/>
    </row>
    <row r="62" spans="1:12" s="419" customFormat="1" x14ac:dyDescent="0.25">
      <c r="A62" s="422">
        <v>55</v>
      </c>
      <c r="B62" s="422" t="s">
        <v>98</v>
      </c>
      <c r="C62" s="423" t="s">
        <v>206</v>
      </c>
      <c r="D62" s="422">
        <f t="shared" si="2"/>
        <v>995</v>
      </c>
      <c r="E62" s="422">
        <v>995</v>
      </c>
      <c r="F62" s="422"/>
      <c r="G62" s="422">
        <v>0</v>
      </c>
      <c r="H62" s="422">
        <v>0</v>
      </c>
      <c r="I62" s="422">
        <v>0</v>
      </c>
      <c r="J62" s="422">
        <v>0</v>
      </c>
      <c r="K62" s="422"/>
      <c r="L62" s="422"/>
    </row>
    <row r="63" spans="1:12" s="419" customFormat="1" ht="12" customHeight="1" x14ac:dyDescent="0.25">
      <c r="A63" s="422">
        <v>56</v>
      </c>
      <c r="B63" s="422" t="s">
        <v>325</v>
      </c>
      <c r="C63" s="423" t="s">
        <v>465</v>
      </c>
      <c r="D63" s="422">
        <f t="shared" si="2"/>
        <v>5</v>
      </c>
      <c r="E63" s="422">
        <v>5</v>
      </c>
      <c r="F63" s="422"/>
      <c r="G63" s="422">
        <v>0</v>
      </c>
      <c r="H63" s="422">
        <v>0</v>
      </c>
      <c r="I63" s="422">
        <v>0</v>
      </c>
      <c r="J63" s="422">
        <v>0</v>
      </c>
      <c r="K63" s="422"/>
      <c r="L63" s="422"/>
    </row>
    <row r="64" spans="1:12" s="419" customFormat="1" ht="12" customHeight="1" x14ac:dyDescent="0.25">
      <c r="A64" s="422">
        <v>57</v>
      </c>
      <c r="B64" s="428" t="s">
        <v>466</v>
      </c>
      <c r="C64" s="429" t="s">
        <v>467</v>
      </c>
      <c r="D64" s="422"/>
      <c r="E64" s="422"/>
      <c r="F64" s="422"/>
      <c r="G64" s="422"/>
      <c r="H64" s="422">
        <v>0</v>
      </c>
      <c r="I64" s="422"/>
      <c r="J64" s="422"/>
      <c r="K64" s="422"/>
      <c r="L64" s="422"/>
    </row>
    <row r="65" spans="1:13" s="419" customFormat="1" ht="12" customHeight="1" x14ac:dyDescent="0.25">
      <c r="A65" s="422">
        <v>58</v>
      </c>
      <c r="B65" s="422" t="s">
        <v>99</v>
      </c>
      <c r="C65" s="423" t="s">
        <v>100</v>
      </c>
      <c r="D65" s="422">
        <f t="shared" si="2"/>
        <v>2218</v>
      </c>
      <c r="E65" s="422">
        <v>2218</v>
      </c>
      <c r="F65" s="422"/>
      <c r="G65" s="422">
        <v>0</v>
      </c>
      <c r="H65" s="422">
        <v>0</v>
      </c>
      <c r="I65" s="422">
        <v>60</v>
      </c>
      <c r="J65" s="422">
        <v>0</v>
      </c>
      <c r="K65" s="422"/>
      <c r="L65" s="422"/>
    </row>
    <row r="66" spans="1:13" s="419" customFormat="1" ht="12" customHeight="1" x14ac:dyDescent="0.25">
      <c r="A66" s="422">
        <v>59</v>
      </c>
      <c r="B66" s="422" t="s">
        <v>101</v>
      </c>
      <c r="C66" s="423" t="s">
        <v>235</v>
      </c>
      <c r="D66" s="422">
        <f t="shared" si="2"/>
        <v>1839</v>
      </c>
      <c r="E66" s="422">
        <v>1839</v>
      </c>
      <c r="F66" s="422"/>
      <c r="G66" s="422">
        <v>0</v>
      </c>
      <c r="H66" s="422">
        <v>0</v>
      </c>
      <c r="I66" s="422">
        <v>30</v>
      </c>
      <c r="J66" s="422">
        <v>0</v>
      </c>
      <c r="K66" s="422"/>
      <c r="L66" s="422"/>
    </row>
    <row r="67" spans="1:13" s="419" customFormat="1" ht="12" customHeight="1" x14ac:dyDescent="0.25">
      <c r="A67" s="422">
        <v>60</v>
      </c>
      <c r="B67" s="422" t="s">
        <v>102</v>
      </c>
      <c r="C67" s="423" t="s">
        <v>103</v>
      </c>
      <c r="D67" s="422">
        <f t="shared" si="2"/>
        <v>2624</v>
      </c>
      <c r="E67" s="422">
        <v>2624</v>
      </c>
      <c r="F67" s="422"/>
      <c r="G67" s="422">
        <v>0</v>
      </c>
      <c r="H67" s="422">
        <v>0</v>
      </c>
      <c r="I67" s="422">
        <v>30</v>
      </c>
      <c r="J67" s="422">
        <v>0</v>
      </c>
      <c r="K67" s="422"/>
      <c r="L67" s="422"/>
    </row>
    <row r="68" spans="1:13" s="419" customFormat="1" ht="12" customHeight="1" x14ac:dyDescent="0.25">
      <c r="A68" s="422">
        <v>61</v>
      </c>
      <c r="B68" s="422" t="s">
        <v>104</v>
      </c>
      <c r="C68" s="423" t="s">
        <v>236</v>
      </c>
      <c r="D68" s="422">
        <f t="shared" si="2"/>
        <v>3062</v>
      </c>
      <c r="E68" s="422">
        <v>3062</v>
      </c>
      <c r="F68" s="422"/>
      <c r="G68" s="422">
        <v>0</v>
      </c>
      <c r="H68" s="422">
        <v>0</v>
      </c>
      <c r="I68" s="422">
        <v>100</v>
      </c>
      <c r="J68" s="422">
        <v>0</v>
      </c>
      <c r="K68" s="422"/>
      <c r="L68" s="422"/>
    </row>
    <row r="69" spans="1:13" s="419" customFormat="1" ht="12" customHeight="1" x14ac:dyDescent="0.25">
      <c r="A69" s="422">
        <v>62</v>
      </c>
      <c r="B69" s="422" t="s">
        <v>105</v>
      </c>
      <c r="C69" s="423" t="s">
        <v>106</v>
      </c>
      <c r="D69" s="422">
        <f t="shared" si="2"/>
        <v>1228</v>
      </c>
      <c r="E69" s="422">
        <f>1224+3+1</f>
        <v>1228</v>
      </c>
      <c r="F69" s="422"/>
      <c r="G69" s="422">
        <v>0</v>
      </c>
      <c r="H69" s="422">
        <v>0</v>
      </c>
      <c r="I69" s="422">
        <v>80</v>
      </c>
      <c r="J69" s="422">
        <f>3+1</f>
        <v>4</v>
      </c>
      <c r="K69" s="422"/>
      <c r="L69" s="422"/>
    </row>
    <row r="70" spans="1:13" s="419" customFormat="1" ht="12" customHeight="1" x14ac:dyDescent="0.25">
      <c r="A70" s="422">
        <v>63</v>
      </c>
      <c r="B70" s="424" t="s">
        <v>332</v>
      </c>
      <c r="C70" s="429" t="s">
        <v>574</v>
      </c>
      <c r="D70" s="422"/>
      <c r="E70" s="422"/>
      <c r="F70" s="422"/>
      <c r="G70" s="422"/>
      <c r="H70" s="422">
        <v>0</v>
      </c>
      <c r="I70" s="422"/>
      <c r="J70" s="422"/>
      <c r="K70" s="422"/>
      <c r="L70" s="422"/>
    </row>
    <row r="71" spans="1:13" s="419" customFormat="1" ht="12" customHeight="1" x14ac:dyDescent="0.25">
      <c r="A71" s="422">
        <v>64</v>
      </c>
      <c r="B71" s="424" t="s">
        <v>334</v>
      </c>
      <c r="C71" s="429" t="s">
        <v>575</v>
      </c>
      <c r="D71" s="422"/>
      <c r="E71" s="422"/>
      <c r="F71" s="422"/>
      <c r="G71" s="422"/>
      <c r="H71" s="422">
        <v>0</v>
      </c>
      <c r="I71" s="422"/>
      <c r="J71" s="422"/>
      <c r="K71" s="422"/>
      <c r="L71" s="422"/>
    </row>
    <row r="72" spans="1:13" s="419" customFormat="1" x14ac:dyDescent="0.25">
      <c r="A72" s="422">
        <v>65</v>
      </c>
      <c r="B72" s="422" t="s">
        <v>107</v>
      </c>
      <c r="C72" s="423" t="s">
        <v>210</v>
      </c>
      <c r="D72" s="422">
        <f t="shared" ref="D72:D133" si="3">E72+L72</f>
        <v>3039</v>
      </c>
      <c r="E72" s="422">
        <v>3039</v>
      </c>
      <c r="F72" s="422"/>
      <c r="G72" s="422">
        <v>0</v>
      </c>
      <c r="H72" s="422">
        <v>0</v>
      </c>
      <c r="I72" s="422">
        <v>0</v>
      </c>
      <c r="J72" s="422">
        <v>0</v>
      </c>
      <c r="K72" s="422"/>
      <c r="L72" s="422"/>
    </row>
    <row r="73" spans="1:13" ht="12" x14ac:dyDescent="0.2">
      <c r="A73" s="422">
        <v>66</v>
      </c>
      <c r="B73" s="422" t="s">
        <v>108</v>
      </c>
      <c r="C73" s="423" t="s">
        <v>211</v>
      </c>
      <c r="D73" s="422">
        <f t="shared" si="3"/>
        <v>1647</v>
      </c>
      <c r="E73" s="422">
        <v>1647</v>
      </c>
      <c r="F73" s="422"/>
      <c r="G73" s="422">
        <v>0</v>
      </c>
      <c r="H73" s="422">
        <v>0</v>
      </c>
      <c r="I73" s="422">
        <v>0</v>
      </c>
      <c r="J73" s="422">
        <v>0</v>
      </c>
      <c r="K73" s="422"/>
      <c r="L73" s="422"/>
      <c r="M73" s="432"/>
    </row>
    <row r="74" spans="1:13" ht="12.75" customHeight="1" x14ac:dyDescent="0.2">
      <c r="A74" s="422">
        <v>67</v>
      </c>
      <c r="B74" s="422" t="s">
        <v>109</v>
      </c>
      <c r="C74" s="423" t="s">
        <v>212</v>
      </c>
      <c r="D74" s="422">
        <f t="shared" si="3"/>
        <v>2676</v>
      </c>
      <c r="E74" s="422">
        <f>2871-195</f>
        <v>2676</v>
      </c>
      <c r="F74" s="422"/>
      <c r="G74" s="422">
        <v>0</v>
      </c>
      <c r="H74" s="422">
        <f>1100-195</f>
        <v>905</v>
      </c>
      <c r="I74" s="422">
        <v>0</v>
      </c>
      <c r="J74" s="422">
        <v>0</v>
      </c>
      <c r="K74" s="422"/>
      <c r="L74" s="422"/>
      <c r="M74" s="432"/>
    </row>
    <row r="75" spans="1:13" ht="12.75" customHeight="1" x14ac:dyDescent="0.2">
      <c r="A75" s="422">
        <v>68</v>
      </c>
      <c r="B75" s="422" t="s">
        <v>110</v>
      </c>
      <c r="C75" s="423" t="s">
        <v>213</v>
      </c>
      <c r="D75" s="422">
        <f t="shared" si="3"/>
        <v>1220</v>
      </c>
      <c r="E75" s="422">
        <v>1220</v>
      </c>
      <c r="F75" s="422"/>
      <c r="G75" s="422">
        <v>0</v>
      </c>
      <c r="H75" s="422">
        <v>0</v>
      </c>
      <c r="I75" s="422">
        <v>0</v>
      </c>
      <c r="J75" s="422">
        <v>0</v>
      </c>
      <c r="K75" s="422"/>
      <c r="L75" s="422"/>
      <c r="M75" s="432"/>
    </row>
    <row r="76" spans="1:13" ht="12.75" customHeight="1" x14ac:dyDescent="0.2">
      <c r="A76" s="422">
        <v>69</v>
      </c>
      <c r="B76" s="422" t="s">
        <v>111</v>
      </c>
      <c r="C76" s="423" t="s">
        <v>214</v>
      </c>
      <c r="D76" s="422">
        <f t="shared" si="3"/>
        <v>3536</v>
      </c>
      <c r="E76" s="422">
        <f>3586+8-58</f>
        <v>3536</v>
      </c>
      <c r="F76" s="422"/>
      <c r="G76" s="422">
        <v>0</v>
      </c>
      <c r="H76" s="422">
        <f>88-58</f>
        <v>30</v>
      </c>
      <c r="I76" s="422">
        <v>0</v>
      </c>
      <c r="J76" s="422">
        <v>0</v>
      </c>
      <c r="K76" s="422"/>
      <c r="L76" s="422"/>
      <c r="M76" s="432"/>
    </row>
    <row r="77" spans="1:13" ht="12.75" customHeight="1" x14ac:dyDescent="0.2">
      <c r="A77" s="422">
        <v>70</v>
      </c>
      <c r="B77" s="422" t="s">
        <v>112</v>
      </c>
      <c r="C77" s="423" t="s">
        <v>113</v>
      </c>
      <c r="D77" s="422">
        <f t="shared" si="3"/>
        <v>1877</v>
      </c>
      <c r="E77" s="422">
        <f>1822+55</f>
        <v>1877</v>
      </c>
      <c r="F77" s="422"/>
      <c r="G77" s="422">
        <v>0</v>
      </c>
      <c r="H77" s="422"/>
      <c r="I77" s="422">
        <v>0</v>
      </c>
      <c r="J77" s="422">
        <v>0</v>
      </c>
      <c r="K77" s="422"/>
      <c r="L77" s="422"/>
      <c r="M77" s="432"/>
    </row>
    <row r="78" spans="1:13" ht="12.75" customHeight="1" x14ac:dyDescent="0.2">
      <c r="A78" s="422">
        <v>71</v>
      </c>
      <c r="B78" s="422" t="s">
        <v>114</v>
      </c>
      <c r="C78" s="423" t="s">
        <v>115</v>
      </c>
      <c r="D78" s="422">
        <f t="shared" si="3"/>
        <v>1979</v>
      </c>
      <c r="E78" s="422">
        <v>1979</v>
      </c>
      <c r="F78" s="422"/>
      <c r="G78" s="422">
        <v>0</v>
      </c>
      <c r="H78" s="422"/>
      <c r="I78" s="422">
        <v>0</v>
      </c>
      <c r="J78" s="422">
        <v>0</v>
      </c>
      <c r="K78" s="422"/>
      <c r="L78" s="422"/>
      <c r="M78" s="432"/>
    </row>
    <row r="79" spans="1:13" ht="12.75" customHeight="1" x14ac:dyDescent="0.2">
      <c r="A79" s="422">
        <v>72</v>
      </c>
      <c r="B79" s="422" t="s">
        <v>116</v>
      </c>
      <c r="C79" s="423" t="s">
        <v>117</v>
      </c>
      <c r="D79" s="422">
        <f t="shared" si="3"/>
        <v>1088</v>
      </c>
      <c r="E79" s="422">
        <v>1088</v>
      </c>
      <c r="F79" s="422"/>
      <c r="G79" s="422">
        <v>0</v>
      </c>
      <c r="H79" s="422"/>
      <c r="I79" s="422">
        <v>0</v>
      </c>
      <c r="J79" s="422">
        <v>0</v>
      </c>
      <c r="K79" s="422"/>
      <c r="L79" s="422"/>
      <c r="M79" s="432"/>
    </row>
    <row r="80" spans="1:13" ht="12.75" customHeight="1" x14ac:dyDescent="0.2">
      <c r="A80" s="422">
        <v>73</v>
      </c>
      <c r="B80" s="422" t="s">
        <v>118</v>
      </c>
      <c r="C80" s="423" t="s">
        <v>215</v>
      </c>
      <c r="D80" s="422">
        <f t="shared" si="3"/>
        <v>3509</v>
      </c>
      <c r="E80" s="422">
        <f>3539-30</f>
        <v>3509</v>
      </c>
      <c r="F80" s="422"/>
      <c r="G80" s="422">
        <v>0</v>
      </c>
      <c r="H80" s="422">
        <f>58-30</f>
        <v>28</v>
      </c>
      <c r="I80" s="422">
        <v>0</v>
      </c>
      <c r="J80" s="422">
        <v>0</v>
      </c>
      <c r="K80" s="422"/>
      <c r="L80" s="422"/>
      <c r="M80" s="432"/>
    </row>
    <row r="81" spans="1:13" ht="12.75" customHeight="1" x14ac:dyDescent="0.2">
      <c r="A81" s="422">
        <v>74</v>
      </c>
      <c r="B81" s="422" t="s">
        <v>119</v>
      </c>
      <c r="C81" s="423" t="s">
        <v>120</v>
      </c>
      <c r="D81" s="422">
        <f t="shared" si="3"/>
        <v>1583</v>
      </c>
      <c r="E81" s="422">
        <v>1583</v>
      </c>
      <c r="F81" s="422"/>
      <c r="G81" s="422">
        <v>0</v>
      </c>
      <c r="H81" s="422"/>
      <c r="I81" s="422">
        <v>0</v>
      </c>
      <c r="J81" s="422">
        <v>0</v>
      </c>
      <c r="K81" s="422"/>
      <c r="L81" s="422"/>
      <c r="M81" s="432"/>
    </row>
    <row r="82" spans="1:13" ht="12.75" customHeight="1" x14ac:dyDescent="0.2">
      <c r="A82" s="422">
        <v>75</v>
      </c>
      <c r="B82" s="422" t="s">
        <v>121</v>
      </c>
      <c r="C82" s="423" t="s">
        <v>122</v>
      </c>
      <c r="D82" s="422">
        <f t="shared" si="3"/>
        <v>1438</v>
      </c>
      <c r="E82" s="422">
        <f>1376+62</f>
        <v>1438</v>
      </c>
      <c r="F82" s="422"/>
      <c r="G82" s="422">
        <v>0</v>
      </c>
      <c r="H82" s="422">
        <v>0</v>
      </c>
      <c r="I82" s="422">
        <v>0</v>
      </c>
      <c r="J82" s="422">
        <v>0</v>
      </c>
      <c r="K82" s="422"/>
      <c r="L82" s="422"/>
      <c r="M82" s="432"/>
    </row>
    <row r="83" spans="1:13" s="419" customFormat="1" ht="28.5" customHeight="1" x14ac:dyDescent="0.25">
      <c r="A83" s="422">
        <v>76</v>
      </c>
      <c r="B83" s="433" t="s">
        <v>347</v>
      </c>
      <c r="C83" s="434" t="s">
        <v>576</v>
      </c>
      <c r="D83" s="422"/>
      <c r="E83" s="422"/>
      <c r="F83" s="422"/>
      <c r="G83" s="422"/>
      <c r="H83" s="422"/>
      <c r="I83" s="422"/>
      <c r="J83" s="422"/>
      <c r="K83" s="422"/>
      <c r="L83" s="422"/>
    </row>
    <row r="84" spans="1:13" s="419" customFormat="1" ht="28.5" customHeight="1" x14ac:dyDescent="0.25">
      <c r="A84" s="422">
        <v>77</v>
      </c>
      <c r="B84" s="424" t="s">
        <v>349</v>
      </c>
      <c r="C84" s="429" t="s">
        <v>577</v>
      </c>
      <c r="D84" s="422"/>
      <c r="E84" s="422"/>
      <c r="F84" s="422"/>
      <c r="G84" s="422"/>
      <c r="H84" s="422"/>
      <c r="I84" s="422"/>
      <c r="J84" s="422"/>
      <c r="K84" s="422"/>
      <c r="L84" s="422"/>
    </row>
    <row r="85" spans="1:13" s="419" customFormat="1" ht="28.5" customHeight="1" x14ac:dyDescent="0.25">
      <c r="A85" s="422">
        <v>78</v>
      </c>
      <c r="B85" s="430" t="s">
        <v>351</v>
      </c>
      <c r="C85" s="429" t="s">
        <v>578</v>
      </c>
      <c r="D85" s="422"/>
      <c r="E85" s="422"/>
      <c r="F85" s="422"/>
      <c r="G85" s="422"/>
      <c r="H85" s="422"/>
      <c r="I85" s="422"/>
      <c r="J85" s="422"/>
      <c r="K85" s="422"/>
      <c r="L85" s="422"/>
    </row>
    <row r="86" spans="1:13" s="419" customFormat="1" ht="28.5" customHeight="1" x14ac:dyDescent="0.25">
      <c r="A86" s="422">
        <v>79</v>
      </c>
      <c r="B86" s="430" t="s">
        <v>353</v>
      </c>
      <c r="C86" s="429" t="s">
        <v>579</v>
      </c>
      <c r="D86" s="422"/>
      <c r="E86" s="422"/>
      <c r="F86" s="422"/>
      <c r="G86" s="422"/>
      <c r="H86" s="422"/>
      <c r="I86" s="422"/>
      <c r="J86" s="422"/>
      <c r="K86" s="422"/>
      <c r="L86" s="422"/>
    </row>
    <row r="87" spans="1:13" s="419" customFormat="1" ht="28.5" customHeight="1" x14ac:dyDescent="0.25">
      <c r="A87" s="422">
        <v>80</v>
      </c>
      <c r="B87" s="424" t="s">
        <v>355</v>
      </c>
      <c r="C87" s="429" t="s">
        <v>580</v>
      </c>
      <c r="D87" s="422"/>
      <c r="E87" s="422"/>
      <c r="F87" s="422"/>
      <c r="G87" s="422"/>
      <c r="H87" s="422"/>
      <c r="I87" s="422"/>
      <c r="J87" s="422"/>
      <c r="K87" s="422"/>
      <c r="L87" s="422"/>
    </row>
    <row r="88" spans="1:13" s="419" customFormat="1" ht="28.5" customHeight="1" x14ac:dyDescent="0.25">
      <c r="A88" s="422">
        <v>81</v>
      </c>
      <c r="B88" s="424" t="s">
        <v>357</v>
      </c>
      <c r="C88" s="429" t="s">
        <v>581</v>
      </c>
      <c r="D88" s="422"/>
      <c r="E88" s="422"/>
      <c r="F88" s="422"/>
      <c r="G88" s="422"/>
      <c r="H88" s="422"/>
      <c r="I88" s="422"/>
      <c r="J88" s="422"/>
      <c r="K88" s="422"/>
      <c r="L88" s="422"/>
    </row>
    <row r="89" spans="1:13" s="419" customFormat="1" ht="28.5" customHeight="1" x14ac:dyDescent="0.25">
      <c r="A89" s="422">
        <v>82</v>
      </c>
      <c r="B89" s="424" t="s">
        <v>359</v>
      </c>
      <c r="C89" s="429" t="s">
        <v>582</v>
      </c>
      <c r="D89" s="422"/>
      <c r="E89" s="422"/>
      <c r="F89" s="422"/>
      <c r="G89" s="422"/>
      <c r="H89" s="422"/>
      <c r="I89" s="422"/>
      <c r="J89" s="422"/>
      <c r="K89" s="422"/>
      <c r="L89" s="422"/>
    </row>
    <row r="90" spans="1:13" s="419" customFormat="1" ht="12.75" customHeight="1" x14ac:dyDescent="0.25">
      <c r="A90" s="422">
        <v>83</v>
      </c>
      <c r="B90" s="422" t="s">
        <v>123</v>
      </c>
      <c r="C90" s="423" t="s">
        <v>124</v>
      </c>
      <c r="D90" s="422">
        <f t="shared" si="3"/>
        <v>3256</v>
      </c>
      <c r="E90" s="422">
        <v>3256</v>
      </c>
      <c r="F90" s="422"/>
      <c r="G90" s="422">
        <v>0</v>
      </c>
      <c r="H90" s="422">
        <v>0</v>
      </c>
      <c r="I90" s="422">
        <v>0</v>
      </c>
      <c r="J90" s="422">
        <v>0</v>
      </c>
      <c r="K90" s="422"/>
      <c r="L90" s="422"/>
    </row>
    <row r="91" spans="1:13" s="419" customFormat="1" x14ac:dyDescent="0.25">
      <c r="A91" s="422">
        <v>84</v>
      </c>
      <c r="B91" s="422" t="s">
        <v>125</v>
      </c>
      <c r="C91" s="423" t="s">
        <v>209</v>
      </c>
      <c r="D91" s="422">
        <f t="shared" si="3"/>
        <v>2582</v>
      </c>
      <c r="E91" s="422">
        <v>2582</v>
      </c>
      <c r="F91" s="422"/>
      <c r="G91" s="422">
        <v>0</v>
      </c>
      <c r="H91" s="422">
        <v>0</v>
      </c>
      <c r="I91" s="422">
        <v>299</v>
      </c>
      <c r="J91" s="422">
        <v>0</v>
      </c>
      <c r="K91" s="422"/>
      <c r="L91" s="422"/>
    </row>
    <row r="92" spans="1:13" s="419" customFormat="1" x14ac:dyDescent="0.25">
      <c r="A92" s="422">
        <v>85</v>
      </c>
      <c r="B92" s="422" t="s">
        <v>126</v>
      </c>
      <c r="C92" s="423" t="s">
        <v>127</v>
      </c>
      <c r="D92" s="422">
        <f t="shared" si="3"/>
        <v>1796</v>
      </c>
      <c r="E92" s="422">
        <f>1819-23</f>
        <v>1796</v>
      </c>
      <c r="F92" s="422"/>
      <c r="G92" s="422">
        <v>0</v>
      </c>
      <c r="H92" s="422">
        <v>0</v>
      </c>
      <c r="I92" s="422">
        <v>0</v>
      </c>
      <c r="J92" s="422">
        <v>0</v>
      </c>
      <c r="K92" s="422"/>
      <c r="L92" s="422"/>
    </row>
    <row r="93" spans="1:13" s="419" customFormat="1" x14ac:dyDescent="0.25">
      <c r="A93" s="422">
        <v>86</v>
      </c>
      <c r="B93" s="422" t="s">
        <v>128</v>
      </c>
      <c r="C93" s="423" t="s">
        <v>129</v>
      </c>
      <c r="D93" s="422">
        <f t="shared" si="3"/>
        <v>1160</v>
      </c>
      <c r="E93" s="422">
        <v>1160</v>
      </c>
      <c r="F93" s="422"/>
      <c r="G93" s="422">
        <v>0</v>
      </c>
      <c r="H93" s="422">
        <v>0</v>
      </c>
      <c r="I93" s="422">
        <v>0</v>
      </c>
      <c r="J93" s="422">
        <v>0</v>
      </c>
      <c r="K93" s="422"/>
      <c r="L93" s="422"/>
    </row>
    <row r="94" spans="1:13" s="419" customFormat="1" x14ac:dyDescent="0.25">
      <c r="A94" s="422">
        <v>87</v>
      </c>
      <c r="B94" s="422" t="s">
        <v>130</v>
      </c>
      <c r="C94" s="423" t="s">
        <v>207</v>
      </c>
      <c r="D94" s="422">
        <f t="shared" si="3"/>
        <v>2041</v>
      </c>
      <c r="E94" s="422">
        <f>2066-25</f>
        <v>2041</v>
      </c>
      <c r="F94" s="422"/>
      <c r="G94" s="422">
        <v>0</v>
      </c>
      <c r="H94" s="422">
        <v>0</v>
      </c>
      <c r="I94" s="422">
        <v>429</v>
      </c>
      <c r="J94" s="422">
        <v>0</v>
      </c>
      <c r="K94" s="422"/>
      <c r="L94" s="422"/>
    </row>
    <row r="95" spans="1:13" s="419" customFormat="1" x14ac:dyDescent="0.25">
      <c r="A95" s="422">
        <v>88</v>
      </c>
      <c r="B95" s="422" t="s">
        <v>131</v>
      </c>
      <c r="C95" s="423" t="s">
        <v>132</v>
      </c>
      <c r="D95" s="422">
        <f t="shared" si="3"/>
        <v>7397</v>
      </c>
      <c r="E95" s="422">
        <f>7696-67+28-260</f>
        <v>7397</v>
      </c>
      <c r="F95" s="422"/>
      <c r="G95" s="422">
        <v>0</v>
      </c>
      <c r="H95" s="422">
        <f>812-260</f>
        <v>552</v>
      </c>
      <c r="I95" s="422">
        <v>358</v>
      </c>
      <c r="J95" s="422">
        <v>0</v>
      </c>
      <c r="K95" s="422"/>
      <c r="L95" s="422"/>
    </row>
    <row r="96" spans="1:13" s="419" customFormat="1" x14ac:dyDescent="0.25">
      <c r="A96" s="422">
        <v>89</v>
      </c>
      <c r="B96" s="422" t="s">
        <v>133</v>
      </c>
      <c r="C96" s="423" t="s">
        <v>134</v>
      </c>
      <c r="D96" s="422">
        <f t="shared" si="3"/>
        <v>1972</v>
      </c>
      <c r="E96" s="422">
        <v>1972</v>
      </c>
      <c r="F96" s="422"/>
      <c r="G96" s="422">
        <v>0</v>
      </c>
      <c r="H96" s="422">
        <v>0</v>
      </c>
      <c r="I96" s="422">
        <v>168</v>
      </c>
      <c r="J96" s="422">
        <v>0</v>
      </c>
      <c r="K96" s="422"/>
      <c r="L96" s="422"/>
    </row>
    <row r="97" spans="1:12" s="419" customFormat="1" x14ac:dyDescent="0.25">
      <c r="A97" s="422">
        <v>90</v>
      </c>
      <c r="B97" s="422" t="s">
        <v>9</v>
      </c>
      <c r="C97" s="423" t="s">
        <v>208</v>
      </c>
      <c r="D97" s="422">
        <f t="shared" si="3"/>
        <v>2289</v>
      </c>
      <c r="E97" s="422">
        <f>2429-140</f>
        <v>2289</v>
      </c>
      <c r="F97" s="422"/>
      <c r="G97" s="422">
        <v>0</v>
      </c>
      <c r="H97" s="422">
        <f>264-140</f>
        <v>124</v>
      </c>
      <c r="I97" s="422">
        <v>175</v>
      </c>
      <c r="J97" s="422">
        <v>0</v>
      </c>
      <c r="K97" s="422"/>
      <c r="L97" s="422"/>
    </row>
    <row r="98" spans="1:12" s="419" customFormat="1" x14ac:dyDescent="0.25">
      <c r="A98" s="422">
        <v>91</v>
      </c>
      <c r="B98" s="422" t="s">
        <v>135</v>
      </c>
      <c r="C98" s="423" t="s">
        <v>136</v>
      </c>
      <c r="D98" s="422">
        <f t="shared" si="3"/>
        <v>677</v>
      </c>
      <c r="E98" s="422">
        <v>677</v>
      </c>
      <c r="F98" s="422"/>
      <c r="G98" s="422">
        <v>0</v>
      </c>
      <c r="H98" s="422">
        <v>0</v>
      </c>
      <c r="I98" s="422">
        <v>0</v>
      </c>
      <c r="J98" s="422">
        <v>0</v>
      </c>
      <c r="K98" s="422"/>
      <c r="L98" s="422"/>
    </row>
    <row r="99" spans="1:12" s="419" customFormat="1" x14ac:dyDescent="0.25">
      <c r="A99" s="422">
        <v>92</v>
      </c>
      <c r="B99" s="430" t="s">
        <v>488</v>
      </c>
      <c r="C99" s="429" t="s">
        <v>489</v>
      </c>
      <c r="D99" s="422">
        <f t="shared" si="3"/>
        <v>0</v>
      </c>
      <c r="E99" s="422"/>
      <c r="F99" s="422"/>
      <c r="G99" s="422"/>
      <c r="H99" s="422"/>
      <c r="I99" s="422"/>
      <c r="J99" s="422"/>
      <c r="K99" s="422"/>
      <c r="L99" s="422"/>
    </row>
    <row r="100" spans="1:12" s="419" customFormat="1" x14ac:dyDescent="0.25">
      <c r="A100" s="422">
        <v>93</v>
      </c>
      <c r="B100" s="428" t="s">
        <v>137</v>
      </c>
      <c r="C100" s="429" t="s">
        <v>138</v>
      </c>
      <c r="D100" s="422">
        <f t="shared" si="3"/>
        <v>11</v>
      </c>
      <c r="E100" s="422">
        <f>0+11</f>
        <v>11</v>
      </c>
      <c r="F100" s="422"/>
      <c r="G100" s="422"/>
      <c r="H100" s="422">
        <f>0+3</f>
        <v>3</v>
      </c>
      <c r="I100" s="422">
        <f>0+8</f>
        <v>8</v>
      </c>
      <c r="J100" s="422"/>
      <c r="K100" s="422"/>
      <c r="L100" s="422"/>
    </row>
    <row r="101" spans="1:12" s="419" customFormat="1" ht="24" x14ac:dyDescent="0.25">
      <c r="A101" s="422">
        <v>94</v>
      </c>
      <c r="B101" s="430" t="s">
        <v>369</v>
      </c>
      <c r="C101" s="425" t="s">
        <v>490</v>
      </c>
      <c r="D101" s="422">
        <f t="shared" si="3"/>
        <v>0</v>
      </c>
      <c r="E101" s="422"/>
      <c r="F101" s="422"/>
      <c r="G101" s="422"/>
      <c r="H101" s="422"/>
      <c r="I101" s="422"/>
      <c r="J101" s="422"/>
      <c r="K101" s="422"/>
      <c r="L101" s="422"/>
    </row>
    <row r="102" spans="1:12" s="419" customFormat="1" x14ac:dyDescent="0.25">
      <c r="A102" s="422">
        <v>95</v>
      </c>
      <c r="B102" s="435" t="s">
        <v>139</v>
      </c>
      <c r="C102" s="436" t="s">
        <v>140</v>
      </c>
      <c r="D102" s="422">
        <f t="shared" si="3"/>
        <v>123</v>
      </c>
      <c r="E102" s="422">
        <v>123</v>
      </c>
      <c r="F102" s="422"/>
      <c r="G102" s="422"/>
      <c r="H102" s="422"/>
      <c r="I102" s="422"/>
      <c r="J102" s="422"/>
      <c r="K102" s="422"/>
      <c r="L102" s="422"/>
    </row>
    <row r="103" spans="1:12" s="419" customFormat="1" x14ac:dyDescent="0.25">
      <c r="A103" s="422">
        <v>96</v>
      </c>
      <c r="B103" s="422" t="s">
        <v>141</v>
      </c>
      <c r="C103" s="423" t="s">
        <v>142</v>
      </c>
      <c r="D103" s="422">
        <f t="shared" si="3"/>
        <v>1155</v>
      </c>
      <c r="E103" s="422">
        <v>1155</v>
      </c>
      <c r="F103" s="422"/>
      <c r="G103" s="422">
        <v>0</v>
      </c>
      <c r="H103" s="422">
        <v>0</v>
      </c>
      <c r="I103" s="422">
        <v>184</v>
      </c>
      <c r="J103" s="422">
        <v>0</v>
      </c>
      <c r="K103" s="422"/>
      <c r="L103" s="422"/>
    </row>
    <row r="104" spans="1:12" s="419" customFormat="1" x14ac:dyDescent="0.25">
      <c r="A104" s="422">
        <v>97</v>
      </c>
      <c r="B104" s="422" t="s">
        <v>143</v>
      </c>
      <c r="C104" s="423" t="s">
        <v>144</v>
      </c>
      <c r="D104" s="422">
        <f t="shared" si="3"/>
        <v>837</v>
      </c>
      <c r="E104" s="422">
        <v>837</v>
      </c>
      <c r="F104" s="422"/>
      <c r="G104" s="422">
        <v>0</v>
      </c>
      <c r="H104" s="422">
        <v>0</v>
      </c>
      <c r="I104" s="422">
        <v>0</v>
      </c>
      <c r="J104" s="422">
        <v>0</v>
      </c>
      <c r="K104" s="422"/>
      <c r="L104" s="422"/>
    </row>
    <row r="105" spans="1:12" s="419" customFormat="1" x14ac:dyDescent="0.25">
      <c r="A105" s="422">
        <v>98</v>
      </c>
      <c r="B105" s="422" t="s">
        <v>145</v>
      </c>
      <c r="C105" s="423" t="s">
        <v>146</v>
      </c>
      <c r="D105" s="422">
        <f t="shared" si="3"/>
        <v>926</v>
      </c>
      <c r="E105" s="422">
        <f>876+50</f>
        <v>926</v>
      </c>
      <c r="F105" s="422"/>
      <c r="G105" s="422">
        <v>0</v>
      </c>
      <c r="H105" s="422">
        <v>0</v>
      </c>
      <c r="I105" s="422">
        <v>0</v>
      </c>
      <c r="J105" s="422">
        <v>0</v>
      </c>
      <c r="K105" s="422"/>
      <c r="L105" s="422"/>
    </row>
    <row r="106" spans="1:12" s="419" customFormat="1" x14ac:dyDescent="0.25">
      <c r="A106" s="422">
        <v>99</v>
      </c>
      <c r="B106" s="422" t="s">
        <v>147</v>
      </c>
      <c r="C106" s="423" t="s">
        <v>148</v>
      </c>
      <c r="D106" s="422">
        <f t="shared" si="3"/>
        <v>2358</v>
      </c>
      <c r="E106" s="422">
        <v>2358</v>
      </c>
      <c r="F106" s="422"/>
      <c r="G106" s="422">
        <v>0</v>
      </c>
      <c r="H106" s="422">
        <v>0</v>
      </c>
      <c r="I106" s="422">
        <v>0</v>
      </c>
      <c r="J106" s="422">
        <v>0</v>
      </c>
      <c r="K106" s="422"/>
      <c r="L106" s="422"/>
    </row>
    <row r="107" spans="1:12" s="419" customFormat="1" ht="12" customHeight="1" x14ac:dyDescent="0.25">
      <c r="A107" s="422">
        <v>100</v>
      </c>
      <c r="B107" s="422" t="s">
        <v>149</v>
      </c>
      <c r="C107" s="423" t="s">
        <v>150</v>
      </c>
      <c r="D107" s="422">
        <f t="shared" si="3"/>
        <v>1089</v>
      </c>
      <c r="E107" s="422">
        <f>1039+50</f>
        <v>1089</v>
      </c>
      <c r="F107" s="422"/>
      <c r="G107" s="422">
        <v>0</v>
      </c>
      <c r="H107" s="422">
        <v>0</v>
      </c>
      <c r="I107" s="422">
        <v>0</v>
      </c>
      <c r="J107" s="422">
        <v>0</v>
      </c>
      <c r="K107" s="422"/>
      <c r="L107" s="422"/>
    </row>
    <row r="108" spans="1:12" s="419" customFormat="1" x14ac:dyDescent="0.25">
      <c r="A108" s="422">
        <v>101</v>
      </c>
      <c r="B108" s="422" t="s">
        <v>151</v>
      </c>
      <c r="C108" s="423" t="s">
        <v>152</v>
      </c>
      <c r="D108" s="422">
        <f t="shared" si="3"/>
        <v>1235</v>
      </c>
      <c r="E108" s="422">
        <v>1235</v>
      </c>
      <c r="F108" s="422"/>
      <c r="G108" s="422">
        <v>0</v>
      </c>
      <c r="H108" s="422">
        <v>0</v>
      </c>
      <c r="I108" s="422">
        <v>0</v>
      </c>
      <c r="J108" s="422">
        <v>0</v>
      </c>
      <c r="K108" s="422"/>
      <c r="L108" s="422"/>
    </row>
    <row r="109" spans="1:12" s="419" customFormat="1" x14ac:dyDescent="0.25">
      <c r="A109" s="422">
        <v>102</v>
      </c>
      <c r="B109" s="422" t="s">
        <v>153</v>
      </c>
      <c r="C109" s="423" t="s">
        <v>154</v>
      </c>
      <c r="D109" s="422">
        <f t="shared" si="3"/>
        <v>2538</v>
      </c>
      <c r="E109" s="422">
        <v>2538</v>
      </c>
      <c r="F109" s="422"/>
      <c r="G109" s="422">
        <v>0</v>
      </c>
      <c r="H109" s="422">
        <v>0</v>
      </c>
      <c r="I109" s="422">
        <v>0</v>
      </c>
      <c r="J109" s="422">
        <v>0</v>
      </c>
      <c r="K109" s="422"/>
      <c r="L109" s="422"/>
    </row>
    <row r="110" spans="1:12" s="419" customFormat="1" x14ac:dyDescent="0.25">
      <c r="A110" s="422">
        <v>103</v>
      </c>
      <c r="B110" s="422" t="s">
        <v>155</v>
      </c>
      <c r="C110" s="423" t="s">
        <v>156</v>
      </c>
      <c r="D110" s="422">
        <f t="shared" si="3"/>
        <v>2208</v>
      </c>
      <c r="E110" s="422">
        <v>2208</v>
      </c>
      <c r="F110" s="422"/>
      <c r="G110" s="422">
        <v>0</v>
      </c>
      <c r="H110" s="422">
        <v>0</v>
      </c>
      <c r="I110" s="422">
        <v>0</v>
      </c>
      <c r="J110" s="422">
        <v>0</v>
      </c>
      <c r="K110" s="422"/>
      <c r="L110" s="422"/>
    </row>
    <row r="111" spans="1:12" s="419" customFormat="1" x14ac:dyDescent="0.25">
      <c r="A111" s="422">
        <v>104</v>
      </c>
      <c r="B111" s="422" t="s">
        <v>157</v>
      </c>
      <c r="C111" s="423" t="s">
        <v>158</v>
      </c>
      <c r="D111" s="422">
        <f t="shared" si="3"/>
        <v>781</v>
      </c>
      <c r="E111" s="422">
        <v>781</v>
      </c>
      <c r="F111" s="422"/>
      <c r="G111" s="422">
        <v>0</v>
      </c>
      <c r="H111" s="422">
        <v>0</v>
      </c>
      <c r="I111" s="422">
        <v>0</v>
      </c>
      <c r="J111" s="422">
        <v>0</v>
      </c>
      <c r="K111" s="422"/>
      <c r="L111" s="422"/>
    </row>
    <row r="112" spans="1:12" s="419" customFormat="1" x14ac:dyDescent="0.25">
      <c r="A112" s="422">
        <v>105</v>
      </c>
      <c r="B112" s="422" t="s">
        <v>159</v>
      </c>
      <c r="C112" s="423" t="s">
        <v>160</v>
      </c>
      <c r="D112" s="422">
        <f t="shared" si="3"/>
        <v>1211</v>
      </c>
      <c r="E112" s="422">
        <v>1211</v>
      </c>
      <c r="F112" s="422"/>
      <c r="G112" s="422">
        <v>0</v>
      </c>
      <c r="H112" s="422">
        <v>0</v>
      </c>
      <c r="I112" s="422">
        <v>0</v>
      </c>
      <c r="J112" s="422">
        <v>0</v>
      </c>
      <c r="K112" s="422"/>
      <c r="L112" s="422"/>
    </row>
    <row r="113" spans="1:13" s="419" customFormat="1" x14ac:dyDescent="0.25">
      <c r="A113" s="422">
        <v>106</v>
      </c>
      <c r="B113" s="422" t="s">
        <v>161</v>
      </c>
      <c r="C113" s="423" t="s">
        <v>162</v>
      </c>
      <c r="D113" s="422">
        <f t="shared" si="3"/>
        <v>1193</v>
      </c>
      <c r="E113" s="422">
        <v>1193</v>
      </c>
      <c r="F113" s="422"/>
      <c r="G113" s="422">
        <v>0</v>
      </c>
      <c r="H113" s="422">
        <v>0</v>
      </c>
      <c r="I113" s="422">
        <v>0</v>
      </c>
      <c r="J113" s="422">
        <v>0</v>
      </c>
      <c r="K113" s="422"/>
      <c r="L113" s="422"/>
    </row>
    <row r="114" spans="1:13" s="419" customFormat="1" x14ac:dyDescent="0.25">
      <c r="A114" s="422">
        <v>107</v>
      </c>
      <c r="B114" s="422" t="s">
        <v>163</v>
      </c>
      <c r="C114" s="423" t="s">
        <v>164</v>
      </c>
      <c r="D114" s="422">
        <f t="shared" si="3"/>
        <v>1392</v>
      </c>
      <c r="E114" s="422">
        <f>1376+14+2</f>
        <v>1392</v>
      </c>
      <c r="F114" s="422"/>
      <c r="G114" s="422">
        <v>0</v>
      </c>
      <c r="H114" s="422">
        <f>0+14+2</f>
        <v>16</v>
      </c>
      <c r="I114" s="422">
        <v>18</v>
      </c>
      <c r="J114" s="422">
        <v>8</v>
      </c>
      <c r="K114" s="422"/>
      <c r="L114" s="422"/>
    </row>
    <row r="115" spans="1:13" s="419" customFormat="1" x14ac:dyDescent="0.25">
      <c r="A115" s="422">
        <v>108</v>
      </c>
      <c r="B115" s="422" t="s">
        <v>165</v>
      </c>
      <c r="C115" s="423" t="s">
        <v>166</v>
      </c>
      <c r="D115" s="422">
        <f t="shared" si="3"/>
        <v>905</v>
      </c>
      <c r="E115" s="422">
        <v>905</v>
      </c>
      <c r="F115" s="422"/>
      <c r="G115" s="422">
        <v>0</v>
      </c>
      <c r="H115" s="422">
        <v>0</v>
      </c>
      <c r="I115" s="422">
        <v>0</v>
      </c>
      <c r="J115" s="422">
        <v>0</v>
      </c>
      <c r="K115" s="422"/>
      <c r="L115" s="422"/>
    </row>
    <row r="116" spans="1:13" s="419" customFormat="1" x14ac:dyDescent="0.25">
      <c r="A116" s="422">
        <v>109</v>
      </c>
      <c r="B116" s="422" t="s">
        <v>167</v>
      </c>
      <c r="C116" s="423" t="s">
        <v>168</v>
      </c>
      <c r="D116" s="422">
        <f t="shared" si="3"/>
        <v>1337</v>
      </c>
      <c r="E116" s="422">
        <f>1338-1</f>
        <v>1337</v>
      </c>
      <c r="F116" s="422"/>
      <c r="G116" s="422">
        <v>0</v>
      </c>
      <c r="H116" s="422">
        <v>0</v>
      </c>
      <c r="I116" s="422">
        <v>0</v>
      </c>
      <c r="J116" s="422">
        <f>6-1</f>
        <v>5</v>
      </c>
      <c r="K116" s="422"/>
      <c r="L116" s="422"/>
    </row>
    <row r="117" spans="1:13" s="419" customFormat="1" x14ac:dyDescent="0.25">
      <c r="A117" s="422">
        <v>110</v>
      </c>
      <c r="B117" s="422" t="s">
        <v>169</v>
      </c>
      <c r="C117" s="423" t="s">
        <v>170</v>
      </c>
      <c r="D117" s="422">
        <f t="shared" si="3"/>
        <v>2271</v>
      </c>
      <c r="E117" s="422">
        <v>2271</v>
      </c>
      <c r="F117" s="422"/>
      <c r="G117" s="422">
        <v>0</v>
      </c>
      <c r="H117" s="422">
        <v>0</v>
      </c>
      <c r="I117" s="422">
        <v>0</v>
      </c>
      <c r="J117" s="422">
        <v>5</v>
      </c>
      <c r="K117" s="422"/>
      <c r="L117" s="422"/>
    </row>
    <row r="118" spans="1:13" s="419" customFormat="1" x14ac:dyDescent="0.25">
      <c r="A118" s="422">
        <v>111</v>
      </c>
      <c r="B118" s="422" t="s">
        <v>171</v>
      </c>
      <c r="C118" s="423" t="s">
        <v>216</v>
      </c>
      <c r="D118" s="422">
        <f t="shared" si="3"/>
        <v>1049</v>
      </c>
      <c r="E118" s="422">
        <v>1049</v>
      </c>
      <c r="F118" s="422"/>
      <c r="G118" s="422">
        <v>0</v>
      </c>
      <c r="H118" s="422">
        <v>0</v>
      </c>
      <c r="I118" s="422">
        <v>0</v>
      </c>
      <c r="J118" s="422">
        <v>0</v>
      </c>
      <c r="K118" s="422"/>
      <c r="L118" s="422"/>
    </row>
    <row r="119" spans="1:13" s="419" customFormat="1" x14ac:dyDescent="0.25">
      <c r="A119" s="422">
        <v>112</v>
      </c>
      <c r="B119" s="424" t="s">
        <v>373</v>
      </c>
      <c r="C119" s="437" t="s">
        <v>492</v>
      </c>
      <c r="D119" s="422"/>
      <c r="E119" s="422"/>
      <c r="F119" s="422"/>
      <c r="G119" s="422"/>
      <c r="H119" s="422"/>
      <c r="I119" s="422"/>
      <c r="J119" s="422"/>
      <c r="K119" s="422"/>
      <c r="L119" s="422"/>
    </row>
    <row r="120" spans="1:13" s="419" customFormat="1" x14ac:dyDescent="0.25">
      <c r="A120" s="422">
        <v>113</v>
      </c>
      <c r="B120" s="422" t="s">
        <v>493</v>
      </c>
      <c r="C120" s="423" t="s">
        <v>494</v>
      </c>
      <c r="D120" s="422">
        <f t="shared" si="3"/>
        <v>631</v>
      </c>
      <c r="E120" s="422">
        <f>360-3+274</f>
        <v>631</v>
      </c>
      <c r="F120" s="422"/>
      <c r="G120" s="422">
        <f>360-3+274</f>
        <v>631</v>
      </c>
      <c r="H120" s="422">
        <v>0</v>
      </c>
      <c r="I120" s="422">
        <v>0</v>
      </c>
      <c r="J120" s="422">
        <v>0</v>
      </c>
      <c r="K120" s="422"/>
      <c r="L120" s="422"/>
    </row>
    <row r="121" spans="1:13" s="419" customFormat="1" x14ac:dyDescent="0.25">
      <c r="A121" s="422">
        <v>114</v>
      </c>
      <c r="B121" s="428" t="s">
        <v>375</v>
      </c>
      <c r="C121" s="429" t="s">
        <v>495</v>
      </c>
      <c r="D121" s="422"/>
      <c r="E121" s="422"/>
      <c r="F121" s="422"/>
      <c r="G121" s="422"/>
      <c r="H121" s="422"/>
      <c r="I121" s="422"/>
      <c r="J121" s="422"/>
      <c r="K121" s="422"/>
      <c r="L121" s="422"/>
    </row>
    <row r="122" spans="1:13" s="419" customFormat="1" x14ac:dyDescent="0.25">
      <c r="A122" s="422">
        <v>115</v>
      </c>
      <c r="B122" s="422" t="s">
        <v>377</v>
      </c>
      <c r="C122" s="423" t="s">
        <v>496</v>
      </c>
      <c r="D122" s="422">
        <f t="shared" si="3"/>
        <v>5</v>
      </c>
      <c r="E122" s="422">
        <v>5</v>
      </c>
      <c r="F122" s="422"/>
      <c r="G122" s="422">
        <v>0</v>
      </c>
      <c r="H122" s="422">
        <v>0</v>
      </c>
      <c r="I122" s="422">
        <v>0</v>
      </c>
      <c r="J122" s="422">
        <v>0</v>
      </c>
      <c r="K122" s="422"/>
      <c r="L122" s="422"/>
    </row>
    <row r="123" spans="1:13" s="419" customFormat="1" x14ac:dyDescent="0.25">
      <c r="A123" s="422">
        <v>116</v>
      </c>
      <c r="B123" s="422" t="s">
        <v>497</v>
      </c>
      <c r="C123" s="423" t="s">
        <v>498</v>
      </c>
      <c r="D123" s="422">
        <f t="shared" si="3"/>
        <v>5</v>
      </c>
      <c r="E123" s="422">
        <v>5</v>
      </c>
      <c r="F123" s="422"/>
      <c r="G123" s="422">
        <v>0</v>
      </c>
      <c r="H123" s="422">
        <v>0</v>
      </c>
      <c r="I123" s="422">
        <v>0</v>
      </c>
      <c r="J123" s="422">
        <v>0</v>
      </c>
      <c r="K123" s="422"/>
      <c r="L123" s="422"/>
    </row>
    <row r="124" spans="1:13" s="419" customFormat="1" ht="12" customHeight="1" x14ac:dyDescent="0.25">
      <c r="A124" s="422">
        <v>117</v>
      </c>
      <c r="B124" s="422" t="s">
        <v>379</v>
      </c>
      <c r="C124" s="423" t="s">
        <v>499</v>
      </c>
      <c r="D124" s="422">
        <f t="shared" si="3"/>
        <v>5</v>
      </c>
      <c r="E124" s="422">
        <v>5</v>
      </c>
      <c r="F124" s="422"/>
      <c r="G124" s="422">
        <v>0</v>
      </c>
      <c r="H124" s="422">
        <v>0</v>
      </c>
      <c r="I124" s="422">
        <v>0</v>
      </c>
      <c r="J124" s="422">
        <v>0</v>
      </c>
      <c r="K124" s="422"/>
      <c r="L124" s="422"/>
    </row>
    <row r="125" spans="1:13" s="419" customFormat="1" ht="12" customHeight="1" x14ac:dyDescent="0.25">
      <c r="A125" s="422">
        <v>118</v>
      </c>
      <c r="B125" s="428" t="s">
        <v>172</v>
      </c>
      <c r="C125" s="429" t="s">
        <v>173</v>
      </c>
      <c r="D125" s="422"/>
      <c r="E125" s="422"/>
      <c r="F125" s="422"/>
      <c r="G125" s="422"/>
      <c r="H125" s="422"/>
      <c r="I125" s="422"/>
      <c r="J125" s="422"/>
      <c r="K125" s="422"/>
      <c r="L125" s="422"/>
    </row>
    <row r="126" spans="1:13" s="419" customFormat="1" x14ac:dyDescent="0.25">
      <c r="A126" s="422">
        <v>119</v>
      </c>
      <c r="B126" s="422" t="s">
        <v>381</v>
      </c>
      <c r="C126" s="423" t="s">
        <v>500</v>
      </c>
      <c r="D126" s="422">
        <f t="shared" si="3"/>
        <v>316</v>
      </c>
      <c r="E126" s="422">
        <f>264+52</f>
        <v>316</v>
      </c>
      <c r="F126" s="422"/>
      <c r="G126" s="422">
        <v>0</v>
      </c>
      <c r="H126" s="422">
        <v>0</v>
      </c>
      <c r="I126" s="422">
        <v>0</v>
      </c>
      <c r="J126" s="422">
        <v>0</v>
      </c>
      <c r="K126" s="422">
        <v>264</v>
      </c>
      <c r="L126" s="422"/>
    </row>
    <row r="127" spans="1:13" s="419" customFormat="1" x14ac:dyDescent="0.25">
      <c r="A127" s="422">
        <v>120</v>
      </c>
      <c r="B127" s="438" t="s">
        <v>174</v>
      </c>
      <c r="C127" s="439" t="s">
        <v>175</v>
      </c>
      <c r="D127" s="422"/>
      <c r="E127" s="422"/>
      <c r="F127" s="422"/>
      <c r="G127" s="422"/>
      <c r="H127" s="422"/>
      <c r="I127" s="422"/>
      <c r="J127" s="422"/>
      <c r="K127" s="422"/>
      <c r="L127" s="422"/>
    </row>
    <row r="128" spans="1:13" ht="12" x14ac:dyDescent="0.2">
      <c r="A128" s="422">
        <v>121</v>
      </c>
      <c r="B128" s="422" t="s">
        <v>176</v>
      </c>
      <c r="C128" s="423" t="s">
        <v>227</v>
      </c>
      <c r="D128" s="422">
        <f t="shared" si="3"/>
        <v>331</v>
      </c>
      <c r="E128" s="422">
        <f>360+40-3-66</f>
        <v>331</v>
      </c>
      <c r="F128" s="422"/>
      <c r="G128" s="422">
        <f>360-3-66</f>
        <v>291</v>
      </c>
      <c r="H128" s="422">
        <f>0+40</f>
        <v>40</v>
      </c>
      <c r="I128" s="422">
        <v>0</v>
      </c>
      <c r="J128" s="422">
        <v>0</v>
      </c>
      <c r="K128" s="422"/>
      <c r="L128" s="422"/>
      <c r="M128" s="432"/>
    </row>
    <row r="129" spans="1:13" ht="12" x14ac:dyDescent="0.2">
      <c r="A129" s="422">
        <v>122</v>
      </c>
      <c r="B129" s="428" t="s">
        <v>383</v>
      </c>
      <c r="C129" s="429" t="s">
        <v>501</v>
      </c>
      <c r="D129" s="422"/>
      <c r="E129" s="422"/>
      <c r="F129" s="422"/>
      <c r="G129" s="422"/>
      <c r="H129" s="422"/>
      <c r="I129" s="422"/>
      <c r="J129" s="422"/>
      <c r="K129" s="422"/>
      <c r="L129" s="422"/>
      <c r="M129" s="432"/>
    </row>
    <row r="130" spans="1:13" s="419" customFormat="1" ht="12.75" customHeight="1" x14ac:dyDescent="0.25">
      <c r="A130" s="422">
        <v>123</v>
      </c>
      <c r="B130" s="422" t="s">
        <v>502</v>
      </c>
      <c r="C130" s="423" t="s">
        <v>503</v>
      </c>
      <c r="D130" s="422">
        <f t="shared" si="3"/>
        <v>131</v>
      </c>
      <c r="E130" s="422">
        <f>360-3-226</f>
        <v>131</v>
      </c>
      <c r="F130" s="422"/>
      <c r="G130" s="422">
        <f>360-3-226</f>
        <v>131</v>
      </c>
      <c r="H130" s="422">
        <v>0</v>
      </c>
      <c r="I130" s="422">
        <v>0</v>
      </c>
      <c r="J130" s="422">
        <v>0</v>
      </c>
      <c r="K130" s="422"/>
      <c r="L130" s="422"/>
    </row>
    <row r="131" spans="1:13" s="419" customFormat="1" ht="24" x14ac:dyDescent="0.25">
      <c r="A131" s="422">
        <v>124</v>
      </c>
      <c r="B131" s="422" t="s">
        <v>504</v>
      </c>
      <c r="C131" s="423" t="s">
        <v>505</v>
      </c>
      <c r="D131" s="422">
        <f t="shared" si="3"/>
        <v>5</v>
      </c>
      <c r="E131" s="422">
        <v>5</v>
      </c>
      <c r="F131" s="422"/>
      <c r="G131" s="422">
        <v>0</v>
      </c>
      <c r="H131" s="422">
        <v>0</v>
      </c>
      <c r="I131" s="422">
        <v>0</v>
      </c>
      <c r="J131" s="422">
        <v>0</v>
      </c>
      <c r="K131" s="422"/>
      <c r="L131" s="422"/>
    </row>
    <row r="132" spans="1:13" s="419" customFormat="1" ht="13.5" customHeight="1" x14ac:dyDescent="0.25">
      <c r="A132" s="422">
        <v>125</v>
      </c>
      <c r="B132" s="428" t="s">
        <v>177</v>
      </c>
      <c r="C132" s="429" t="s">
        <v>178</v>
      </c>
      <c r="D132" s="422"/>
      <c r="E132" s="422"/>
      <c r="F132" s="422"/>
      <c r="G132" s="422"/>
      <c r="H132" s="422"/>
      <c r="I132" s="422"/>
      <c r="J132" s="422"/>
      <c r="K132" s="422"/>
      <c r="L132" s="422"/>
    </row>
    <row r="133" spans="1:13" s="419" customFormat="1" x14ac:dyDescent="0.25">
      <c r="A133" s="422">
        <v>126</v>
      </c>
      <c r="B133" s="422" t="s">
        <v>179</v>
      </c>
      <c r="C133" s="423" t="s">
        <v>217</v>
      </c>
      <c r="D133" s="422">
        <f t="shared" si="3"/>
        <v>5</v>
      </c>
      <c r="E133" s="422">
        <v>5</v>
      </c>
      <c r="F133" s="422"/>
      <c r="G133" s="422">
        <v>0</v>
      </c>
      <c r="H133" s="422">
        <v>0</v>
      </c>
      <c r="I133" s="422">
        <v>0</v>
      </c>
      <c r="J133" s="422">
        <v>0</v>
      </c>
      <c r="K133" s="422"/>
      <c r="L133" s="422"/>
    </row>
    <row r="134" spans="1:13" s="419" customFormat="1" x14ac:dyDescent="0.25">
      <c r="A134" s="422">
        <v>127</v>
      </c>
      <c r="B134" s="440" t="s">
        <v>507</v>
      </c>
      <c r="C134" s="431" t="s">
        <v>508</v>
      </c>
      <c r="D134" s="422"/>
      <c r="E134" s="422"/>
      <c r="F134" s="422"/>
      <c r="G134" s="422"/>
      <c r="H134" s="422"/>
      <c r="I134" s="422"/>
      <c r="J134" s="422"/>
      <c r="K134" s="422"/>
      <c r="L134" s="422"/>
    </row>
    <row r="135" spans="1:13" s="419" customFormat="1" x14ac:dyDescent="0.25">
      <c r="A135" s="422">
        <v>128</v>
      </c>
      <c r="B135" s="428" t="s">
        <v>509</v>
      </c>
      <c r="C135" s="429" t="s">
        <v>510</v>
      </c>
      <c r="D135" s="422"/>
      <c r="E135" s="422"/>
      <c r="F135" s="422"/>
      <c r="G135" s="422"/>
      <c r="H135" s="422"/>
      <c r="I135" s="422"/>
      <c r="J135" s="422"/>
      <c r="K135" s="422"/>
      <c r="L135" s="422"/>
    </row>
    <row r="136" spans="1:13" s="419" customFormat="1" x14ac:dyDescent="0.25">
      <c r="A136" s="422">
        <v>129</v>
      </c>
      <c r="B136" s="424" t="s">
        <v>386</v>
      </c>
      <c r="C136" s="425" t="s">
        <v>511</v>
      </c>
      <c r="D136" s="422"/>
      <c r="E136" s="422"/>
      <c r="F136" s="422"/>
      <c r="G136" s="422"/>
      <c r="H136" s="422"/>
      <c r="I136" s="422"/>
      <c r="J136" s="422"/>
      <c r="K136" s="422"/>
      <c r="L136" s="422"/>
    </row>
    <row r="137" spans="1:13" s="419" customFormat="1" x14ac:dyDescent="0.25">
      <c r="A137" s="422">
        <v>130</v>
      </c>
      <c r="B137" s="422" t="s">
        <v>388</v>
      </c>
      <c r="C137" s="423" t="s">
        <v>512</v>
      </c>
      <c r="D137" s="422">
        <f t="shared" ref="D137:D157" si="4">E137+L137</f>
        <v>262</v>
      </c>
      <c r="E137" s="422">
        <f>360-3-95</f>
        <v>262</v>
      </c>
      <c r="F137" s="422"/>
      <c r="G137" s="422">
        <f>360-3-95</f>
        <v>262</v>
      </c>
      <c r="H137" s="422">
        <v>0</v>
      </c>
      <c r="I137" s="422">
        <v>0</v>
      </c>
      <c r="J137" s="422">
        <v>0</v>
      </c>
      <c r="K137" s="422"/>
      <c r="L137" s="422"/>
    </row>
    <row r="138" spans="1:13" s="419" customFormat="1" x14ac:dyDescent="0.25">
      <c r="A138" s="422">
        <v>131</v>
      </c>
      <c r="B138" s="428" t="s">
        <v>390</v>
      </c>
      <c r="C138" s="429" t="s">
        <v>513</v>
      </c>
      <c r="D138" s="422"/>
      <c r="E138" s="422"/>
      <c r="F138" s="422"/>
      <c r="G138" s="422"/>
      <c r="H138" s="422"/>
      <c r="I138" s="422"/>
      <c r="J138" s="422"/>
      <c r="K138" s="422"/>
      <c r="L138" s="422"/>
    </row>
    <row r="139" spans="1:13" s="419" customFormat="1" x14ac:dyDescent="0.25">
      <c r="A139" s="422">
        <v>132</v>
      </c>
      <c r="B139" s="422" t="s">
        <v>514</v>
      </c>
      <c r="C139" s="423" t="s">
        <v>515</v>
      </c>
      <c r="D139" s="422">
        <f t="shared" si="4"/>
        <v>5</v>
      </c>
      <c r="E139" s="422">
        <v>5</v>
      </c>
      <c r="F139" s="422"/>
      <c r="G139" s="422">
        <v>0</v>
      </c>
      <c r="H139" s="422">
        <v>0</v>
      </c>
      <c r="I139" s="422">
        <v>0</v>
      </c>
      <c r="J139" s="422">
        <v>0</v>
      </c>
      <c r="K139" s="422"/>
      <c r="L139" s="422"/>
    </row>
    <row r="140" spans="1:13" s="419" customFormat="1" x14ac:dyDescent="0.25">
      <c r="A140" s="422">
        <v>133</v>
      </c>
      <c r="B140" s="422" t="s">
        <v>15</v>
      </c>
      <c r="C140" s="423" t="s">
        <v>180</v>
      </c>
      <c r="D140" s="422">
        <f t="shared" si="4"/>
        <v>1198</v>
      </c>
      <c r="E140" s="422">
        <v>1198</v>
      </c>
      <c r="F140" s="422"/>
      <c r="G140" s="422">
        <v>0</v>
      </c>
      <c r="H140" s="422">
        <v>0</v>
      </c>
      <c r="I140" s="422">
        <v>0</v>
      </c>
      <c r="J140" s="422"/>
      <c r="K140" s="422">
        <v>70</v>
      </c>
      <c r="L140" s="422"/>
    </row>
    <row r="141" spans="1:13" s="419" customFormat="1" x14ac:dyDescent="0.25">
      <c r="A141" s="422">
        <v>134</v>
      </c>
      <c r="B141" s="422" t="s">
        <v>181</v>
      </c>
      <c r="C141" s="423" t="s">
        <v>182</v>
      </c>
      <c r="D141" s="422">
        <f t="shared" si="4"/>
        <v>18861</v>
      </c>
      <c r="E141" s="422">
        <f>18057-68-23-4-1+914-14</f>
        <v>18861</v>
      </c>
      <c r="F141" s="422"/>
      <c r="G141" s="422">
        <v>0</v>
      </c>
      <c r="H141" s="422">
        <f>18057-68-23-4-1+914-14</f>
        <v>18861</v>
      </c>
      <c r="I141" s="422">
        <v>0</v>
      </c>
      <c r="J141" s="422">
        <v>0</v>
      </c>
      <c r="K141" s="422"/>
      <c r="L141" s="422"/>
    </row>
    <row r="142" spans="1:13" s="419" customFormat="1" x14ac:dyDescent="0.25">
      <c r="A142" s="422">
        <v>135</v>
      </c>
      <c r="B142" s="422" t="s">
        <v>14</v>
      </c>
      <c r="C142" s="423" t="s">
        <v>13</v>
      </c>
      <c r="D142" s="422">
        <f t="shared" si="4"/>
        <v>450</v>
      </c>
      <c r="E142" s="422">
        <f>350+100</f>
        <v>450</v>
      </c>
      <c r="F142" s="422"/>
      <c r="G142" s="422">
        <v>0</v>
      </c>
      <c r="H142" s="422">
        <v>0</v>
      </c>
      <c r="I142" s="422">
        <v>0</v>
      </c>
      <c r="J142" s="422">
        <v>0</v>
      </c>
      <c r="K142" s="422"/>
      <c r="L142" s="422"/>
    </row>
    <row r="143" spans="1:13" s="419" customFormat="1" x14ac:dyDescent="0.25">
      <c r="A143" s="422">
        <v>136</v>
      </c>
      <c r="B143" s="422" t="s">
        <v>10</v>
      </c>
      <c r="C143" s="423" t="s">
        <v>7</v>
      </c>
      <c r="D143" s="422">
        <f t="shared" si="4"/>
        <v>2796</v>
      </c>
      <c r="E143" s="422">
        <v>2796</v>
      </c>
      <c r="F143" s="422"/>
      <c r="G143" s="422">
        <v>0</v>
      </c>
      <c r="H143" s="422">
        <v>94</v>
      </c>
      <c r="I143" s="422">
        <v>854</v>
      </c>
      <c r="J143" s="422">
        <v>0</v>
      </c>
      <c r="K143" s="422"/>
      <c r="L143" s="422"/>
    </row>
    <row r="144" spans="1:13" s="419" customFormat="1" x14ac:dyDescent="0.25">
      <c r="A144" s="422">
        <v>137</v>
      </c>
      <c r="B144" s="422" t="s">
        <v>393</v>
      </c>
      <c r="C144" s="423" t="s">
        <v>516</v>
      </c>
      <c r="D144" s="422">
        <f t="shared" si="4"/>
        <v>6758</v>
      </c>
      <c r="E144" s="422">
        <v>6758</v>
      </c>
      <c r="F144" s="422"/>
      <c r="G144" s="422">
        <v>0</v>
      </c>
      <c r="H144" s="422">
        <v>0</v>
      </c>
      <c r="I144" s="422">
        <v>0</v>
      </c>
      <c r="J144" s="422">
        <v>0</v>
      </c>
      <c r="K144" s="422"/>
      <c r="L144" s="422"/>
    </row>
    <row r="145" spans="1:12" s="419" customFormat="1" x14ac:dyDescent="0.25">
      <c r="A145" s="422">
        <v>138</v>
      </c>
      <c r="B145" s="422" t="s">
        <v>183</v>
      </c>
      <c r="C145" s="423" t="s">
        <v>184</v>
      </c>
      <c r="D145" s="422">
        <f t="shared" si="4"/>
        <v>1674</v>
      </c>
      <c r="E145" s="422">
        <v>1674</v>
      </c>
      <c r="F145" s="422"/>
      <c r="G145" s="422">
        <v>0</v>
      </c>
      <c r="H145" s="422">
        <v>0</v>
      </c>
      <c r="I145" s="422">
        <v>0</v>
      </c>
      <c r="J145" s="422">
        <v>0</v>
      </c>
      <c r="K145" s="422"/>
      <c r="L145" s="422"/>
    </row>
    <row r="146" spans="1:12" s="419" customFormat="1" x14ac:dyDescent="0.25">
      <c r="A146" s="422">
        <v>139</v>
      </c>
      <c r="B146" s="422" t="s">
        <v>185</v>
      </c>
      <c r="C146" s="423" t="s">
        <v>186</v>
      </c>
      <c r="D146" s="422">
        <f t="shared" si="4"/>
        <v>2829</v>
      </c>
      <c r="E146" s="422">
        <v>2829</v>
      </c>
      <c r="F146" s="422"/>
      <c r="G146" s="422">
        <v>0</v>
      </c>
      <c r="H146" s="422">
        <v>0</v>
      </c>
      <c r="I146" s="422">
        <v>0</v>
      </c>
      <c r="J146" s="422">
        <v>0</v>
      </c>
      <c r="K146" s="422"/>
      <c r="L146" s="422"/>
    </row>
    <row r="147" spans="1:12" s="419" customFormat="1" x14ac:dyDescent="0.25">
      <c r="A147" s="422">
        <v>140</v>
      </c>
      <c r="B147" s="422" t="s">
        <v>187</v>
      </c>
      <c r="C147" s="423" t="s">
        <v>188</v>
      </c>
      <c r="D147" s="422">
        <f t="shared" si="4"/>
        <v>445</v>
      </c>
      <c r="E147" s="422">
        <f>361-4+88</f>
        <v>445</v>
      </c>
      <c r="F147" s="422"/>
      <c r="G147" s="422">
        <f>361-4+88</f>
        <v>445</v>
      </c>
      <c r="H147" s="422">
        <v>0</v>
      </c>
      <c r="I147" s="422">
        <v>0</v>
      </c>
      <c r="J147" s="422">
        <v>0</v>
      </c>
      <c r="K147" s="422"/>
      <c r="L147" s="422"/>
    </row>
    <row r="148" spans="1:12" s="419" customFormat="1" x14ac:dyDescent="0.25">
      <c r="A148" s="422">
        <v>141</v>
      </c>
      <c r="B148" s="422" t="s">
        <v>395</v>
      </c>
      <c r="C148" s="423" t="s">
        <v>396</v>
      </c>
      <c r="D148" s="422">
        <f t="shared" si="4"/>
        <v>1362</v>
      </c>
      <c r="E148" s="422">
        <v>1362</v>
      </c>
      <c r="F148" s="422"/>
      <c r="G148" s="422">
        <v>0</v>
      </c>
      <c r="H148" s="422">
        <v>0</v>
      </c>
      <c r="I148" s="422">
        <v>1362</v>
      </c>
      <c r="J148" s="422">
        <v>0</v>
      </c>
      <c r="K148" s="422"/>
      <c r="L148" s="422"/>
    </row>
    <row r="149" spans="1:12" s="419" customFormat="1" x14ac:dyDescent="0.25">
      <c r="A149" s="422">
        <v>142</v>
      </c>
      <c r="B149" s="422" t="s">
        <v>189</v>
      </c>
      <c r="C149" s="423" t="s">
        <v>190</v>
      </c>
      <c r="D149" s="422">
        <f t="shared" si="4"/>
        <v>1386</v>
      </c>
      <c r="E149" s="422">
        <v>1386</v>
      </c>
      <c r="F149" s="422"/>
      <c r="G149" s="422">
        <v>0</v>
      </c>
      <c r="H149" s="422">
        <v>0</v>
      </c>
      <c r="I149" s="422">
        <v>675</v>
      </c>
      <c r="J149" s="422">
        <v>0</v>
      </c>
      <c r="K149" s="422"/>
      <c r="L149" s="422"/>
    </row>
    <row r="150" spans="1:12" s="419" customFormat="1" x14ac:dyDescent="0.25">
      <c r="A150" s="422">
        <v>143</v>
      </c>
      <c r="B150" s="440" t="s">
        <v>12</v>
      </c>
      <c r="C150" s="431" t="s">
        <v>2</v>
      </c>
      <c r="D150" s="422"/>
      <c r="E150" s="422"/>
      <c r="F150" s="422"/>
      <c r="G150" s="422"/>
      <c r="H150" s="422"/>
      <c r="I150" s="422"/>
      <c r="J150" s="422"/>
      <c r="K150" s="422"/>
      <c r="L150" s="422"/>
    </row>
    <row r="151" spans="1:12" s="419" customFormat="1" x14ac:dyDescent="0.25">
      <c r="A151" s="422">
        <v>144</v>
      </c>
      <c r="B151" s="422" t="s">
        <v>3</v>
      </c>
      <c r="C151" s="423" t="s">
        <v>191</v>
      </c>
      <c r="D151" s="422">
        <f t="shared" si="4"/>
        <v>6776</v>
      </c>
      <c r="E151" s="422">
        <f>6914+3-141</f>
        <v>6776</v>
      </c>
      <c r="F151" s="422"/>
      <c r="G151" s="422">
        <v>0</v>
      </c>
      <c r="H151" s="422">
        <f>640-141</f>
        <v>499</v>
      </c>
      <c r="I151" s="422">
        <v>62</v>
      </c>
      <c r="J151" s="422">
        <f>0+3</f>
        <v>3</v>
      </c>
      <c r="K151" s="422"/>
      <c r="L151" s="422"/>
    </row>
    <row r="152" spans="1:12" s="419" customFormat="1" x14ac:dyDescent="0.25">
      <c r="A152" s="422">
        <v>145</v>
      </c>
      <c r="B152" s="422" t="s">
        <v>11</v>
      </c>
      <c r="C152" s="423" t="s">
        <v>8</v>
      </c>
      <c r="D152" s="422">
        <f t="shared" si="4"/>
        <v>243</v>
      </c>
      <c r="E152" s="422">
        <f>475-232</f>
        <v>243</v>
      </c>
      <c r="F152" s="422"/>
      <c r="G152" s="422">
        <v>0</v>
      </c>
      <c r="H152" s="422">
        <v>0</v>
      </c>
      <c r="I152" s="422">
        <v>0</v>
      </c>
      <c r="J152" s="422">
        <v>0</v>
      </c>
      <c r="K152" s="422"/>
      <c r="L152" s="422"/>
    </row>
    <row r="153" spans="1:12" s="419" customFormat="1" x14ac:dyDescent="0.25">
      <c r="A153" s="422">
        <v>146</v>
      </c>
      <c r="B153" s="424" t="s">
        <v>398</v>
      </c>
      <c r="C153" s="425" t="s">
        <v>399</v>
      </c>
      <c r="D153" s="422"/>
      <c r="E153" s="422"/>
      <c r="F153" s="422"/>
      <c r="G153" s="422"/>
      <c r="H153" s="422"/>
      <c r="I153" s="422"/>
      <c r="J153" s="422"/>
      <c r="K153" s="422"/>
      <c r="L153" s="422"/>
    </row>
    <row r="154" spans="1:12" s="419" customFormat="1" x14ac:dyDescent="0.25">
      <c r="A154" s="422">
        <v>147</v>
      </c>
      <c r="B154" s="424" t="s">
        <v>400</v>
      </c>
      <c r="C154" s="425" t="s">
        <v>517</v>
      </c>
      <c r="D154" s="422"/>
      <c r="E154" s="422"/>
      <c r="F154" s="422"/>
      <c r="G154" s="422"/>
      <c r="H154" s="422"/>
      <c r="I154" s="422"/>
      <c r="J154" s="422"/>
      <c r="K154" s="422"/>
      <c r="L154" s="422"/>
    </row>
    <row r="155" spans="1:12" s="419" customFormat="1" x14ac:dyDescent="0.25">
      <c r="A155" s="422">
        <v>148</v>
      </c>
      <c r="B155" s="422" t="s">
        <v>192</v>
      </c>
      <c r="C155" s="423" t="s">
        <v>193</v>
      </c>
      <c r="D155" s="422">
        <f t="shared" si="4"/>
        <v>6290</v>
      </c>
      <c r="E155" s="422">
        <f>5890</f>
        <v>5890</v>
      </c>
      <c r="F155" s="422">
        <v>100</v>
      </c>
      <c r="G155" s="422">
        <v>0</v>
      </c>
      <c r="H155" s="422">
        <f>5790</f>
        <v>5790</v>
      </c>
      <c r="I155" s="422">
        <v>0</v>
      </c>
      <c r="J155" s="422">
        <v>0</v>
      </c>
      <c r="K155" s="422"/>
      <c r="L155" s="422">
        <f>L156+L157</f>
        <v>400</v>
      </c>
    </row>
    <row r="156" spans="1:12" s="419" customFormat="1" ht="24" x14ac:dyDescent="0.25">
      <c r="A156" s="422"/>
      <c r="B156" s="422"/>
      <c r="C156" s="441" t="s">
        <v>583</v>
      </c>
      <c r="D156" s="422">
        <f t="shared" si="4"/>
        <v>347</v>
      </c>
      <c r="E156" s="422"/>
      <c r="F156" s="422"/>
      <c r="G156" s="422"/>
      <c r="H156" s="422"/>
      <c r="I156" s="422"/>
      <c r="J156" s="422"/>
      <c r="K156" s="422"/>
      <c r="L156" s="422">
        <f>326+21</f>
        <v>347</v>
      </c>
    </row>
    <row r="157" spans="1:12" s="419" customFormat="1" ht="24" x14ac:dyDescent="0.25">
      <c r="A157" s="422"/>
      <c r="B157" s="422"/>
      <c r="C157" s="441" t="s">
        <v>584</v>
      </c>
      <c r="D157" s="422">
        <f t="shared" si="4"/>
        <v>53</v>
      </c>
      <c r="E157" s="422"/>
      <c r="F157" s="422"/>
      <c r="G157" s="422"/>
      <c r="H157" s="422"/>
      <c r="I157" s="422"/>
      <c r="J157" s="422"/>
      <c r="K157" s="422"/>
      <c r="L157" s="422">
        <f>67-14</f>
        <v>53</v>
      </c>
    </row>
  </sheetData>
  <mergeCells count="11">
    <mergeCell ref="A5:C5"/>
    <mergeCell ref="A6:C6"/>
    <mergeCell ref="A7:C7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AH139"/>
  <sheetViews>
    <sheetView zoomScaleSheetLayoutView="130" workbookViewId="0">
      <pane xSplit="3" ySplit="13" topLeftCell="Y14" activePane="bottomRight" state="frozen"/>
      <selection activeCell="D129" sqref="D129"/>
      <selection pane="topRight" activeCell="D129" sqref="D129"/>
      <selection pane="bottomLeft" activeCell="D129" sqref="D129"/>
      <selection pane="bottomRight" activeCell="AG24" sqref="AG24"/>
    </sheetView>
  </sheetViews>
  <sheetFormatPr defaultRowHeight="12.75" x14ac:dyDescent="0.2"/>
  <cols>
    <col min="1" max="1" width="5" style="151" customWidth="1"/>
    <col min="2" max="2" width="8.140625" style="151" customWidth="1"/>
    <col min="3" max="3" width="30" style="151" customWidth="1"/>
    <col min="4" max="4" width="9.7109375" style="151" customWidth="1"/>
    <col min="5" max="5" width="11" style="151" customWidth="1"/>
    <col min="6" max="6" width="9.5703125" style="151" customWidth="1"/>
    <col min="7" max="8" width="8.140625" style="189" customWidth="1"/>
    <col min="9" max="9" width="7.85546875" style="189" customWidth="1"/>
    <col min="10" max="10" width="6.7109375" style="189" customWidth="1"/>
    <col min="11" max="11" width="9.5703125" style="189" customWidth="1"/>
    <col min="12" max="12" width="10.28515625" style="189" customWidth="1"/>
    <col min="13" max="13" width="10.140625" style="189" customWidth="1"/>
    <col min="14" max="14" width="11.28515625" style="189" customWidth="1"/>
    <col min="15" max="15" width="8.140625" style="189" customWidth="1"/>
    <col min="16" max="21" width="11.5703125" style="189" customWidth="1"/>
    <col min="22" max="22" width="8.28515625" style="189" customWidth="1"/>
    <col min="23" max="23" width="7.28515625" style="189" customWidth="1"/>
    <col min="24" max="24" width="10.140625" style="189" customWidth="1"/>
    <col min="25" max="25" width="9.5703125" style="189" customWidth="1"/>
    <col min="26" max="26" width="8.7109375" style="189" customWidth="1"/>
    <col min="27" max="27" width="12.28515625" style="189" customWidth="1"/>
    <col min="28" max="32" width="9.85546875" style="189" customWidth="1"/>
    <col min="33" max="33" width="12.7109375" style="189" customWidth="1"/>
    <col min="34" max="34" width="12.140625" style="151" customWidth="1"/>
    <col min="35" max="16384" width="9.140625" style="151"/>
  </cols>
  <sheetData>
    <row r="1" spans="1:34" ht="24.75" customHeight="1" x14ac:dyDescent="0.2">
      <c r="A1" s="596" t="s">
        <v>282</v>
      </c>
      <c r="B1" s="596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</row>
    <row r="2" spans="1:34" ht="9.75" customHeight="1" x14ac:dyDescent="0.2">
      <c r="A2" s="152"/>
      <c r="B2" s="152"/>
      <c r="C2" s="152"/>
      <c r="D2" s="153"/>
      <c r="E2" s="153"/>
      <c r="F2" s="153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</row>
    <row r="3" spans="1:34" s="155" customFormat="1" ht="12.75" customHeight="1" x14ac:dyDescent="0.2">
      <c r="A3" s="598" t="s">
        <v>0</v>
      </c>
      <c r="B3" s="598" t="s">
        <v>219</v>
      </c>
      <c r="C3" s="598" t="s">
        <v>230</v>
      </c>
      <c r="D3" s="601" t="s">
        <v>283</v>
      </c>
      <c r="E3" s="601"/>
      <c r="F3" s="601"/>
      <c r="G3" s="602" t="s">
        <v>284</v>
      </c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  <c r="Z3" s="602"/>
      <c r="AA3" s="602"/>
      <c r="AB3" s="602"/>
      <c r="AC3" s="602"/>
      <c r="AD3" s="602"/>
      <c r="AE3" s="602"/>
      <c r="AF3" s="602"/>
      <c r="AG3" s="602"/>
      <c r="AH3" s="602"/>
    </row>
    <row r="4" spans="1:34" s="155" customFormat="1" ht="15.75" customHeight="1" x14ac:dyDescent="0.2">
      <c r="A4" s="599"/>
      <c r="B4" s="599"/>
      <c r="C4" s="599"/>
      <c r="D4" s="598" t="s">
        <v>285</v>
      </c>
      <c r="E4" s="603" t="s">
        <v>18</v>
      </c>
      <c r="F4" s="604"/>
      <c r="G4" s="609" t="s">
        <v>286</v>
      </c>
      <c r="H4" s="610"/>
      <c r="I4" s="609" t="s">
        <v>287</v>
      </c>
      <c r="J4" s="610"/>
      <c r="K4" s="609" t="s">
        <v>288</v>
      </c>
      <c r="L4" s="615"/>
      <c r="M4" s="615"/>
      <c r="N4" s="609" t="s">
        <v>289</v>
      </c>
      <c r="O4" s="610"/>
      <c r="P4" s="602" t="s">
        <v>290</v>
      </c>
      <c r="Q4" s="602"/>
      <c r="R4" s="602"/>
      <c r="S4" s="602"/>
      <c r="T4" s="602"/>
      <c r="U4" s="602"/>
      <c r="V4" s="609" t="s">
        <v>291</v>
      </c>
      <c r="W4" s="610"/>
      <c r="X4" s="602" t="s">
        <v>292</v>
      </c>
      <c r="Y4" s="602"/>
      <c r="Z4" s="602"/>
      <c r="AA4" s="602"/>
      <c r="AB4" s="602"/>
      <c r="AC4" s="602"/>
      <c r="AD4" s="602"/>
      <c r="AE4" s="602"/>
      <c r="AF4" s="602"/>
      <c r="AG4" s="602"/>
      <c r="AH4" s="602"/>
    </row>
    <row r="5" spans="1:34" s="155" customFormat="1" ht="15.75" customHeight="1" x14ac:dyDescent="0.2">
      <c r="A5" s="599"/>
      <c r="B5" s="599"/>
      <c r="C5" s="599"/>
      <c r="D5" s="599"/>
      <c r="E5" s="605"/>
      <c r="F5" s="606"/>
      <c r="G5" s="611"/>
      <c r="H5" s="612"/>
      <c r="I5" s="611"/>
      <c r="J5" s="612"/>
      <c r="K5" s="613"/>
      <c r="L5" s="616"/>
      <c r="M5" s="616"/>
      <c r="N5" s="611"/>
      <c r="O5" s="612"/>
      <c r="P5" s="603" t="s">
        <v>293</v>
      </c>
      <c r="Q5" s="604"/>
      <c r="R5" s="602" t="s">
        <v>294</v>
      </c>
      <c r="S5" s="602"/>
      <c r="T5" s="602"/>
      <c r="U5" s="602"/>
      <c r="V5" s="611"/>
      <c r="W5" s="612"/>
      <c r="X5" s="609" t="s">
        <v>1</v>
      </c>
      <c r="Y5" s="602" t="s">
        <v>18</v>
      </c>
      <c r="Z5" s="602"/>
      <c r="AA5" s="602"/>
      <c r="AB5" s="602"/>
      <c r="AC5" s="602"/>
      <c r="AD5" s="602"/>
      <c r="AE5" s="602"/>
      <c r="AF5" s="602"/>
      <c r="AG5" s="602"/>
      <c r="AH5" s="602"/>
    </row>
    <row r="6" spans="1:34" s="155" customFormat="1" ht="47.25" customHeight="1" x14ac:dyDescent="0.2">
      <c r="A6" s="599"/>
      <c r="B6" s="599"/>
      <c r="C6" s="599"/>
      <c r="D6" s="599"/>
      <c r="E6" s="605"/>
      <c r="F6" s="606"/>
      <c r="G6" s="611"/>
      <c r="H6" s="612"/>
      <c r="I6" s="611"/>
      <c r="J6" s="612"/>
      <c r="K6" s="602" t="s">
        <v>295</v>
      </c>
      <c r="L6" s="602" t="s">
        <v>296</v>
      </c>
      <c r="M6" s="602" t="s">
        <v>297</v>
      </c>
      <c r="N6" s="611"/>
      <c r="O6" s="612"/>
      <c r="P6" s="605"/>
      <c r="Q6" s="606"/>
      <c r="R6" s="617" t="s">
        <v>298</v>
      </c>
      <c r="S6" s="618"/>
      <c r="T6" s="617" t="s">
        <v>299</v>
      </c>
      <c r="U6" s="618"/>
      <c r="V6" s="611"/>
      <c r="W6" s="612"/>
      <c r="X6" s="613"/>
      <c r="Y6" s="602" t="s">
        <v>300</v>
      </c>
      <c r="Z6" s="602"/>
      <c r="AA6" s="629" t="s">
        <v>301</v>
      </c>
      <c r="AB6" s="630"/>
      <c r="AC6" s="630"/>
      <c r="AD6" s="630"/>
      <c r="AE6" s="630"/>
      <c r="AF6" s="631"/>
      <c r="AG6" s="609" t="s">
        <v>302</v>
      </c>
      <c r="AH6" s="610"/>
    </row>
    <row r="7" spans="1:34" s="156" customFormat="1" ht="22.5" customHeight="1" x14ac:dyDescent="0.25">
      <c r="A7" s="599"/>
      <c r="B7" s="599"/>
      <c r="C7" s="599"/>
      <c r="D7" s="599"/>
      <c r="E7" s="605"/>
      <c r="F7" s="606"/>
      <c r="G7" s="613"/>
      <c r="H7" s="614"/>
      <c r="I7" s="613"/>
      <c r="J7" s="614"/>
      <c r="K7" s="602"/>
      <c r="L7" s="602"/>
      <c r="M7" s="602"/>
      <c r="N7" s="613"/>
      <c r="O7" s="614"/>
      <c r="P7" s="605"/>
      <c r="Q7" s="606"/>
      <c r="R7" s="619"/>
      <c r="S7" s="620"/>
      <c r="T7" s="619"/>
      <c r="U7" s="620"/>
      <c r="V7" s="613"/>
      <c r="W7" s="614"/>
      <c r="X7" s="623" t="s">
        <v>303</v>
      </c>
      <c r="Y7" s="603" t="s">
        <v>303</v>
      </c>
      <c r="Z7" s="604"/>
      <c r="AA7" s="603" t="s">
        <v>293</v>
      </c>
      <c r="AB7" s="604"/>
      <c r="AC7" s="626" t="s">
        <v>294</v>
      </c>
      <c r="AD7" s="627"/>
      <c r="AE7" s="627"/>
      <c r="AF7" s="628"/>
      <c r="AG7" s="613"/>
      <c r="AH7" s="614"/>
    </row>
    <row r="8" spans="1:34" s="156" customFormat="1" ht="33.75" customHeight="1" x14ac:dyDescent="0.25">
      <c r="A8" s="599"/>
      <c r="B8" s="599"/>
      <c r="C8" s="599"/>
      <c r="D8" s="599"/>
      <c r="E8" s="607"/>
      <c r="F8" s="608"/>
      <c r="G8" s="601" t="s">
        <v>303</v>
      </c>
      <c r="H8" s="601"/>
      <c r="I8" s="601" t="s">
        <v>303</v>
      </c>
      <c r="J8" s="601"/>
      <c r="K8" s="626" t="s">
        <v>303</v>
      </c>
      <c r="L8" s="627"/>
      <c r="M8" s="628"/>
      <c r="N8" s="601" t="s">
        <v>303</v>
      </c>
      <c r="O8" s="601"/>
      <c r="P8" s="607"/>
      <c r="Q8" s="608"/>
      <c r="R8" s="621"/>
      <c r="S8" s="622"/>
      <c r="T8" s="621"/>
      <c r="U8" s="622"/>
      <c r="V8" s="601" t="s">
        <v>303</v>
      </c>
      <c r="W8" s="601"/>
      <c r="X8" s="624"/>
      <c r="Y8" s="607"/>
      <c r="Z8" s="608"/>
      <c r="AA8" s="607"/>
      <c r="AB8" s="608"/>
      <c r="AC8" s="617" t="s">
        <v>298</v>
      </c>
      <c r="AD8" s="618"/>
      <c r="AE8" s="626" t="s">
        <v>299</v>
      </c>
      <c r="AF8" s="628"/>
      <c r="AG8" s="601" t="s">
        <v>303</v>
      </c>
      <c r="AH8" s="601"/>
    </row>
    <row r="9" spans="1:34" s="155" customFormat="1" ht="31.5" customHeight="1" x14ac:dyDescent="0.2">
      <c r="A9" s="600"/>
      <c r="B9" s="600"/>
      <c r="C9" s="600"/>
      <c r="D9" s="600"/>
      <c r="E9" s="157" t="s">
        <v>304</v>
      </c>
      <c r="F9" s="157" t="s">
        <v>305</v>
      </c>
      <c r="G9" s="157" t="s">
        <v>304</v>
      </c>
      <c r="H9" s="157" t="s">
        <v>305</v>
      </c>
      <c r="I9" s="157" t="s">
        <v>304</v>
      </c>
      <c r="J9" s="157" t="s">
        <v>305</v>
      </c>
      <c r="K9" s="157" t="s">
        <v>304</v>
      </c>
      <c r="L9" s="157" t="s">
        <v>304</v>
      </c>
      <c r="M9" s="157" t="s">
        <v>304</v>
      </c>
      <c r="N9" s="157" t="s">
        <v>304</v>
      </c>
      <c r="O9" s="157" t="s">
        <v>305</v>
      </c>
      <c r="P9" s="157" t="s">
        <v>304</v>
      </c>
      <c r="Q9" s="157" t="s">
        <v>305</v>
      </c>
      <c r="R9" s="157" t="s">
        <v>304</v>
      </c>
      <c r="S9" s="157" t="s">
        <v>305</v>
      </c>
      <c r="T9" s="157" t="s">
        <v>304</v>
      </c>
      <c r="U9" s="157" t="s">
        <v>305</v>
      </c>
      <c r="V9" s="157" t="s">
        <v>304</v>
      </c>
      <c r="W9" s="157" t="s">
        <v>305</v>
      </c>
      <c r="X9" s="625"/>
      <c r="Y9" s="157" t="s">
        <v>304</v>
      </c>
      <c r="Z9" s="157" t="s">
        <v>305</v>
      </c>
      <c r="AA9" s="157" t="s">
        <v>304</v>
      </c>
      <c r="AB9" s="157" t="s">
        <v>305</v>
      </c>
      <c r="AC9" s="157" t="s">
        <v>304</v>
      </c>
      <c r="AD9" s="157" t="s">
        <v>305</v>
      </c>
      <c r="AE9" s="157" t="s">
        <v>304</v>
      </c>
      <c r="AF9" s="157" t="s">
        <v>305</v>
      </c>
      <c r="AG9" s="157" t="s">
        <v>304</v>
      </c>
      <c r="AH9" s="158" t="s">
        <v>305</v>
      </c>
    </row>
    <row r="10" spans="1:34" s="155" customFormat="1" ht="12" x14ac:dyDescent="0.2">
      <c r="A10" s="579" t="s">
        <v>1</v>
      </c>
      <c r="B10" s="579"/>
      <c r="C10" s="579"/>
      <c r="D10" s="159">
        <f>D11+D12+D13</f>
        <v>7153215</v>
      </c>
      <c r="E10" s="159">
        <f t="shared" ref="E10:AH10" si="0">E11+E12+E13</f>
        <v>5329730</v>
      </c>
      <c r="F10" s="159">
        <f t="shared" si="0"/>
        <v>1801714</v>
      </c>
      <c r="G10" s="159">
        <f t="shared" si="0"/>
        <v>19803</v>
      </c>
      <c r="H10" s="159">
        <f t="shared" si="0"/>
        <v>5</v>
      </c>
      <c r="I10" s="159">
        <f t="shared" si="0"/>
        <v>64196</v>
      </c>
      <c r="J10" s="159">
        <f t="shared" si="0"/>
        <v>22</v>
      </c>
      <c r="K10" s="159">
        <f t="shared" si="0"/>
        <v>832</v>
      </c>
      <c r="L10" s="159">
        <f t="shared" si="0"/>
        <v>832</v>
      </c>
      <c r="M10" s="159">
        <f t="shared" si="0"/>
        <v>3336</v>
      </c>
      <c r="N10" s="159">
        <f t="shared" si="0"/>
        <v>144545</v>
      </c>
      <c r="O10" s="159">
        <f t="shared" si="0"/>
        <v>21207</v>
      </c>
      <c r="P10" s="159">
        <f t="shared" si="0"/>
        <v>191468</v>
      </c>
      <c r="Q10" s="159">
        <f t="shared" si="0"/>
        <v>92039</v>
      </c>
      <c r="R10" s="159">
        <f t="shared" si="0"/>
        <v>86660</v>
      </c>
      <c r="S10" s="159">
        <f t="shared" si="0"/>
        <v>37882</v>
      </c>
      <c r="T10" s="159">
        <f t="shared" si="0"/>
        <v>9030</v>
      </c>
      <c r="U10" s="159">
        <f t="shared" si="0"/>
        <v>8746</v>
      </c>
      <c r="V10" s="159">
        <f t="shared" si="0"/>
        <v>24626</v>
      </c>
      <c r="W10" s="159">
        <f t="shared" si="0"/>
        <v>17930</v>
      </c>
      <c r="X10" s="159">
        <f t="shared" si="0"/>
        <v>6552067</v>
      </c>
      <c r="Y10" s="159">
        <f t="shared" si="0"/>
        <v>892900</v>
      </c>
      <c r="Z10" s="159">
        <f t="shared" si="0"/>
        <v>146842</v>
      </c>
      <c r="AA10" s="159">
        <f t="shared" si="0"/>
        <v>556154</v>
      </c>
      <c r="AB10" s="159">
        <f t="shared" si="0"/>
        <v>191225</v>
      </c>
      <c r="AC10" s="159">
        <f t="shared" si="0"/>
        <v>215837</v>
      </c>
      <c r="AD10" s="159">
        <f t="shared" si="0"/>
        <v>72543</v>
      </c>
      <c r="AE10" s="159">
        <f t="shared" si="0"/>
        <v>62188</v>
      </c>
      <c r="AF10" s="159">
        <f t="shared" si="0"/>
        <v>23050</v>
      </c>
      <c r="AG10" s="159">
        <f t="shared" si="0"/>
        <v>3432502</v>
      </c>
      <c r="AH10" s="159">
        <f t="shared" si="0"/>
        <v>1332444</v>
      </c>
    </row>
    <row r="11" spans="1:34" s="155" customFormat="1" ht="12" customHeight="1" x14ac:dyDescent="0.2">
      <c r="A11" s="580" t="s">
        <v>19</v>
      </c>
      <c r="B11" s="581"/>
      <c r="C11" s="582"/>
      <c r="D11" s="160">
        <v>20307</v>
      </c>
      <c r="E11" s="161"/>
      <c r="F11" s="161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62"/>
      <c r="Y11" s="157"/>
      <c r="Z11" s="157"/>
      <c r="AA11" s="157"/>
      <c r="AB11" s="157"/>
      <c r="AC11" s="157"/>
      <c r="AD11" s="157"/>
      <c r="AE11" s="157"/>
      <c r="AF11" s="157"/>
      <c r="AG11" s="157"/>
      <c r="AH11" s="158"/>
    </row>
    <row r="12" spans="1:34" s="155" customFormat="1" ht="12" customHeight="1" x14ac:dyDescent="0.2">
      <c r="A12" s="580" t="s">
        <v>306</v>
      </c>
      <c r="B12" s="581"/>
      <c r="C12" s="582"/>
      <c r="D12" s="160">
        <v>1464</v>
      </c>
      <c r="E12" s="161"/>
      <c r="F12" s="161"/>
      <c r="G12" s="157"/>
      <c r="H12" s="157"/>
      <c r="I12" s="157"/>
      <c r="J12" s="157"/>
      <c r="K12" s="157"/>
      <c r="L12" s="157"/>
      <c r="M12" s="157"/>
      <c r="N12" s="157">
        <v>1464</v>
      </c>
      <c r="O12" s="157"/>
      <c r="P12" s="157"/>
      <c r="Q12" s="157"/>
      <c r="R12" s="157"/>
      <c r="S12" s="157"/>
      <c r="T12" s="157"/>
      <c r="U12" s="157"/>
      <c r="V12" s="157"/>
      <c r="W12" s="157"/>
      <c r="X12" s="162"/>
      <c r="Y12" s="157"/>
      <c r="Z12" s="157"/>
      <c r="AA12" s="157"/>
      <c r="AB12" s="157"/>
      <c r="AC12" s="157"/>
      <c r="AD12" s="157"/>
      <c r="AE12" s="157"/>
      <c r="AF12" s="157"/>
      <c r="AG12" s="157"/>
      <c r="AH12" s="158"/>
    </row>
    <row r="13" spans="1:34" s="155" customFormat="1" ht="12" customHeight="1" x14ac:dyDescent="0.2">
      <c r="A13" s="580" t="s">
        <v>20</v>
      </c>
      <c r="B13" s="581"/>
      <c r="C13" s="582"/>
      <c r="D13" s="159">
        <f>SUM(D14:D138)</f>
        <v>7131444</v>
      </c>
      <c r="E13" s="159">
        <f t="shared" ref="E13:AH13" si="1">SUM(E14:E138)</f>
        <v>5329730</v>
      </c>
      <c r="F13" s="159">
        <f t="shared" si="1"/>
        <v>1801714</v>
      </c>
      <c r="G13" s="159">
        <f t="shared" si="1"/>
        <v>19803</v>
      </c>
      <c r="H13" s="159">
        <f t="shared" si="1"/>
        <v>5</v>
      </c>
      <c r="I13" s="159">
        <f t="shared" si="1"/>
        <v>64196</v>
      </c>
      <c r="J13" s="159">
        <f t="shared" si="1"/>
        <v>22</v>
      </c>
      <c r="K13" s="159">
        <f t="shared" si="1"/>
        <v>832</v>
      </c>
      <c r="L13" s="159">
        <f t="shared" si="1"/>
        <v>832</v>
      </c>
      <c r="M13" s="159">
        <f t="shared" si="1"/>
        <v>3336</v>
      </c>
      <c r="N13" s="159">
        <f t="shared" si="1"/>
        <v>143081</v>
      </c>
      <c r="O13" s="159">
        <f t="shared" si="1"/>
        <v>21207</v>
      </c>
      <c r="P13" s="159">
        <f t="shared" si="1"/>
        <v>191468</v>
      </c>
      <c r="Q13" s="159">
        <f t="shared" si="1"/>
        <v>92039</v>
      </c>
      <c r="R13" s="159">
        <f t="shared" si="1"/>
        <v>86660</v>
      </c>
      <c r="S13" s="159">
        <f t="shared" si="1"/>
        <v>37882</v>
      </c>
      <c r="T13" s="159">
        <f t="shared" si="1"/>
        <v>9030</v>
      </c>
      <c r="U13" s="159">
        <f t="shared" si="1"/>
        <v>8746</v>
      </c>
      <c r="V13" s="159">
        <f t="shared" si="1"/>
        <v>24626</v>
      </c>
      <c r="W13" s="159">
        <f t="shared" si="1"/>
        <v>17930</v>
      </c>
      <c r="X13" s="159">
        <f t="shared" si="1"/>
        <v>6552067</v>
      </c>
      <c r="Y13" s="159">
        <f t="shared" si="1"/>
        <v>892900</v>
      </c>
      <c r="Z13" s="159">
        <f t="shared" si="1"/>
        <v>146842</v>
      </c>
      <c r="AA13" s="159">
        <f t="shared" si="1"/>
        <v>556154</v>
      </c>
      <c r="AB13" s="159">
        <f t="shared" si="1"/>
        <v>191225</v>
      </c>
      <c r="AC13" s="159">
        <f t="shared" si="1"/>
        <v>215837</v>
      </c>
      <c r="AD13" s="159">
        <f t="shared" si="1"/>
        <v>72543</v>
      </c>
      <c r="AE13" s="159">
        <f t="shared" si="1"/>
        <v>62188</v>
      </c>
      <c r="AF13" s="159">
        <f t="shared" si="1"/>
        <v>23050</v>
      </c>
      <c r="AG13" s="159">
        <f t="shared" si="1"/>
        <v>3432502</v>
      </c>
      <c r="AH13" s="159">
        <f t="shared" si="1"/>
        <v>1332444</v>
      </c>
    </row>
    <row r="14" spans="1:34" ht="15.75" customHeight="1" x14ac:dyDescent="0.2">
      <c r="A14" s="163">
        <v>1</v>
      </c>
      <c r="B14" s="164" t="s">
        <v>21</v>
      </c>
      <c r="C14" s="165" t="s">
        <v>22</v>
      </c>
      <c r="D14" s="166">
        <f t="shared" ref="D14:D77" si="2">E14+F14</f>
        <v>31988</v>
      </c>
      <c r="E14" s="166">
        <f>G14+I14+K14+L14+M14+N14+P14+V14+Y14+AA14+AG14</f>
        <v>23269</v>
      </c>
      <c r="F14" s="166">
        <f t="shared" ref="F14:F77" si="3">H14+J14+O14+Q14+W14+Z14+AB14+AH14</f>
        <v>8719</v>
      </c>
      <c r="G14" s="166">
        <v>0</v>
      </c>
      <c r="H14" s="166">
        <v>0</v>
      </c>
      <c r="I14" s="166">
        <v>0</v>
      </c>
      <c r="J14" s="166">
        <v>0</v>
      </c>
      <c r="K14" s="166">
        <f>'[9]Обращ V и фин ПР 10'!O13</f>
        <v>0</v>
      </c>
      <c r="L14" s="166">
        <f>'[9]Обращ V и фин ПР 10'!P13</f>
        <v>0</v>
      </c>
      <c r="M14" s="166">
        <f>'[9]Обращ V и фин ПР 10'!Q13</f>
        <v>0</v>
      </c>
      <c r="N14" s="166">
        <f>'[9]Обращ V и фин ПР 10'!S13</f>
        <v>0</v>
      </c>
      <c r="O14" s="166">
        <f>'[9]Обращ V и фин ПР 10'!T13</f>
        <v>0</v>
      </c>
      <c r="P14" s="166">
        <f>'[9]Обращ V и фин ПР 10'!V13</f>
        <v>0</v>
      </c>
      <c r="Q14" s="166">
        <f>'[9]Обращ V и фин ПР 10'!W13</f>
        <v>0</v>
      </c>
      <c r="R14" s="166">
        <v>0</v>
      </c>
      <c r="S14" s="166">
        <v>0</v>
      </c>
      <c r="T14" s="166">
        <v>0</v>
      </c>
      <c r="U14" s="166">
        <v>0</v>
      </c>
      <c r="V14" s="166">
        <f>'[9]Обращ V и фин ПР 10'!Y13</f>
        <v>0</v>
      </c>
      <c r="W14" s="166">
        <f>'[9]Обращ V и фин ПР 10'!Z13</f>
        <v>0</v>
      </c>
      <c r="X14" s="167">
        <f t="shared" ref="X14:X77" si="4">Y14+Z14+AA14+AB14+AG14+AH14</f>
        <v>31988</v>
      </c>
      <c r="Y14" s="166">
        <v>4395</v>
      </c>
      <c r="Z14" s="166">
        <v>329</v>
      </c>
      <c r="AA14" s="166">
        <v>2442</v>
      </c>
      <c r="AB14" s="166">
        <v>373</v>
      </c>
      <c r="AC14" s="166">
        <v>1221</v>
      </c>
      <c r="AD14" s="166">
        <v>187</v>
      </c>
      <c r="AE14" s="166">
        <v>0</v>
      </c>
      <c r="AF14" s="166">
        <v>0</v>
      </c>
      <c r="AG14" s="166">
        <v>16432</v>
      </c>
      <c r="AH14" s="166">
        <v>8017</v>
      </c>
    </row>
    <row r="15" spans="1:34" ht="15.75" customHeight="1" x14ac:dyDescent="0.2">
      <c r="A15" s="163">
        <v>2</v>
      </c>
      <c r="B15" s="164" t="s">
        <v>23</v>
      </c>
      <c r="C15" s="165" t="s">
        <v>195</v>
      </c>
      <c r="D15" s="166">
        <f t="shared" si="2"/>
        <v>32703</v>
      </c>
      <c r="E15" s="166">
        <f t="shared" ref="E15:E78" si="5">G15+I15+K15+L15+M15+N15+P15+V15+Y15+AA15+AG15</f>
        <v>26280</v>
      </c>
      <c r="F15" s="166">
        <f t="shared" si="3"/>
        <v>6423</v>
      </c>
      <c r="G15" s="166">
        <v>0</v>
      </c>
      <c r="H15" s="166">
        <v>0</v>
      </c>
      <c r="I15" s="166">
        <v>0</v>
      </c>
      <c r="J15" s="166">
        <v>0</v>
      </c>
      <c r="K15" s="166">
        <f>'[9]Обращ V и фин ПР 10'!O14</f>
        <v>0</v>
      </c>
      <c r="L15" s="166">
        <f>'[9]Обращ V и фин ПР 10'!P14</f>
        <v>0</v>
      </c>
      <c r="M15" s="166">
        <f>'[9]Обращ V и фин ПР 10'!Q14</f>
        <v>0</v>
      </c>
      <c r="N15" s="166">
        <f>'[9]Обращ V и фин ПР 10'!S14</f>
        <v>0</v>
      </c>
      <c r="O15" s="166">
        <f>'[9]Обращ V и фин ПР 10'!T14</f>
        <v>0</v>
      </c>
      <c r="P15" s="166">
        <f>'[9]Обращ V и фин ПР 10'!V14</f>
        <v>0</v>
      </c>
      <c r="Q15" s="166">
        <f>'[9]Обращ V и фин ПР 10'!W14</f>
        <v>0</v>
      </c>
      <c r="R15" s="166">
        <v>0</v>
      </c>
      <c r="S15" s="166">
        <v>0</v>
      </c>
      <c r="T15" s="166">
        <v>0</v>
      </c>
      <c r="U15" s="166">
        <v>0</v>
      </c>
      <c r="V15" s="166">
        <f>'[9]Обращ V и фин ПР 10'!Y14</f>
        <v>0</v>
      </c>
      <c r="W15" s="166">
        <f>'[9]Обращ V и фин ПР 10'!Z14</f>
        <v>0</v>
      </c>
      <c r="X15" s="167">
        <f t="shared" si="4"/>
        <v>32703</v>
      </c>
      <c r="Y15" s="166">
        <v>2370</v>
      </c>
      <c r="Z15" s="166">
        <v>180</v>
      </c>
      <c r="AA15" s="166">
        <v>4438</v>
      </c>
      <c r="AB15" s="166">
        <v>1080</v>
      </c>
      <c r="AC15" s="166">
        <v>2219</v>
      </c>
      <c r="AD15" s="166">
        <v>540</v>
      </c>
      <c r="AE15" s="166">
        <v>0</v>
      </c>
      <c r="AF15" s="166">
        <v>0</v>
      </c>
      <c r="AG15" s="166">
        <v>19472</v>
      </c>
      <c r="AH15" s="166">
        <v>5163</v>
      </c>
    </row>
    <row r="16" spans="1:34" ht="13.5" customHeight="1" x14ac:dyDescent="0.2">
      <c r="A16" s="163">
        <v>3</v>
      </c>
      <c r="B16" s="164" t="s">
        <v>24</v>
      </c>
      <c r="C16" s="165" t="s">
        <v>25</v>
      </c>
      <c r="D16" s="166">
        <f t="shared" si="2"/>
        <v>101195</v>
      </c>
      <c r="E16" s="166">
        <f t="shared" si="5"/>
        <v>76131</v>
      </c>
      <c r="F16" s="166">
        <f t="shared" si="3"/>
        <v>25064</v>
      </c>
      <c r="G16" s="166">
        <v>3465</v>
      </c>
      <c r="H16" s="166">
        <v>5</v>
      </c>
      <c r="I16" s="166">
        <v>316</v>
      </c>
      <c r="J16" s="166">
        <v>0</v>
      </c>
      <c r="K16" s="166">
        <f>'[9]Обращ V и фин ПР 10'!O15</f>
        <v>0</v>
      </c>
      <c r="L16" s="166">
        <f>'[9]Обращ V и фин ПР 10'!P15</f>
        <v>0</v>
      </c>
      <c r="M16" s="166">
        <f>'[9]Обращ V и фин ПР 10'!Q15</f>
        <v>0</v>
      </c>
      <c r="N16" s="166">
        <f>'[9]Обращ V и фин ПР 10'!S15</f>
        <v>0</v>
      </c>
      <c r="O16" s="166">
        <f>'[9]Обращ V и фин ПР 10'!T15</f>
        <v>0</v>
      </c>
      <c r="P16" s="166">
        <f>'[9]Обращ V и фин ПР 10'!V15</f>
        <v>0</v>
      </c>
      <c r="Q16" s="166">
        <f>'[9]Обращ V и фин ПР 10'!W15</f>
        <v>0</v>
      </c>
      <c r="R16" s="166">
        <v>0</v>
      </c>
      <c r="S16" s="166">
        <v>0</v>
      </c>
      <c r="T16" s="166">
        <v>0</v>
      </c>
      <c r="U16" s="166">
        <v>0</v>
      </c>
      <c r="V16" s="166">
        <f>'[9]Обращ V и фин ПР 10'!Y15</f>
        <v>0</v>
      </c>
      <c r="W16" s="166">
        <f>'[9]Обращ V и фин ПР 10'!Z15</f>
        <v>0</v>
      </c>
      <c r="X16" s="167">
        <f t="shared" si="4"/>
        <v>97409</v>
      </c>
      <c r="Y16" s="166">
        <v>13436</v>
      </c>
      <c r="Z16" s="166">
        <v>2462</v>
      </c>
      <c r="AA16" s="166">
        <v>14000</v>
      </c>
      <c r="AB16" s="166">
        <v>6308</v>
      </c>
      <c r="AC16" s="166">
        <v>6669</v>
      </c>
      <c r="AD16" s="166">
        <v>3005</v>
      </c>
      <c r="AE16" s="166">
        <v>330</v>
      </c>
      <c r="AF16" s="166">
        <v>149</v>
      </c>
      <c r="AG16" s="166">
        <v>44914</v>
      </c>
      <c r="AH16" s="166">
        <v>16289</v>
      </c>
    </row>
    <row r="17" spans="1:34" ht="13.5" customHeight="1" x14ac:dyDescent="0.2">
      <c r="A17" s="163">
        <v>4</v>
      </c>
      <c r="B17" s="164" t="s">
        <v>26</v>
      </c>
      <c r="C17" s="168" t="s">
        <v>196</v>
      </c>
      <c r="D17" s="166">
        <f t="shared" si="2"/>
        <v>36037</v>
      </c>
      <c r="E17" s="166">
        <f t="shared" si="5"/>
        <v>29872</v>
      </c>
      <c r="F17" s="166">
        <f t="shared" si="3"/>
        <v>6165</v>
      </c>
      <c r="G17" s="166">
        <v>0</v>
      </c>
      <c r="H17" s="166">
        <v>0</v>
      </c>
      <c r="I17" s="166">
        <v>0</v>
      </c>
      <c r="J17" s="166">
        <v>0</v>
      </c>
      <c r="K17" s="166">
        <f>'[9]Обращ V и фин ПР 10'!O16</f>
        <v>0</v>
      </c>
      <c r="L17" s="166">
        <f>'[9]Обращ V и фин ПР 10'!P16</f>
        <v>0</v>
      </c>
      <c r="M17" s="166">
        <f>'[9]Обращ V и фин ПР 10'!Q16</f>
        <v>0</v>
      </c>
      <c r="N17" s="166">
        <f>'[9]Обращ V и фин ПР 10'!S16</f>
        <v>0</v>
      </c>
      <c r="O17" s="166">
        <f>'[9]Обращ V и фин ПР 10'!T16</f>
        <v>0</v>
      </c>
      <c r="P17" s="166">
        <f>'[9]Обращ V и фин ПР 10'!V16</f>
        <v>0</v>
      </c>
      <c r="Q17" s="166">
        <f>'[9]Обращ V и фин ПР 10'!W16</f>
        <v>0</v>
      </c>
      <c r="R17" s="166">
        <v>0</v>
      </c>
      <c r="S17" s="166">
        <v>0</v>
      </c>
      <c r="T17" s="166">
        <v>0</v>
      </c>
      <c r="U17" s="166">
        <v>0</v>
      </c>
      <c r="V17" s="166">
        <f>'[9]Обращ V и фин ПР 10'!Y16</f>
        <v>0</v>
      </c>
      <c r="W17" s="166">
        <f>'[9]Обращ V и фин ПР 10'!Z16</f>
        <v>0</v>
      </c>
      <c r="X17" s="167">
        <f t="shared" si="4"/>
        <v>36037</v>
      </c>
      <c r="Y17" s="166">
        <v>2488</v>
      </c>
      <c r="Z17" s="166">
        <v>223</v>
      </c>
      <c r="AA17" s="166">
        <v>4280</v>
      </c>
      <c r="AB17" s="166">
        <v>1497</v>
      </c>
      <c r="AC17" s="166">
        <v>1569</v>
      </c>
      <c r="AD17" s="166">
        <v>549</v>
      </c>
      <c r="AE17" s="166">
        <v>571</v>
      </c>
      <c r="AF17" s="166">
        <v>200</v>
      </c>
      <c r="AG17" s="166">
        <v>23104</v>
      </c>
      <c r="AH17" s="166">
        <v>4445</v>
      </c>
    </row>
    <row r="18" spans="1:34" ht="13.5" customHeight="1" x14ac:dyDescent="0.2">
      <c r="A18" s="163">
        <v>5</v>
      </c>
      <c r="B18" s="164" t="s">
        <v>27</v>
      </c>
      <c r="C18" s="165" t="s">
        <v>28</v>
      </c>
      <c r="D18" s="166">
        <f t="shared" si="2"/>
        <v>38683</v>
      </c>
      <c r="E18" s="166">
        <f t="shared" si="5"/>
        <v>29128</v>
      </c>
      <c r="F18" s="166">
        <f t="shared" si="3"/>
        <v>9555</v>
      </c>
      <c r="G18" s="166">
        <v>0</v>
      </c>
      <c r="H18" s="166">
        <v>0</v>
      </c>
      <c r="I18" s="166">
        <v>0</v>
      </c>
      <c r="J18" s="166">
        <v>0</v>
      </c>
      <c r="K18" s="166">
        <f>'[9]Обращ V и фин ПР 10'!O17</f>
        <v>0</v>
      </c>
      <c r="L18" s="166">
        <f>'[9]Обращ V и фин ПР 10'!P17</f>
        <v>0</v>
      </c>
      <c r="M18" s="166">
        <f>'[9]Обращ V и фин ПР 10'!Q17</f>
        <v>0</v>
      </c>
      <c r="N18" s="166">
        <f>'[9]Обращ V и фин ПР 10'!S17</f>
        <v>0</v>
      </c>
      <c r="O18" s="166">
        <f>'[9]Обращ V и фин ПР 10'!T17</f>
        <v>0</v>
      </c>
      <c r="P18" s="166">
        <f>'[9]Обращ V и фин ПР 10'!V17</f>
        <v>0</v>
      </c>
      <c r="Q18" s="166">
        <f>'[9]Обращ V и фин ПР 10'!W17</f>
        <v>0</v>
      </c>
      <c r="R18" s="166">
        <v>0</v>
      </c>
      <c r="S18" s="166">
        <v>0</v>
      </c>
      <c r="T18" s="166">
        <v>0</v>
      </c>
      <c r="U18" s="166">
        <v>0</v>
      </c>
      <c r="V18" s="166">
        <f>'[9]Обращ V и фин ПР 10'!Y17</f>
        <v>0</v>
      </c>
      <c r="W18" s="166">
        <f>'[9]Обращ V и фин ПР 10'!Z17</f>
        <v>0</v>
      </c>
      <c r="X18" s="167">
        <f t="shared" si="4"/>
        <v>38683</v>
      </c>
      <c r="Y18" s="166">
        <v>2035</v>
      </c>
      <c r="Z18" s="166">
        <v>585</v>
      </c>
      <c r="AA18" s="166">
        <v>5493</v>
      </c>
      <c r="AB18" s="166">
        <v>1680</v>
      </c>
      <c r="AC18" s="166">
        <v>2248</v>
      </c>
      <c r="AD18" s="166">
        <v>687</v>
      </c>
      <c r="AE18" s="166">
        <v>499</v>
      </c>
      <c r="AF18" s="166">
        <v>153</v>
      </c>
      <c r="AG18" s="166">
        <v>21600</v>
      </c>
      <c r="AH18" s="166">
        <v>7290</v>
      </c>
    </row>
    <row r="19" spans="1:34" ht="13.5" customHeight="1" x14ac:dyDescent="0.2">
      <c r="A19" s="163">
        <v>6</v>
      </c>
      <c r="B19" s="164" t="s">
        <v>4</v>
      </c>
      <c r="C19" s="169" t="s">
        <v>29</v>
      </c>
      <c r="D19" s="166">
        <f t="shared" si="2"/>
        <v>274223</v>
      </c>
      <c r="E19" s="166">
        <f t="shared" si="5"/>
        <v>201740</v>
      </c>
      <c r="F19" s="166">
        <f t="shared" si="3"/>
        <v>72483</v>
      </c>
      <c r="G19" s="166">
        <v>0</v>
      </c>
      <c r="H19" s="166">
        <v>0</v>
      </c>
      <c r="I19" s="166">
        <v>6399</v>
      </c>
      <c r="J19" s="166">
        <v>0</v>
      </c>
      <c r="K19" s="166">
        <f>'[9]Обращ V и фин ПР 10'!O18</f>
        <v>0</v>
      </c>
      <c r="L19" s="166">
        <f>'[9]Обращ V и фин ПР 10'!P18</f>
        <v>0</v>
      </c>
      <c r="M19" s="166">
        <f>'[9]Обращ V и фин ПР 10'!Q18</f>
        <v>0</v>
      </c>
      <c r="N19" s="166">
        <f>'[9]Обращ V и фин ПР 10'!S18</f>
        <v>0</v>
      </c>
      <c r="O19" s="166">
        <f>'[9]Обращ V и фин ПР 10'!T18</f>
        <v>0</v>
      </c>
      <c r="P19" s="166">
        <f>'[9]Обращ V и фин ПР 10'!V18</f>
        <v>0</v>
      </c>
      <c r="Q19" s="166">
        <f>'[9]Обращ V и фин ПР 10'!W18</f>
        <v>0</v>
      </c>
      <c r="R19" s="166">
        <v>0</v>
      </c>
      <c r="S19" s="166">
        <v>0</v>
      </c>
      <c r="T19" s="166">
        <v>0</v>
      </c>
      <c r="U19" s="166">
        <v>0</v>
      </c>
      <c r="V19" s="166">
        <f>'[9]Обращ V и фин ПР 10'!Y18</f>
        <v>0</v>
      </c>
      <c r="W19" s="166">
        <f>'[9]Обращ V и фин ПР 10'!Z18</f>
        <v>0</v>
      </c>
      <c r="X19" s="167">
        <f t="shared" si="4"/>
        <v>267824</v>
      </c>
      <c r="Y19" s="166">
        <v>35088</v>
      </c>
      <c r="Z19" s="166">
        <v>2827</v>
      </c>
      <c r="AA19" s="166">
        <v>23357</v>
      </c>
      <c r="AB19" s="166">
        <v>8475</v>
      </c>
      <c r="AC19" s="166">
        <v>9317</v>
      </c>
      <c r="AD19" s="166">
        <v>3381</v>
      </c>
      <c r="AE19" s="166">
        <v>2361</v>
      </c>
      <c r="AF19" s="166">
        <v>857</v>
      </c>
      <c r="AG19" s="166">
        <v>136896</v>
      </c>
      <c r="AH19" s="166">
        <v>61181</v>
      </c>
    </row>
    <row r="20" spans="1:34" ht="13.5" customHeight="1" x14ac:dyDescent="0.2">
      <c r="A20" s="163">
        <v>7</v>
      </c>
      <c r="B20" s="164" t="s">
        <v>30</v>
      </c>
      <c r="C20" s="165" t="s">
        <v>197</v>
      </c>
      <c r="D20" s="166">
        <f t="shared" si="2"/>
        <v>97680</v>
      </c>
      <c r="E20" s="166">
        <f t="shared" si="5"/>
        <v>69565</v>
      </c>
      <c r="F20" s="166">
        <f t="shared" si="3"/>
        <v>28115</v>
      </c>
      <c r="G20" s="166">
        <v>0</v>
      </c>
      <c r="H20" s="166">
        <v>0</v>
      </c>
      <c r="I20" s="166">
        <v>0</v>
      </c>
      <c r="J20" s="166">
        <v>0</v>
      </c>
      <c r="K20" s="166">
        <f>'[9]Обращ V и фин ПР 10'!O19</f>
        <v>0</v>
      </c>
      <c r="L20" s="166">
        <f>'[9]Обращ V и фин ПР 10'!P19</f>
        <v>0</v>
      </c>
      <c r="M20" s="166">
        <f>'[9]Обращ V и фин ПР 10'!Q19</f>
        <v>0</v>
      </c>
      <c r="N20" s="166">
        <f>'[9]Обращ V и фин ПР 10'!S19</f>
        <v>0</v>
      </c>
      <c r="O20" s="166">
        <f>'[9]Обращ V и фин ПР 10'!T19</f>
        <v>0</v>
      </c>
      <c r="P20" s="166">
        <f>'[9]Обращ V и фин ПР 10'!V19</f>
        <v>0</v>
      </c>
      <c r="Q20" s="166">
        <f>'[9]Обращ V и фин ПР 10'!W19</f>
        <v>0</v>
      </c>
      <c r="R20" s="166">
        <v>0</v>
      </c>
      <c r="S20" s="166">
        <v>0</v>
      </c>
      <c r="T20" s="166">
        <v>0</v>
      </c>
      <c r="U20" s="166">
        <v>0</v>
      </c>
      <c r="V20" s="166">
        <f>'[9]Обращ V и фин ПР 10'!Y19</f>
        <v>0</v>
      </c>
      <c r="W20" s="166">
        <f>'[9]Обращ V и фин ПР 10'!Z19</f>
        <v>0</v>
      </c>
      <c r="X20" s="167">
        <f t="shared" si="4"/>
        <v>97680</v>
      </c>
      <c r="Y20" s="166">
        <v>10164</v>
      </c>
      <c r="Z20" s="166">
        <v>1688</v>
      </c>
      <c r="AA20" s="166">
        <v>18467</v>
      </c>
      <c r="AB20" s="166">
        <v>1850</v>
      </c>
      <c r="AC20" s="166">
        <v>7386</v>
      </c>
      <c r="AD20" s="166">
        <v>740</v>
      </c>
      <c r="AE20" s="166">
        <v>1847</v>
      </c>
      <c r="AF20" s="166">
        <v>185</v>
      </c>
      <c r="AG20" s="166">
        <v>40934</v>
      </c>
      <c r="AH20" s="166">
        <v>24577</v>
      </c>
    </row>
    <row r="21" spans="1:34" ht="13.5" customHeight="1" x14ac:dyDescent="0.2">
      <c r="A21" s="163">
        <v>8</v>
      </c>
      <c r="B21" s="164" t="s">
        <v>31</v>
      </c>
      <c r="C21" s="170" t="s">
        <v>32</v>
      </c>
      <c r="D21" s="166">
        <f t="shared" si="2"/>
        <v>40861</v>
      </c>
      <c r="E21" s="166">
        <f t="shared" si="5"/>
        <v>30177</v>
      </c>
      <c r="F21" s="166">
        <f t="shared" si="3"/>
        <v>10684</v>
      </c>
      <c r="G21" s="166">
        <v>0</v>
      </c>
      <c r="H21" s="166">
        <v>0</v>
      </c>
      <c r="I21" s="166">
        <v>0</v>
      </c>
      <c r="J21" s="166">
        <v>0</v>
      </c>
      <c r="K21" s="166">
        <f>'[9]Обращ V и фин ПР 10'!O20</f>
        <v>0</v>
      </c>
      <c r="L21" s="166">
        <f>'[9]Обращ V и фин ПР 10'!P20</f>
        <v>0</v>
      </c>
      <c r="M21" s="166">
        <f>'[9]Обращ V и фин ПР 10'!Q20</f>
        <v>0</v>
      </c>
      <c r="N21" s="166">
        <f>'[9]Обращ V и фин ПР 10'!S20</f>
        <v>0</v>
      </c>
      <c r="O21" s="166">
        <f>'[9]Обращ V и фин ПР 10'!T20</f>
        <v>0</v>
      </c>
      <c r="P21" s="166">
        <f>'[9]Обращ V и фин ПР 10'!V20</f>
        <v>0</v>
      </c>
      <c r="Q21" s="166">
        <f>'[9]Обращ V и фин ПР 10'!W20</f>
        <v>0</v>
      </c>
      <c r="R21" s="166">
        <v>0</v>
      </c>
      <c r="S21" s="166">
        <v>0</v>
      </c>
      <c r="T21" s="166">
        <v>0</v>
      </c>
      <c r="U21" s="166">
        <v>0</v>
      </c>
      <c r="V21" s="166">
        <f>'[9]Обращ V и фин ПР 10'!Y20</f>
        <v>0</v>
      </c>
      <c r="W21" s="166">
        <f>'[9]Обращ V и фин ПР 10'!Z20</f>
        <v>0</v>
      </c>
      <c r="X21" s="167">
        <f t="shared" si="4"/>
        <v>40861</v>
      </c>
      <c r="Y21" s="166">
        <v>2601</v>
      </c>
      <c r="Z21" s="166">
        <v>500</v>
      </c>
      <c r="AA21" s="166">
        <v>9738</v>
      </c>
      <c r="AB21" s="166">
        <v>1564</v>
      </c>
      <c r="AC21" s="166">
        <v>4869</v>
      </c>
      <c r="AD21" s="166">
        <v>782</v>
      </c>
      <c r="AE21" s="166">
        <v>0</v>
      </c>
      <c r="AF21" s="166">
        <v>0</v>
      </c>
      <c r="AG21" s="166">
        <v>17838</v>
      </c>
      <c r="AH21" s="166">
        <v>8620</v>
      </c>
    </row>
    <row r="22" spans="1:34" ht="13.5" customHeight="1" x14ac:dyDescent="0.2">
      <c r="A22" s="163">
        <v>9</v>
      </c>
      <c r="B22" s="164" t="s">
        <v>33</v>
      </c>
      <c r="C22" s="170" t="s">
        <v>34</v>
      </c>
      <c r="D22" s="166">
        <f t="shared" si="2"/>
        <v>37060</v>
      </c>
      <c r="E22" s="166">
        <f t="shared" si="5"/>
        <v>28228</v>
      </c>
      <c r="F22" s="166">
        <f t="shared" si="3"/>
        <v>8832</v>
      </c>
      <c r="G22" s="166">
        <v>0</v>
      </c>
      <c r="H22" s="166">
        <v>0</v>
      </c>
      <c r="I22" s="166">
        <v>0</v>
      </c>
      <c r="J22" s="166">
        <v>0</v>
      </c>
      <c r="K22" s="166">
        <f>'[9]Обращ V и фин ПР 10'!O21</f>
        <v>0</v>
      </c>
      <c r="L22" s="166">
        <f>'[9]Обращ V и фин ПР 10'!P21</f>
        <v>0</v>
      </c>
      <c r="M22" s="166">
        <f>'[9]Обращ V и фин ПР 10'!Q21</f>
        <v>0</v>
      </c>
      <c r="N22" s="166">
        <f>'[9]Обращ V и фин ПР 10'!S21</f>
        <v>0</v>
      </c>
      <c r="O22" s="166">
        <f>'[9]Обращ V и фин ПР 10'!T21</f>
        <v>0</v>
      </c>
      <c r="P22" s="166">
        <f>'[9]Обращ V и фин ПР 10'!V21</f>
        <v>0</v>
      </c>
      <c r="Q22" s="166">
        <f>'[9]Обращ V и фин ПР 10'!W21</f>
        <v>0</v>
      </c>
      <c r="R22" s="166">
        <v>0</v>
      </c>
      <c r="S22" s="166">
        <v>0</v>
      </c>
      <c r="T22" s="166">
        <v>0</v>
      </c>
      <c r="U22" s="166">
        <v>0</v>
      </c>
      <c r="V22" s="166">
        <f>'[9]Обращ V и фин ПР 10'!Y21</f>
        <v>0</v>
      </c>
      <c r="W22" s="166">
        <f>'[9]Обращ V и фин ПР 10'!Z21</f>
        <v>0</v>
      </c>
      <c r="X22" s="167">
        <f t="shared" si="4"/>
        <v>37060</v>
      </c>
      <c r="Y22" s="166">
        <v>3510</v>
      </c>
      <c r="Z22" s="166">
        <v>170</v>
      </c>
      <c r="AA22" s="166">
        <v>4888</v>
      </c>
      <c r="AB22" s="166">
        <v>760</v>
      </c>
      <c r="AC22" s="166">
        <v>1845</v>
      </c>
      <c r="AD22" s="166">
        <v>287</v>
      </c>
      <c r="AE22" s="166">
        <v>599</v>
      </c>
      <c r="AF22" s="166">
        <v>93</v>
      </c>
      <c r="AG22" s="166">
        <v>19830</v>
      </c>
      <c r="AH22" s="166">
        <v>7902</v>
      </c>
    </row>
    <row r="23" spans="1:34" ht="13.5" customHeight="1" x14ac:dyDescent="0.2">
      <c r="A23" s="163">
        <v>10</v>
      </c>
      <c r="B23" s="164" t="s">
        <v>35</v>
      </c>
      <c r="C23" s="165" t="s">
        <v>36</v>
      </c>
      <c r="D23" s="166">
        <f t="shared" si="2"/>
        <v>45416</v>
      </c>
      <c r="E23" s="166">
        <f t="shared" si="5"/>
        <v>31099</v>
      </c>
      <c r="F23" s="166">
        <f t="shared" si="3"/>
        <v>14317</v>
      </c>
      <c r="G23" s="166">
        <v>0</v>
      </c>
      <c r="H23" s="166">
        <v>0</v>
      </c>
      <c r="I23" s="166">
        <v>0</v>
      </c>
      <c r="J23" s="166">
        <v>0</v>
      </c>
      <c r="K23" s="166">
        <f>'[9]Обращ V и фин ПР 10'!O22</f>
        <v>0</v>
      </c>
      <c r="L23" s="166">
        <f>'[9]Обращ V и фин ПР 10'!P22</f>
        <v>0</v>
      </c>
      <c r="M23" s="166">
        <f>'[9]Обращ V и фин ПР 10'!Q22</f>
        <v>0</v>
      </c>
      <c r="N23" s="166">
        <f>'[9]Обращ V и фин ПР 10'!S22</f>
        <v>0</v>
      </c>
      <c r="O23" s="166">
        <f>'[9]Обращ V и фин ПР 10'!T22</f>
        <v>0</v>
      </c>
      <c r="P23" s="166">
        <f>'[9]Обращ V и фин ПР 10'!V22</f>
        <v>0</v>
      </c>
      <c r="Q23" s="166">
        <f>'[9]Обращ V и фин ПР 10'!W22</f>
        <v>0</v>
      </c>
      <c r="R23" s="166">
        <v>0</v>
      </c>
      <c r="S23" s="166">
        <v>0</v>
      </c>
      <c r="T23" s="166">
        <v>0</v>
      </c>
      <c r="U23" s="166">
        <v>0</v>
      </c>
      <c r="V23" s="166">
        <f>'[9]Обращ V и фин ПР 10'!Y22</f>
        <v>0</v>
      </c>
      <c r="W23" s="166">
        <f>'[9]Обращ V и фин ПР 10'!Z22</f>
        <v>0</v>
      </c>
      <c r="X23" s="167">
        <f t="shared" si="4"/>
        <v>45416</v>
      </c>
      <c r="Y23" s="166">
        <v>5657</v>
      </c>
      <c r="Z23" s="166">
        <v>242</v>
      </c>
      <c r="AA23" s="166">
        <v>4692</v>
      </c>
      <c r="AB23" s="166">
        <v>883</v>
      </c>
      <c r="AC23" s="166">
        <v>2133</v>
      </c>
      <c r="AD23" s="166">
        <v>402</v>
      </c>
      <c r="AE23" s="166">
        <v>213</v>
      </c>
      <c r="AF23" s="166">
        <v>40</v>
      </c>
      <c r="AG23" s="166">
        <v>20750</v>
      </c>
      <c r="AH23" s="166">
        <v>13192</v>
      </c>
    </row>
    <row r="24" spans="1:34" ht="13.5" customHeight="1" x14ac:dyDescent="0.2">
      <c r="A24" s="163">
        <v>11</v>
      </c>
      <c r="B24" s="164" t="s">
        <v>37</v>
      </c>
      <c r="C24" s="171" t="s">
        <v>38</v>
      </c>
      <c r="D24" s="166">
        <f t="shared" si="2"/>
        <v>37093</v>
      </c>
      <c r="E24" s="166">
        <f t="shared" si="5"/>
        <v>30654</v>
      </c>
      <c r="F24" s="166">
        <f t="shared" si="3"/>
        <v>6439</v>
      </c>
      <c r="G24" s="166">
        <v>0</v>
      </c>
      <c r="H24" s="166">
        <v>0</v>
      </c>
      <c r="I24" s="166">
        <v>0</v>
      </c>
      <c r="J24" s="166">
        <v>0</v>
      </c>
      <c r="K24" s="166">
        <f>'[9]Обращ V и фин ПР 10'!O23</f>
        <v>0</v>
      </c>
      <c r="L24" s="166">
        <f>'[9]Обращ V и фин ПР 10'!P23</f>
        <v>0</v>
      </c>
      <c r="M24" s="166">
        <f>'[9]Обращ V и фин ПР 10'!Q23</f>
        <v>0</v>
      </c>
      <c r="N24" s="166">
        <f>'[9]Обращ V и фин ПР 10'!S23</f>
        <v>0</v>
      </c>
      <c r="O24" s="166">
        <f>'[9]Обращ V и фин ПР 10'!T23</f>
        <v>0</v>
      </c>
      <c r="P24" s="166">
        <f>'[9]Обращ V и фин ПР 10'!V23</f>
        <v>0</v>
      </c>
      <c r="Q24" s="166">
        <f>'[9]Обращ V и фин ПР 10'!W23</f>
        <v>0</v>
      </c>
      <c r="R24" s="166">
        <v>0</v>
      </c>
      <c r="S24" s="166">
        <v>0</v>
      </c>
      <c r="T24" s="166">
        <v>0</v>
      </c>
      <c r="U24" s="166">
        <v>0</v>
      </c>
      <c r="V24" s="166">
        <f>'[9]Обращ V и фин ПР 10'!Y23</f>
        <v>0</v>
      </c>
      <c r="W24" s="166">
        <f>'[9]Обращ V и фин ПР 10'!Z23</f>
        <v>0</v>
      </c>
      <c r="X24" s="167">
        <f t="shared" si="4"/>
        <v>37093</v>
      </c>
      <c r="Y24" s="166">
        <v>3830</v>
      </c>
      <c r="Z24" s="166">
        <v>345</v>
      </c>
      <c r="AA24" s="166">
        <v>3200</v>
      </c>
      <c r="AB24" s="166">
        <v>1020</v>
      </c>
      <c r="AC24" s="166">
        <v>1412</v>
      </c>
      <c r="AD24" s="166">
        <v>450</v>
      </c>
      <c r="AE24" s="166">
        <v>188</v>
      </c>
      <c r="AF24" s="166">
        <v>60</v>
      </c>
      <c r="AG24" s="166">
        <v>23624</v>
      </c>
      <c r="AH24" s="166">
        <v>5074</v>
      </c>
    </row>
    <row r="25" spans="1:34" ht="13.5" customHeight="1" x14ac:dyDescent="0.2">
      <c r="A25" s="163">
        <v>12</v>
      </c>
      <c r="B25" s="164" t="s">
        <v>39</v>
      </c>
      <c r="C25" s="172" t="s">
        <v>40</v>
      </c>
      <c r="D25" s="166">
        <f t="shared" si="2"/>
        <v>73854</v>
      </c>
      <c r="E25" s="166">
        <f t="shared" si="5"/>
        <v>54004</v>
      </c>
      <c r="F25" s="166">
        <f t="shared" si="3"/>
        <v>19850</v>
      </c>
      <c r="G25" s="166">
        <v>0</v>
      </c>
      <c r="H25" s="166">
        <v>0</v>
      </c>
      <c r="I25" s="166">
        <v>0</v>
      </c>
      <c r="J25" s="166">
        <v>0</v>
      </c>
      <c r="K25" s="166">
        <f>'[9]Обращ V и фин ПР 10'!O24</f>
        <v>0</v>
      </c>
      <c r="L25" s="166">
        <f>'[9]Обращ V и фин ПР 10'!P24</f>
        <v>0</v>
      </c>
      <c r="M25" s="166">
        <f>'[9]Обращ V и фин ПР 10'!Q24</f>
        <v>0</v>
      </c>
      <c r="N25" s="166">
        <f>'[9]Обращ V и фин ПР 10'!S24</f>
        <v>0</v>
      </c>
      <c r="O25" s="166">
        <f>'[9]Обращ V и фин ПР 10'!T24</f>
        <v>0</v>
      </c>
      <c r="P25" s="166">
        <f>'[9]Обращ V и фин ПР 10'!V24</f>
        <v>0</v>
      </c>
      <c r="Q25" s="166">
        <f>'[9]Обращ V и фин ПР 10'!W24</f>
        <v>0</v>
      </c>
      <c r="R25" s="166">
        <v>0</v>
      </c>
      <c r="S25" s="166">
        <v>0</v>
      </c>
      <c r="T25" s="166">
        <v>0</v>
      </c>
      <c r="U25" s="166">
        <v>0</v>
      </c>
      <c r="V25" s="166">
        <f>'[9]Обращ V и фин ПР 10'!Y24</f>
        <v>0</v>
      </c>
      <c r="W25" s="166">
        <f>'[9]Обращ V и фин ПР 10'!Z24</f>
        <v>0</v>
      </c>
      <c r="X25" s="167">
        <f t="shared" si="4"/>
        <v>73854</v>
      </c>
      <c r="Y25" s="166">
        <v>7050</v>
      </c>
      <c r="Z25" s="166">
        <v>250</v>
      </c>
      <c r="AA25" s="166">
        <v>12552</v>
      </c>
      <c r="AB25" s="166">
        <v>4500</v>
      </c>
      <c r="AC25" s="166">
        <v>3138</v>
      </c>
      <c r="AD25" s="166">
        <v>1125</v>
      </c>
      <c r="AE25" s="166">
        <v>3138</v>
      </c>
      <c r="AF25" s="166">
        <v>1125</v>
      </c>
      <c r="AG25" s="166">
        <v>34402</v>
      </c>
      <c r="AH25" s="166">
        <v>15100</v>
      </c>
    </row>
    <row r="26" spans="1:34" ht="13.5" customHeight="1" x14ac:dyDescent="0.2">
      <c r="A26" s="163">
        <v>13</v>
      </c>
      <c r="B26" s="164" t="s">
        <v>307</v>
      </c>
      <c r="C26" s="165" t="s">
        <v>308</v>
      </c>
      <c r="D26" s="166">
        <f t="shared" si="2"/>
        <v>50</v>
      </c>
      <c r="E26" s="166">
        <f t="shared" si="5"/>
        <v>50</v>
      </c>
      <c r="F26" s="166">
        <f t="shared" si="3"/>
        <v>0</v>
      </c>
      <c r="G26" s="166">
        <v>0</v>
      </c>
      <c r="H26" s="166">
        <v>0</v>
      </c>
      <c r="I26" s="166">
        <v>0</v>
      </c>
      <c r="J26" s="166">
        <v>0</v>
      </c>
      <c r="K26" s="166">
        <f>'[9]Обращ V и фин ПР 10'!O25</f>
        <v>0</v>
      </c>
      <c r="L26" s="166">
        <f>'[9]Обращ V и фин ПР 10'!P25</f>
        <v>0</v>
      </c>
      <c r="M26" s="166">
        <f>'[9]Обращ V и фин ПР 10'!Q25</f>
        <v>0</v>
      </c>
      <c r="N26" s="166">
        <f>'[9]Обращ V и фин ПР 10'!S25</f>
        <v>45</v>
      </c>
      <c r="O26" s="166">
        <f>'[9]Обращ V и фин ПР 10'!T25</f>
        <v>0</v>
      </c>
      <c r="P26" s="166">
        <f>'[9]Обращ V и фин ПР 10'!V25</f>
        <v>5</v>
      </c>
      <c r="Q26" s="166">
        <f>'[9]Обращ V и фин ПР 10'!W25</f>
        <v>0</v>
      </c>
      <c r="R26" s="166">
        <v>3</v>
      </c>
      <c r="S26" s="166">
        <v>0</v>
      </c>
      <c r="T26" s="166">
        <v>0</v>
      </c>
      <c r="U26" s="166">
        <v>0</v>
      </c>
      <c r="V26" s="166">
        <f>'[9]Обращ V и фин ПР 10'!Y25</f>
        <v>0</v>
      </c>
      <c r="W26" s="166">
        <f>'[9]Обращ V и фин ПР 10'!Z25</f>
        <v>0</v>
      </c>
      <c r="X26" s="167">
        <f t="shared" si="4"/>
        <v>0</v>
      </c>
      <c r="Y26" s="166">
        <v>0</v>
      </c>
      <c r="Z26" s="166">
        <v>0</v>
      </c>
      <c r="AA26" s="166">
        <v>0</v>
      </c>
      <c r="AB26" s="166">
        <v>0</v>
      </c>
      <c r="AC26" s="166">
        <v>0</v>
      </c>
      <c r="AD26" s="166">
        <v>0</v>
      </c>
      <c r="AE26" s="166">
        <v>0</v>
      </c>
      <c r="AF26" s="166">
        <v>0</v>
      </c>
      <c r="AG26" s="166">
        <v>0</v>
      </c>
      <c r="AH26" s="166">
        <v>0</v>
      </c>
    </row>
    <row r="27" spans="1:34" ht="13.5" customHeight="1" x14ac:dyDescent="0.2">
      <c r="A27" s="163">
        <v>14</v>
      </c>
      <c r="B27" s="164" t="s">
        <v>309</v>
      </c>
      <c r="C27" s="170" t="s">
        <v>310</v>
      </c>
      <c r="D27" s="166">
        <f t="shared" si="2"/>
        <v>0</v>
      </c>
      <c r="E27" s="166">
        <f t="shared" si="5"/>
        <v>0</v>
      </c>
      <c r="F27" s="166">
        <f t="shared" si="3"/>
        <v>0</v>
      </c>
      <c r="G27" s="166">
        <v>0</v>
      </c>
      <c r="H27" s="166">
        <v>0</v>
      </c>
      <c r="I27" s="166">
        <v>0</v>
      </c>
      <c r="J27" s="166">
        <v>0</v>
      </c>
      <c r="K27" s="166">
        <f>'[9]Обращ V и фин ПР 10'!O26</f>
        <v>0</v>
      </c>
      <c r="L27" s="166">
        <f>'[9]Обращ V и фин ПР 10'!P26</f>
        <v>0</v>
      </c>
      <c r="M27" s="166">
        <f>'[9]Обращ V и фин ПР 10'!Q26</f>
        <v>0</v>
      </c>
      <c r="N27" s="166">
        <f>'[9]Обращ V и фин ПР 10'!S26</f>
        <v>0</v>
      </c>
      <c r="O27" s="166">
        <f>'[9]Обращ V и фин ПР 10'!T26</f>
        <v>0</v>
      </c>
      <c r="P27" s="166">
        <f>'[9]Обращ V и фин ПР 10'!V26</f>
        <v>0</v>
      </c>
      <c r="Q27" s="166">
        <f>'[9]Обращ V и фин ПР 10'!W26</f>
        <v>0</v>
      </c>
      <c r="R27" s="166">
        <v>0</v>
      </c>
      <c r="S27" s="166">
        <v>0</v>
      </c>
      <c r="T27" s="166">
        <v>0</v>
      </c>
      <c r="U27" s="166">
        <v>0</v>
      </c>
      <c r="V27" s="166">
        <f>'[9]Обращ V и фин ПР 10'!Y26</f>
        <v>0</v>
      </c>
      <c r="W27" s="166">
        <f>'[9]Обращ V и фин ПР 10'!Z26</f>
        <v>0</v>
      </c>
      <c r="X27" s="167">
        <f t="shared" si="4"/>
        <v>0</v>
      </c>
      <c r="Y27" s="166">
        <v>0</v>
      </c>
      <c r="Z27" s="166">
        <v>0</v>
      </c>
      <c r="AA27" s="166">
        <v>0</v>
      </c>
      <c r="AB27" s="166">
        <v>0</v>
      </c>
      <c r="AC27" s="166">
        <v>0</v>
      </c>
      <c r="AD27" s="166">
        <v>0</v>
      </c>
      <c r="AE27" s="166">
        <v>0</v>
      </c>
      <c r="AF27" s="166">
        <v>0</v>
      </c>
      <c r="AG27" s="166">
        <v>0</v>
      </c>
      <c r="AH27" s="166">
        <v>0</v>
      </c>
    </row>
    <row r="28" spans="1:34" ht="13.5" customHeight="1" x14ac:dyDescent="0.2">
      <c r="A28" s="163">
        <v>15</v>
      </c>
      <c r="B28" s="164" t="s">
        <v>41</v>
      </c>
      <c r="C28" s="168" t="s">
        <v>42</v>
      </c>
      <c r="D28" s="166">
        <f t="shared" si="2"/>
        <v>48943</v>
      </c>
      <c r="E28" s="166">
        <f t="shared" si="5"/>
        <v>34584</v>
      </c>
      <c r="F28" s="166">
        <f t="shared" si="3"/>
        <v>14359</v>
      </c>
      <c r="G28" s="166">
        <v>0</v>
      </c>
      <c r="H28" s="166">
        <v>0</v>
      </c>
      <c r="I28" s="166">
        <v>0</v>
      </c>
      <c r="J28" s="166">
        <v>0</v>
      </c>
      <c r="K28" s="166">
        <f>'[9]Обращ V и фин ПР 10'!O27</f>
        <v>0</v>
      </c>
      <c r="L28" s="166">
        <f>'[9]Обращ V и фин ПР 10'!P27</f>
        <v>0</v>
      </c>
      <c r="M28" s="166">
        <f>'[9]Обращ V и фин ПР 10'!Q27</f>
        <v>0</v>
      </c>
      <c r="N28" s="166">
        <f>'[9]Обращ V и фин ПР 10'!S27</f>
        <v>0</v>
      </c>
      <c r="O28" s="166">
        <f>'[9]Обращ V и фин ПР 10'!T27</f>
        <v>0</v>
      </c>
      <c r="P28" s="166">
        <f>'[9]Обращ V и фин ПР 10'!V27</f>
        <v>0</v>
      </c>
      <c r="Q28" s="166">
        <f>'[9]Обращ V и фин ПР 10'!W27</f>
        <v>0</v>
      </c>
      <c r="R28" s="166">
        <v>0</v>
      </c>
      <c r="S28" s="166">
        <v>0</v>
      </c>
      <c r="T28" s="166">
        <v>0</v>
      </c>
      <c r="U28" s="166">
        <v>0</v>
      </c>
      <c r="V28" s="166">
        <f>'[9]Обращ V и фин ПР 10'!Y27</f>
        <v>0</v>
      </c>
      <c r="W28" s="166">
        <f>'[9]Обращ V и фин ПР 10'!Z27</f>
        <v>0</v>
      </c>
      <c r="X28" s="167">
        <f t="shared" si="4"/>
        <v>48943</v>
      </c>
      <c r="Y28" s="166">
        <v>2685</v>
      </c>
      <c r="Z28" s="166">
        <v>551</v>
      </c>
      <c r="AA28" s="166">
        <v>5552</v>
      </c>
      <c r="AB28" s="166">
        <v>1790</v>
      </c>
      <c r="AC28" s="166">
        <v>1899</v>
      </c>
      <c r="AD28" s="166">
        <v>612</v>
      </c>
      <c r="AE28" s="166">
        <v>877</v>
      </c>
      <c r="AF28" s="166">
        <v>283</v>
      </c>
      <c r="AG28" s="166">
        <v>26347</v>
      </c>
      <c r="AH28" s="166">
        <v>12018</v>
      </c>
    </row>
    <row r="29" spans="1:34" ht="13.5" customHeight="1" x14ac:dyDescent="0.2">
      <c r="A29" s="163">
        <v>16</v>
      </c>
      <c r="B29" s="164" t="s">
        <v>43</v>
      </c>
      <c r="C29" s="165" t="s">
        <v>44</v>
      </c>
      <c r="D29" s="166">
        <f t="shared" si="2"/>
        <v>69517</v>
      </c>
      <c r="E29" s="166">
        <f t="shared" si="5"/>
        <v>50561</v>
      </c>
      <c r="F29" s="166">
        <f t="shared" si="3"/>
        <v>18956</v>
      </c>
      <c r="G29" s="166">
        <v>0</v>
      </c>
      <c r="H29" s="166">
        <v>0</v>
      </c>
      <c r="I29" s="166">
        <v>0</v>
      </c>
      <c r="J29" s="166">
        <v>0</v>
      </c>
      <c r="K29" s="166">
        <f>'[9]Обращ V и фин ПР 10'!O28</f>
        <v>0</v>
      </c>
      <c r="L29" s="166">
        <f>'[9]Обращ V и фин ПР 10'!P28</f>
        <v>0</v>
      </c>
      <c r="M29" s="166">
        <f>'[9]Обращ V и фин ПР 10'!Q28</f>
        <v>0</v>
      </c>
      <c r="N29" s="166">
        <f>'[9]Обращ V и фин ПР 10'!S28</f>
        <v>0</v>
      </c>
      <c r="O29" s="166">
        <f>'[9]Обращ V и фин ПР 10'!T28</f>
        <v>0</v>
      </c>
      <c r="P29" s="166">
        <f>'[9]Обращ V и фин ПР 10'!V28</f>
        <v>0</v>
      </c>
      <c r="Q29" s="166">
        <f>'[9]Обращ V и фин ПР 10'!W28</f>
        <v>0</v>
      </c>
      <c r="R29" s="166">
        <v>0</v>
      </c>
      <c r="S29" s="166">
        <v>0</v>
      </c>
      <c r="T29" s="166">
        <v>0</v>
      </c>
      <c r="U29" s="166">
        <v>0</v>
      </c>
      <c r="V29" s="166">
        <f>'[9]Обращ V и фин ПР 10'!Y28</f>
        <v>0</v>
      </c>
      <c r="W29" s="166">
        <f>'[9]Обращ V и фин ПР 10'!Z28</f>
        <v>0</v>
      </c>
      <c r="X29" s="167">
        <f t="shared" si="4"/>
        <v>69517</v>
      </c>
      <c r="Y29" s="166">
        <v>3695</v>
      </c>
      <c r="Z29" s="166">
        <v>315</v>
      </c>
      <c r="AA29" s="166">
        <v>4720</v>
      </c>
      <c r="AB29" s="166">
        <v>455</v>
      </c>
      <c r="AC29" s="166">
        <v>2191</v>
      </c>
      <c r="AD29" s="166">
        <v>212</v>
      </c>
      <c r="AE29" s="166">
        <v>169</v>
      </c>
      <c r="AF29" s="166">
        <v>16</v>
      </c>
      <c r="AG29" s="166">
        <v>42146</v>
      </c>
      <c r="AH29" s="166">
        <v>18186</v>
      </c>
    </row>
    <row r="30" spans="1:34" ht="13.5" customHeight="1" x14ac:dyDescent="0.2">
      <c r="A30" s="163">
        <v>17</v>
      </c>
      <c r="B30" s="164" t="s">
        <v>45</v>
      </c>
      <c r="C30" s="165" t="s">
        <v>198</v>
      </c>
      <c r="D30" s="166">
        <f t="shared" si="2"/>
        <v>92293</v>
      </c>
      <c r="E30" s="166">
        <f t="shared" si="5"/>
        <v>63051</v>
      </c>
      <c r="F30" s="166">
        <f t="shared" si="3"/>
        <v>29242</v>
      </c>
      <c r="G30" s="166">
        <v>0</v>
      </c>
      <c r="H30" s="166">
        <v>0</v>
      </c>
      <c r="I30" s="166">
        <v>0</v>
      </c>
      <c r="J30" s="166">
        <v>0</v>
      </c>
      <c r="K30" s="166">
        <f>'[9]Обращ V и фин ПР 10'!O29</f>
        <v>0</v>
      </c>
      <c r="L30" s="166">
        <f>'[9]Обращ V и фин ПР 10'!P29</f>
        <v>0</v>
      </c>
      <c r="M30" s="166">
        <f>'[9]Обращ V и фин ПР 10'!Q29</f>
        <v>0</v>
      </c>
      <c r="N30" s="166">
        <f>'[9]Обращ V и фин ПР 10'!S29</f>
        <v>0</v>
      </c>
      <c r="O30" s="166">
        <f>'[9]Обращ V и фин ПР 10'!T29</f>
        <v>0</v>
      </c>
      <c r="P30" s="166">
        <f>'[9]Обращ V и фин ПР 10'!V29</f>
        <v>0</v>
      </c>
      <c r="Q30" s="166">
        <f>'[9]Обращ V и фин ПР 10'!W29</f>
        <v>0</v>
      </c>
      <c r="R30" s="166">
        <v>0</v>
      </c>
      <c r="S30" s="166">
        <v>0</v>
      </c>
      <c r="T30" s="166">
        <v>0</v>
      </c>
      <c r="U30" s="166">
        <v>0</v>
      </c>
      <c r="V30" s="166">
        <f>'[9]Обращ V и фин ПР 10'!Y29</f>
        <v>0</v>
      </c>
      <c r="W30" s="166">
        <f>'[9]Обращ V и фин ПР 10'!Z29</f>
        <v>0</v>
      </c>
      <c r="X30" s="167">
        <f t="shared" si="4"/>
        <v>92293</v>
      </c>
      <c r="Y30" s="166">
        <v>8640</v>
      </c>
      <c r="Z30" s="166">
        <v>400</v>
      </c>
      <c r="AA30" s="166">
        <v>13881</v>
      </c>
      <c r="AB30" s="166">
        <v>5203</v>
      </c>
      <c r="AC30" s="166">
        <v>6015</v>
      </c>
      <c r="AD30" s="166">
        <v>2255</v>
      </c>
      <c r="AE30" s="166">
        <v>925</v>
      </c>
      <c r="AF30" s="166">
        <v>347</v>
      </c>
      <c r="AG30" s="166">
        <v>40530</v>
      </c>
      <c r="AH30" s="166">
        <v>23639</v>
      </c>
    </row>
    <row r="31" spans="1:34" ht="13.5" customHeight="1" x14ac:dyDescent="0.2">
      <c r="A31" s="163">
        <v>18</v>
      </c>
      <c r="B31" s="164" t="s">
        <v>46</v>
      </c>
      <c r="C31" s="168" t="s">
        <v>47</v>
      </c>
      <c r="D31" s="166">
        <f t="shared" si="2"/>
        <v>175793</v>
      </c>
      <c r="E31" s="166">
        <f t="shared" si="5"/>
        <v>128668</v>
      </c>
      <c r="F31" s="166">
        <f t="shared" si="3"/>
        <v>47125</v>
      </c>
      <c r="G31" s="166">
        <v>0</v>
      </c>
      <c r="H31" s="166">
        <v>0</v>
      </c>
      <c r="I31" s="166">
        <v>5509</v>
      </c>
      <c r="J31" s="166">
        <v>10</v>
      </c>
      <c r="K31" s="166">
        <f>'[9]Обращ V и фин ПР 10'!O30</f>
        <v>0</v>
      </c>
      <c r="L31" s="166">
        <f>'[9]Обращ V и фин ПР 10'!P30</f>
        <v>0</v>
      </c>
      <c r="M31" s="166">
        <f>'[9]Обращ V и фин ПР 10'!Q30</f>
        <v>0</v>
      </c>
      <c r="N31" s="166">
        <f>'[9]Обращ V и фин ПР 10'!S30</f>
        <v>0</v>
      </c>
      <c r="O31" s="166">
        <f>'[9]Обращ V и фин ПР 10'!T30</f>
        <v>0</v>
      </c>
      <c r="P31" s="166">
        <f>'[9]Обращ V и фин ПР 10'!V30</f>
        <v>0</v>
      </c>
      <c r="Q31" s="166">
        <f>'[9]Обращ V и фин ПР 10'!W30</f>
        <v>0</v>
      </c>
      <c r="R31" s="166">
        <v>0</v>
      </c>
      <c r="S31" s="166">
        <v>0</v>
      </c>
      <c r="T31" s="166">
        <v>0</v>
      </c>
      <c r="U31" s="166">
        <v>0</v>
      </c>
      <c r="V31" s="166">
        <f>'[9]Обращ V и фин ПР 10'!Y30</f>
        <v>0</v>
      </c>
      <c r="W31" s="166">
        <f>'[9]Обращ V и фин ПР 10'!Z30</f>
        <v>0</v>
      </c>
      <c r="X31" s="167">
        <f t="shared" si="4"/>
        <v>170274</v>
      </c>
      <c r="Y31" s="166">
        <v>21090</v>
      </c>
      <c r="Z31" s="166">
        <v>1815</v>
      </c>
      <c r="AA31" s="166">
        <v>22013</v>
      </c>
      <c r="AB31" s="166">
        <v>8650</v>
      </c>
      <c r="AC31" s="166">
        <v>9593</v>
      </c>
      <c r="AD31" s="166">
        <v>3771</v>
      </c>
      <c r="AE31" s="166">
        <v>1411</v>
      </c>
      <c r="AF31" s="166">
        <v>554</v>
      </c>
      <c r="AG31" s="166">
        <v>80056</v>
      </c>
      <c r="AH31" s="166">
        <v>36650</v>
      </c>
    </row>
    <row r="32" spans="1:34" ht="13.5" customHeight="1" x14ac:dyDescent="0.2">
      <c r="A32" s="163">
        <v>19</v>
      </c>
      <c r="B32" s="164" t="s">
        <v>48</v>
      </c>
      <c r="C32" s="165" t="s">
        <v>49</v>
      </c>
      <c r="D32" s="166">
        <f t="shared" si="2"/>
        <v>28938</v>
      </c>
      <c r="E32" s="166">
        <f t="shared" si="5"/>
        <v>23213</v>
      </c>
      <c r="F32" s="166">
        <f t="shared" si="3"/>
        <v>5725</v>
      </c>
      <c r="G32" s="166">
        <v>0</v>
      </c>
      <c r="H32" s="166">
        <v>0</v>
      </c>
      <c r="I32" s="166">
        <v>0</v>
      </c>
      <c r="J32" s="166">
        <v>0</v>
      </c>
      <c r="K32" s="166">
        <f>'[9]Обращ V и фин ПР 10'!O31</f>
        <v>0</v>
      </c>
      <c r="L32" s="166">
        <f>'[9]Обращ V и фин ПР 10'!P31</f>
        <v>0</v>
      </c>
      <c r="M32" s="166">
        <f>'[9]Обращ V и фин ПР 10'!Q31</f>
        <v>0</v>
      </c>
      <c r="N32" s="166">
        <f>'[9]Обращ V и фин ПР 10'!S31</f>
        <v>0</v>
      </c>
      <c r="O32" s="166">
        <f>'[9]Обращ V и фин ПР 10'!T31</f>
        <v>0</v>
      </c>
      <c r="P32" s="166">
        <f>'[9]Обращ V и фин ПР 10'!V31</f>
        <v>0</v>
      </c>
      <c r="Q32" s="166">
        <f>'[9]Обращ V и фин ПР 10'!W31</f>
        <v>0</v>
      </c>
      <c r="R32" s="166">
        <v>0</v>
      </c>
      <c r="S32" s="166">
        <v>0</v>
      </c>
      <c r="T32" s="166">
        <v>0</v>
      </c>
      <c r="U32" s="166">
        <v>0</v>
      </c>
      <c r="V32" s="166">
        <f>'[9]Обращ V и фин ПР 10'!Y31</f>
        <v>0</v>
      </c>
      <c r="W32" s="166">
        <f>'[9]Обращ V и фин ПР 10'!Z31</f>
        <v>0</v>
      </c>
      <c r="X32" s="167">
        <f t="shared" si="4"/>
        <v>28938</v>
      </c>
      <c r="Y32" s="166">
        <v>4710</v>
      </c>
      <c r="Z32" s="166">
        <v>195</v>
      </c>
      <c r="AA32" s="166">
        <v>4455</v>
      </c>
      <c r="AB32" s="166">
        <v>830</v>
      </c>
      <c r="AC32" s="166">
        <v>1653</v>
      </c>
      <c r="AD32" s="166">
        <v>308</v>
      </c>
      <c r="AE32" s="166">
        <v>575</v>
      </c>
      <c r="AF32" s="166">
        <v>107</v>
      </c>
      <c r="AG32" s="166">
        <v>14048</v>
      </c>
      <c r="AH32" s="166">
        <v>4700</v>
      </c>
    </row>
    <row r="33" spans="1:34" s="173" customFormat="1" ht="13.5" customHeight="1" x14ac:dyDescent="0.2">
      <c r="A33" s="163">
        <v>20</v>
      </c>
      <c r="B33" s="164" t="s">
        <v>50</v>
      </c>
      <c r="C33" s="165" t="s">
        <v>199</v>
      </c>
      <c r="D33" s="166">
        <f t="shared" si="2"/>
        <v>22968</v>
      </c>
      <c r="E33" s="166">
        <f t="shared" si="5"/>
        <v>17466</v>
      </c>
      <c r="F33" s="166">
        <f t="shared" si="3"/>
        <v>5502</v>
      </c>
      <c r="G33" s="166">
        <v>0</v>
      </c>
      <c r="H33" s="166">
        <v>0</v>
      </c>
      <c r="I33" s="166">
        <v>0</v>
      </c>
      <c r="J33" s="166">
        <v>0</v>
      </c>
      <c r="K33" s="166">
        <f>'[9]Обращ V и фин ПР 10'!O32</f>
        <v>0</v>
      </c>
      <c r="L33" s="166">
        <f>'[9]Обращ V и фин ПР 10'!P32</f>
        <v>0</v>
      </c>
      <c r="M33" s="166">
        <f>'[9]Обращ V и фин ПР 10'!Q32</f>
        <v>0</v>
      </c>
      <c r="N33" s="166">
        <f>'[9]Обращ V и фин ПР 10'!S32</f>
        <v>0</v>
      </c>
      <c r="O33" s="166">
        <f>'[9]Обращ V и фин ПР 10'!T32</f>
        <v>0</v>
      </c>
      <c r="P33" s="166">
        <f>'[9]Обращ V и фин ПР 10'!V32</f>
        <v>0</v>
      </c>
      <c r="Q33" s="166">
        <f>'[9]Обращ V и фин ПР 10'!W32</f>
        <v>0</v>
      </c>
      <c r="R33" s="166">
        <v>0</v>
      </c>
      <c r="S33" s="166">
        <v>0</v>
      </c>
      <c r="T33" s="166">
        <v>0</v>
      </c>
      <c r="U33" s="166">
        <v>0</v>
      </c>
      <c r="V33" s="166">
        <f>'[9]Обращ V и фин ПР 10'!Y32</f>
        <v>0</v>
      </c>
      <c r="W33" s="166">
        <f>'[9]Обращ V и фин ПР 10'!Z32</f>
        <v>0</v>
      </c>
      <c r="X33" s="167">
        <f t="shared" si="4"/>
        <v>22968</v>
      </c>
      <c r="Y33" s="166">
        <v>2535</v>
      </c>
      <c r="Z33" s="166">
        <v>435</v>
      </c>
      <c r="AA33" s="166">
        <v>1400</v>
      </c>
      <c r="AB33" s="166">
        <v>260</v>
      </c>
      <c r="AC33" s="166">
        <v>167</v>
      </c>
      <c r="AD33" s="166">
        <v>31</v>
      </c>
      <c r="AE33" s="166">
        <v>533</v>
      </c>
      <c r="AF33" s="166">
        <v>99</v>
      </c>
      <c r="AG33" s="166">
        <v>13531</v>
      </c>
      <c r="AH33" s="166">
        <v>4807</v>
      </c>
    </row>
    <row r="34" spans="1:34" ht="13.5" customHeight="1" x14ac:dyDescent="0.2">
      <c r="A34" s="163">
        <v>21</v>
      </c>
      <c r="B34" s="164" t="s">
        <v>51</v>
      </c>
      <c r="C34" s="172" t="s">
        <v>52</v>
      </c>
      <c r="D34" s="166">
        <f t="shared" si="2"/>
        <v>118717</v>
      </c>
      <c r="E34" s="166">
        <f t="shared" si="5"/>
        <v>79097</v>
      </c>
      <c r="F34" s="166">
        <f t="shared" si="3"/>
        <v>39620</v>
      </c>
      <c r="G34" s="166">
        <v>0</v>
      </c>
      <c r="H34" s="166">
        <v>0</v>
      </c>
      <c r="I34" s="166">
        <v>0</v>
      </c>
      <c r="J34" s="166">
        <v>0</v>
      </c>
      <c r="K34" s="166">
        <f>'[9]Обращ V и фин ПР 10'!O33</f>
        <v>0</v>
      </c>
      <c r="L34" s="166">
        <f>'[9]Обращ V и фин ПР 10'!P33</f>
        <v>0</v>
      </c>
      <c r="M34" s="166">
        <f>'[9]Обращ V и фин ПР 10'!Q33</f>
        <v>0</v>
      </c>
      <c r="N34" s="166">
        <f>'[9]Обращ V и фин ПР 10'!S33</f>
        <v>0</v>
      </c>
      <c r="O34" s="166">
        <f>'[9]Обращ V и фин ПР 10'!T33</f>
        <v>0</v>
      </c>
      <c r="P34" s="166">
        <f>'[9]Обращ V и фин ПР 10'!V33</f>
        <v>0</v>
      </c>
      <c r="Q34" s="166">
        <f>'[9]Обращ V и фин ПР 10'!W33</f>
        <v>0</v>
      </c>
      <c r="R34" s="166">
        <v>0</v>
      </c>
      <c r="S34" s="166">
        <v>0</v>
      </c>
      <c r="T34" s="166">
        <v>0</v>
      </c>
      <c r="U34" s="166">
        <v>0</v>
      </c>
      <c r="V34" s="166">
        <f>'[9]Обращ V и фин ПР 10'!Y33</f>
        <v>0</v>
      </c>
      <c r="W34" s="166">
        <f>'[9]Обращ V и фин ПР 10'!Z33</f>
        <v>0</v>
      </c>
      <c r="X34" s="167">
        <f t="shared" si="4"/>
        <v>118717</v>
      </c>
      <c r="Y34" s="166">
        <v>13605</v>
      </c>
      <c r="Z34" s="166">
        <v>6971</v>
      </c>
      <c r="AA34" s="166">
        <v>17381</v>
      </c>
      <c r="AB34" s="166">
        <v>8483</v>
      </c>
      <c r="AC34" s="166">
        <v>6921</v>
      </c>
      <c r="AD34" s="166">
        <v>3379</v>
      </c>
      <c r="AE34" s="166">
        <v>1768</v>
      </c>
      <c r="AF34" s="166">
        <v>863</v>
      </c>
      <c r="AG34" s="166">
        <v>48111</v>
      </c>
      <c r="AH34" s="166">
        <v>24166</v>
      </c>
    </row>
    <row r="35" spans="1:34" ht="13.5" customHeight="1" x14ac:dyDescent="0.2">
      <c r="A35" s="163">
        <v>22</v>
      </c>
      <c r="B35" s="164" t="s">
        <v>53</v>
      </c>
      <c r="C35" s="172" t="s">
        <v>54</v>
      </c>
      <c r="D35" s="166">
        <f t="shared" si="2"/>
        <v>107589</v>
      </c>
      <c r="E35" s="166">
        <f t="shared" si="5"/>
        <v>69771</v>
      </c>
      <c r="F35" s="166">
        <f t="shared" si="3"/>
        <v>37818</v>
      </c>
      <c r="G35" s="166">
        <v>1488</v>
      </c>
      <c r="H35" s="166">
        <v>0</v>
      </c>
      <c r="I35" s="166">
        <v>2074</v>
      </c>
      <c r="J35" s="166">
        <v>5</v>
      </c>
      <c r="K35" s="166">
        <f>'[9]Обращ V и фин ПР 10'!O34</f>
        <v>0</v>
      </c>
      <c r="L35" s="166">
        <f>'[9]Обращ V и фин ПР 10'!P34</f>
        <v>0</v>
      </c>
      <c r="M35" s="166">
        <f>'[9]Обращ V и фин ПР 10'!Q34</f>
        <v>0</v>
      </c>
      <c r="N35" s="166">
        <f>'[9]Обращ V и фин ПР 10'!S34</f>
        <v>0</v>
      </c>
      <c r="O35" s="166">
        <f>'[9]Обращ V и фин ПР 10'!T34</f>
        <v>0</v>
      </c>
      <c r="P35" s="166">
        <f>'[9]Обращ V и фин ПР 10'!V34</f>
        <v>0</v>
      </c>
      <c r="Q35" s="166">
        <f>'[9]Обращ V и фин ПР 10'!W34</f>
        <v>0</v>
      </c>
      <c r="R35" s="166">
        <v>0</v>
      </c>
      <c r="S35" s="166">
        <v>0</v>
      </c>
      <c r="T35" s="166">
        <v>0</v>
      </c>
      <c r="U35" s="166">
        <v>0</v>
      </c>
      <c r="V35" s="166">
        <f>'[9]Обращ V и фин ПР 10'!Y34</f>
        <v>0</v>
      </c>
      <c r="W35" s="166">
        <f>'[9]Обращ V и фин ПР 10'!Z34</f>
        <v>0</v>
      </c>
      <c r="X35" s="167">
        <f t="shared" si="4"/>
        <v>104022</v>
      </c>
      <c r="Y35" s="166">
        <v>14936</v>
      </c>
      <c r="Z35" s="166">
        <v>3350</v>
      </c>
      <c r="AA35" s="166">
        <v>11724</v>
      </c>
      <c r="AB35" s="166">
        <v>6739</v>
      </c>
      <c r="AC35" s="166">
        <v>5398</v>
      </c>
      <c r="AD35" s="166">
        <v>3103</v>
      </c>
      <c r="AE35" s="166">
        <v>464</v>
      </c>
      <c r="AF35" s="166">
        <v>267</v>
      </c>
      <c r="AG35" s="166">
        <v>39549</v>
      </c>
      <c r="AH35" s="166">
        <v>27724</v>
      </c>
    </row>
    <row r="36" spans="1:34" ht="13.5" customHeight="1" x14ac:dyDescent="0.2">
      <c r="A36" s="163">
        <v>23</v>
      </c>
      <c r="B36" s="164" t="s">
        <v>55</v>
      </c>
      <c r="C36" s="165" t="s">
        <v>311</v>
      </c>
      <c r="D36" s="166">
        <f t="shared" si="2"/>
        <v>25239</v>
      </c>
      <c r="E36" s="166">
        <f t="shared" si="5"/>
        <v>15251</v>
      </c>
      <c r="F36" s="166">
        <f t="shared" si="3"/>
        <v>9988</v>
      </c>
      <c r="G36" s="166">
        <v>0</v>
      </c>
      <c r="H36" s="166">
        <v>0</v>
      </c>
      <c r="I36" s="166">
        <v>0</v>
      </c>
      <c r="J36" s="166">
        <v>0</v>
      </c>
      <c r="K36" s="166">
        <f>'[9]Обращ V и фин ПР 10'!O35</f>
        <v>0</v>
      </c>
      <c r="L36" s="166">
        <f>'[9]Обращ V и фин ПР 10'!P35</f>
        <v>0</v>
      </c>
      <c r="M36" s="166">
        <f>'[9]Обращ V и фин ПР 10'!Q35</f>
        <v>0</v>
      </c>
      <c r="N36" s="166">
        <f>'[9]Обращ V и фин ПР 10'!S35</f>
        <v>0</v>
      </c>
      <c r="O36" s="166">
        <f>'[9]Обращ V и фин ПР 10'!T35</f>
        <v>0</v>
      </c>
      <c r="P36" s="166">
        <f>'[9]Обращ V и фин ПР 10'!V35</f>
        <v>0</v>
      </c>
      <c r="Q36" s="166">
        <f>'[9]Обращ V и фин ПР 10'!W35</f>
        <v>0</v>
      </c>
      <c r="R36" s="166">
        <v>0</v>
      </c>
      <c r="S36" s="166">
        <v>0</v>
      </c>
      <c r="T36" s="166">
        <v>0</v>
      </c>
      <c r="U36" s="166">
        <v>0</v>
      </c>
      <c r="V36" s="166">
        <f>'[9]Обращ V и фин ПР 10'!Y35</f>
        <v>0</v>
      </c>
      <c r="W36" s="166">
        <f>'[9]Обращ V и фин ПР 10'!Z35</f>
        <v>0</v>
      </c>
      <c r="X36" s="167">
        <f t="shared" si="4"/>
        <v>25239</v>
      </c>
      <c r="Y36" s="166">
        <v>3003</v>
      </c>
      <c r="Z36" s="166">
        <v>261</v>
      </c>
      <c r="AA36" s="166">
        <v>3603</v>
      </c>
      <c r="AB36" s="166">
        <v>984</v>
      </c>
      <c r="AC36" s="166">
        <v>1802</v>
      </c>
      <c r="AD36" s="166">
        <v>492</v>
      </c>
      <c r="AE36" s="166">
        <v>0</v>
      </c>
      <c r="AF36" s="166">
        <v>0</v>
      </c>
      <c r="AG36" s="166">
        <v>8645</v>
      </c>
      <c r="AH36" s="166">
        <v>8743</v>
      </c>
    </row>
    <row r="37" spans="1:34" ht="13.5" customHeight="1" x14ac:dyDescent="0.2">
      <c r="A37" s="163">
        <v>24</v>
      </c>
      <c r="B37" s="164" t="s">
        <v>6</v>
      </c>
      <c r="C37" s="165" t="s">
        <v>312</v>
      </c>
      <c r="D37" s="166">
        <f t="shared" si="2"/>
        <v>183283</v>
      </c>
      <c r="E37" s="166">
        <f t="shared" si="5"/>
        <v>183188</v>
      </c>
      <c r="F37" s="166">
        <f t="shared" si="3"/>
        <v>95</v>
      </c>
      <c r="G37" s="166">
        <v>0</v>
      </c>
      <c r="H37" s="166">
        <v>0</v>
      </c>
      <c r="I37" s="166">
        <v>12126</v>
      </c>
      <c r="J37" s="166">
        <v>0</v>
      </c>
      <c r="K37" s="166">
        <f>'[9]Обращ V и фин ПР 10'!O36</f>
        <v>0</v>
      </c>
      <c r="L37" s="166">
        <f>'[9]Обращ V и фин ПР 10'!P36</f>
        <v>0</v>
      </c>
      <c r="M37" s="166">
        <f>'[9]Обращ V и фин ПР 10'!Q36</f>
        <v>0</v>
      </c>
      <c r="N37" s="166">
        <f>'[9]Обращ V и фин ПР 10'!S36</f>
        <v>0</v>
      </c>
      <c r="O37" s="166">
        <f>'[9]Обращ V и фин ПР 10'!T36</f>
        <v>0</v>
      </c>
      <c r="P37" s="166">
        <f>'[9]Обращ V и фин ПР 10'!V36</f>
        <v>0</v>
      </c>
      <c r="Q37" s="166">
        <f>'[9]Обращ V и фин ПР 10'!W36</f>
        <v>0</v>
      </c>
      <c r="R37" s="166">
        <v>0</v>
      </c>
      <c r="S37" s="166">
        <v>0</v>
      </c>
      <c r="T37" s="166">
        <v>0</v>
      </c>
      <c r="U37" s="166">
        <v>0</v>
      </c>
      <c r="V37" s="166">
        <f>'[9]Обращ V и фин ПР 10'!Y36</f>
        <v>3850</v>
      </c>
      <c r="W37" s="166">
        <f>'[9]Обращ V и фин ПР 10'!Z36</f>
        <v>0</v>
      </c>
      <c r="X37" s="167">
        <f t="shared" si="4"/>
        <v>167307</v>
      </c>
      <c r="Y37" s="166">
        <v>44041</v>
      </c>
      <c r="Z37" s="166">
        <v>95</v>
      </c>
      <c r="AA37" s="166">
        <v>0</v>
      </c>
      <c r="AB37" s="166">
        <v>0</v>
      </c>
      <c r="AC37" s="166">
        <v>0</v>
      </c>
      <c r="AD37" s="166">
        <v>0</v>
      </c>
      <c r="AE37" s="166">
        <v>0</v>
      </c>
      <c r="AF37" s="166">
        <v>0</v>
      </c>
      <c r="AG37" s="166">
        <v>123171</v>
      </c>
      <c r="AH37" s="166">
        <v>0</v>
      </c>
    </row>
    <row r="38" spans="1:34" ht="13.5" customHeight="1" x14ac:dyDescent="0.2">
      <c r="A38" s="163">
        <v>25</v>
      </c>
      <c r="B38" s="164" t="s">
        <v>5</v>
      </c>
      <c r="C38" s="165" t="s">
        <v>313</v>
      </c>
      <c r="D38" s="166">
        <f t="shared" si="2"/>
        <v>218777</v>
      </c>
      <c r="E38" s="166">
        <f t="shared" si="5"/>
        <v>166101</v>
      </c>
      <c r="F38" s="166">
        <f t="shared" si="3"/>
        <v>52676</v>
      </c>
      <c r="G38" s="166">
        <v>0</v>
      </c>
      <c r="H38" s="166">
        <v>0</v>
      </c>
      <c r="I38" s="166">
        <v>0</v>
      </c>
      <c r="J38" s="166">
        <v>0</v>
      </c>
      <c r="K38" s="166">
        <f>'[9]Обращ V и фин ПР 10'!O37</f>
        <v>0</v>
      </c>
      <c r="L38" s="166">
        <f>'[9]Обращ V и фин ПР 10'!P37</f>
        <v>0</v>
      </c>
      <c r="M38" s="166">
        <f>'[9]Обращ V и фин ПР 10'!Q37</f>
        <v>0</v>
      </c>
      <c r="N38" s="166">
        <f>'[9]Обращ V и фин ПР 10'!S37</f>
        <v>0</v>
      </c>
      <c r="O38" s="166">
        <f>'[9]Обращ V и фин ПР 10'!T37</f>
        <v>0</v>
      </c>
      <c r="P38" s="166">
        <f>'[9]Обращ V и фин ПР 10'!V37</f>
        <v>0</v>
      </c>
      <c r="Q38" s="166">
        <f>'[9]Обращ V и фин ПР 10'!W37</f>
        <v>0</v>
      </c>
      <c r="R38" s="166">
        <v>0</v>
      </c>
      <c r="S38" s="166">
        <v>0</v>
      </c>
      <c r="T38" s="166">
        <v>0</v>
      </c>
      <c r="U38" s="166">
        <v>0</v>
      </c>
      <c r="V38" s="166">
        <f>'[9]Обращ V и фин ПР 10'!Y37</f>
        <v>0</v>
      </c>
      <c r="W38" s="166">
        <f>'[9]Обращ V и фин ПР 10'!Z37</f>
        <v>0</v>
      </c>
      <c r="X38" s="167">
        <f t="shared" si="4"/>
        <v>218777</v>
      </c>
      <c r="Y38" s="166">
        <v>45076</v>
      </c>
      <c r="Z38" s="166">
        <v>2046</v>
      </c>
      <c r="AA38" s="166">
        <v>4400</v>
      </c>
      <c r="AB38" s="166">
        <v>1000</v>
      </c>
      <c r="AC38" s="166">
        <v>2200</v>
      </c>
      <c r="AD38" s="166">
        <v>500</v>
      </c>
      <c r="AE38" s="166">
        <v>0</v>
      </c>
      <c r="AF38" s="166">
        <v>0</v>
      </c>
      <c r="AG38" s="166">
        <v>116625</v>
      </c>
      <c r="AH38" s="166">
        <v>49630</v>
      </c>
    </row>
    <row r="39" spans="1:34" ht="13.5" customHeight="1" x14ac:dyDescent="0.2">
      <c r="A39" s="163">
        <v>26</v>
      </c>
      <c r="B39" s="164" t="s">
        <v>60</v>
      </c>
      <c r="C39" s="165" t="s">
        <v>314</v>
      </c>
      <c r="D39" s="166">
        <f t="shared" si="2"/>
        <v>76932</v>
      </c>
      <c r="E39" s="166">
        <f t="shared" si="5"/>
        <v>0</v>
      </c>
      <c r="F39" s="166">
        <f t="shared" si="3"/>
        <v>76932</v>
      </c>
      <c r="G39" s="166">
        <v>0</v>
      </c>
      <c r="H39" s="166">
        <v>0</v>
      </c>
      <c r="I39" s="166">
        <v>0</v>
      </c>
      <c r="J39" s="166">
        <v>0</v>
      </c>
      <c r="K39" s="166">
        <f>'[9]Обращ V и фин ПР 10'!O38</f>
        <v>0</v>
      </c>
      <c r="L39" s="166">
        <f>'[9]Обращ V и фин ПР 10'!P38</f>
        <v>0</v>
      </c>
      <c r="M39" s="166">
        <f>'[9]Обращ V и фин ПР 10'!Q38</f>
        <v>0</v>
      </c>
      <c r="N39" s="166">
        <f>'[9]Обращ V и фин ПР 10'!S38</f>
        <v>0</v>
      </c>
      <c r="O39" s="166">
        <f>'[9]Обращ V и фин ПР 10'!T38</f>
        <v>0</v>
      </c>
      <c r="P39" s="166">
        <f>'[9]Обращ V и фин ПР 10'!V38</f>
        <v>0</v>
      </c>
      <c r="Q39" s="166">
        <f>'[9]Обращ V и фин ПР 10'!W38</f>
        <v>0</v>
      </c>
      <c r="R39" s="166">
        <v>0</v>
      </c>
      <c r="S39" s="166">
        <v>0</v>
      </c>
      <c r="T39" s="166">
        <v>0</v>
      </c>
      <c r="U39" s="166">
        <v>0</v>
      </c>
      <c r="V39" s="166">
        <f>'[9]Обращ V и фин ПР 10'!Y38</f>
        <v>0</v>
      </c>
      <c r="W39" s="166">
        <f>'[9]Обращ V и фин ПР 10'!Z38</f>
        <v>3672</v>
      </c>
      <c r="X39" s="167">
        <f t="shared" si="4"/>
        <v>73260</v>
      </c>
      <c r="Y39" s="166">
        <v>0</v>
      </c>
      <c r="Z39" s="166">
        <v>13575</v>
      </c>
      <c r="AA39" s="166">
        <v>0</v>
      </c>
      <c r="AB39" s="166">
        <v>0</v>
      </c>
      <c r="AC39" s="166">
        <v>0</v>
      </c>
      <c r="AD39" s="166">
        <v>0</v>
      </c>
      <c r="AE39" s="166">
        <v>0</v>
      </c>
      <c r="AF39" s="166">
        <v>0</v>
      </c>
      <c r="AG39" s="166">
        <v>0</v>
      </c>
      <c r="AH39" s="166">
        <v>59685</v>
      </c>
    </row>
    <row r="40" spans="1:34" ht="13.5" customHeight="1" x14ac:dyDescent="0.2">
      <c r="A40" s="163">
        <v>27</v>
      </c>
      <c r="B40" s="164" t="s">
        <v>315</v>
      </c>
      <c r="C40" s="165" t="s">
        <v>316</v>
      </c>
      <c r="D40" s="166">
        <f t="shared" si="2"/>
        <v>10558</v>
      </c>
      <c r="E40" s="166">
        <f t="shared" si="5"/>
        <v>7115</v>
      </c>
      <c r="F40" s="166">
        <f t="shared" si="3"/>
        <v>3443</v>
      </c>
      <c r="G40" s="166">
        <v>0</v>
      </c>
      <c r="H40" s="166">
        <v>0</v>
      </c>
      <c r="I40" s="166">
        <v>0</v>
      </c>
      <c r="J40" s="166">
        <v>0</v>
      </c>
      <c r="K40" s="166">
        <f>'[9]Обращ V и фин ПР 10'!O39</f>
        <v>0</v>
      </c>
      <c r="L40" s="166">
        <f>'[9]Обращ V и фин ПР 10'!P39</f>
        <v>0</v>
      </c>
      <c r="M40" s="166">
        <f>'[9]Обращ V и фин ПР 10'!Q39</f>
        <v>0</v>
      </c>
      <c r="N40" s="166">
        <f>'[9]Обращ V и фин ПР 10'!S39</f>
        <v>7115</v>
      </c>
      <c r="O40" s="166">
        <f>'[9]Обращ V и фин ПР 10'!T39</f>
        <v>3443</v>
      </c>
      <c r="P40" s="166">
        <f>'[9]Обращ V и фин ПР 10'!V39</f>
        <v>0</v>
      </c>
      <c r="Q40" s="166">
        <f>'[9]Обращ V и фин ПР 10'!W39</f>
        <v>0</v>
      </c>
      <c r="R40" s="166">
        <v>0</v>
      </c>
      <c r="S40" s="166">
        <v>0</v>
      </c>
      <c r="T40" s="166">
        <v>0</v>
      </c>
      <c r="U40" s="166">
        <v>0</v>
      </c>
      <c r="V40" s="166">
        <f>'[9]Обращ V и фин ПР 10'!Y39</f>
        <v>0</v>
      </c>
      <c r="W40" s="166">
        <f>'[9]Обращ V и фин ПР 10'!Z39</f>
        <v>0</v>
      </c>
      <c r="X40" s="167">
        <f t="shared" si="4"/>
        <v>0</v>
      </c>
      <c r="Y40" s="166">
        <v>0</v>
      </c>
      <c r="Z40" s="166">
        <v>0</v>
      </c>
      <c r="AA40" s="166">
        <v>0</v>
      </c>
      <c r="AB40" s="166">
        <v>0</v>
      </c>
      <c r="AC40" s="166">
        <v>0</v>
      </c>
      <c r="AD40" s="166">
        <v>0</v>
      </c>
      <c r="AE40" s="166">
        <v>0</v>
      </c>
      <c r="AF40" s="166">
        <v>0</v>
      </c>
      <c r="AG40" s="166">
        <v>0</v>
      </c>
      <c r="AH40" s="166">
        <v>0</v>
      </c>
    </row>
    <row r="41" spans="1:34" ht="13.5" customHeight="1" x14ac:dyDescent="0.2">
      <c r="A41" s="163">
        <v>28</v>
      </c>
      <c r="B41" s="164" t="s">
        <v>317</v>
      </c>
      <c r="C41" s="176" t="s">
        <v>318</v>
      </c>
      <c r="D41" s="166">
        <f t="shared" si="2"/>
        <v>65442</v>
      </c>
      <c r="E41" s="166">
        <f t="shared" si="5"/>
        <v>43742</v>
      </c>
      <c r="F41" s="166">
        <f t="shared" si="3"/>
        <v>21700</v>
      </c>
      <c r="G41" s="166">
        <v>0</v>
      </c>
      <c r="H41" s="166">
        <v>0</v>
      </c>
      <c r="I41" s="166">
        <v>0</v>
      </c>
      <c r="J41" s="166">
        <v>0</v>
      </c>
      <c r="K41" s="166">
        <f>'[9]Обращ V и фин ПР 10'!O40</f>
        <v>0</v>
      </c>
      <c r="L41" s="166">
        <f>'[9]Обращ V и фин ПР 10'!P40</f>
        <v>0</v>
      </c>
      <c r="M41" s="166">
        <f>'[9]Обращ V и фин ПР 10'!Q40</f>
        <v>0</v>
      </c>
      <c r="N41" s="166">
        <f>'[9]Обращ V и фин ПР 10'!S40</f>
        <v>0</v>
      </c>
      <c r="O41" s="166">
        <f>'[9]Обращ V и фин ПР 10'!T40</f>
        <v>0</v>
      </c>
      <c r="P41" s="166">
        <f>'[9]Обращ V и фин ПР 10'!V40</f>
        <v>43742</v>
      </c>
      <c r="Q41" s="166">
        <f>'[9]Обращ V и фин ПР 10'!W40</f>
        <v>21700</v>
      </c>
      <c r="R41" s="166">
        <v>16620</v>
      </c>
      <c r="S41" s="166">
        <f>8246</f>
        <v>8246</v>
      </c>
      <c r="T41" s="166">
        <v>5249</v>
      </c>
      <c r="U41" s="166">
        <f>2604</f>
        <v>2604</v>
      </c>
      <c r="V41" s="166">
        <f>'[9]Обращ V и фин ПР 10'!Y40</f>
        <v>0</v>
      </c>
      <c r="W41" s="166">
        <f>'[9]Обращ V и фин ПР 10'!Z40</f>
        <v>0</v>
      </c>
      <c r="X41" s="167">
        <f t="shared" si="4"/>
        <v>0</v>
      </c>
      <c r="Y41" s="166">
        <v>0</v>
      </c>
      <c r="Z41" s="166">
        <v>0</v>
      </c>
      <c r="AA41" s="166">
        <v>0</v>
      </c>
      <c r="AB41" s="166">
        <v>0</v>
      </c>
      <c r="AC41" s="166">
        <v>0</v>
      </c>
      <c r="AD41" s="166">
        <v>0</v>
      </c>
      <c r="AE41" s="166">
        <v>0</v>
      </c>
      <c r="AF41" s="166">
        <v>0</v>
      </c>
      <c r="AG41" s="166">
        <v>0</v>
      </c>
      <c r="AH41" s="166">
        <v>0</v>
      </c>
    </row>
    <row r="42" spans="1:34" s="177" customFormat="1" ht="28.5" customHeight="1" x14ac:dyDescent="0.2">
      <c r="A42" s="163">
        <v>29</v>
      </c>
      <c r="B42" s="164" t="s">
        <v>62</v>
      </c>
      <c r="C42" s="172" t="s">
        <v>319</v>
      </c>
      <c r="D42" s="166">
        <f t="shared" si="2"/>
        <v>11334</v>
      </c>
      <c r="E42" s="166">
        <f t="shared" si="5"/>
        <v>11334</v>
      </c>
      <c r="F42" s="166">
        <f t="shared" si="3"/>
        <v>0</v>
      </c>
      <c r="G42" s="166">
        <v>0</v>
      </c>
      <c r="H42" s="166">
        <v>0</v>
      </c>
      <c r="I42" s="166">
        <v>0</v>
      </c>
      <c r="J42" s="166">
        <v>0</v>
      </c>
      <c r="K42" s="166">
        <f>'[9]Обращ V и фин ПР 10'!O41</f>
        <v>0</v>
      </c>
      <c r="L42" s="166">
        <f>'[9]Обращ V и фин ПР 10'!P41</f>
        <v>0</v>
      </c>
      <c r="M42" s="166">
        <f>'[9]Обращ V и фин ПР 10'!Q41</f>
        <v>0</v>
      </c>
      <c r="N42" s="166">
        <f>'[9]Обращ V и фин ПР 10'!S41</f>
        <v>0</v>
      </c>
      <c r="O42" s="166">
        <f>'[9]Обращ V и фин ПР 10'!T41</f>
        <v>0</v>
      </c>
      <c r="P42" s="166">
        <f>'[9]Обращ V и фин ПР 10'!V41</f>
        <v>0</v>
      </c>
      <c r="Q42" s="166">
        <f>'[9]Обращ V и фин ПР 10'!W41</f>
        <v>0</v>
      </c>
      <c r="R42" s="166">
        <v>0</v>
      </c>
      <c r="S42" s="166">
        <v>0</v>
      </c>
      <c r="T42" s="166">
        <v>0</v>
      </c>
      <c r="U42" s="166">
        <v>0</v>
      </c>
      <c r="V42" s="166">
        <f>'[9]Обращ V и фин ПР 10'!Y41</f>
        <v>0</v>
      </c>
      <c r="W42" s="166">
        <f>'[9]Обращ V и фин ПР 10'!Z41</f>
        <v>0</v>
      </c>
      <c r="X42" s="167">
        <f t="shared" si="4"/>
        <v>11334</v>
      </c>
      <c r="Y42" s="166">
        <v>2296</v>
      </c>
      <c r="Z42" s="166">
        <v>0</v>
      </c>
      <c r="AA42" s="166">
        <v>2526</v>
      </c>
      <c r="AB42" s="166">
        <v>0</v>
      </c>
      <c r="AC42" s="166">
        <v>1263</v>
      </c>
      <c r="AD42" s="166">
        <v>0</v>
      </c>
      <c r="AE42" s="166">
        <v>0</v>
      </c>
      <c r="AF42" s="166">
        <v>0</v>
      </c>
      <c r="AG42" s="166">
        <v>6512</v>
      </c>
      <c r="AH42" s="166">
        <v>0</v>
      </c>
    </row>
    <row r="43" spans="1:34" ht="13.5" customHeight="1" x14ac:dyDescent="0.2">
      <c r="A43" s="163">
        <v>30</v>
      </c>
      <c r="B43" s="164" t="s">
        <v>64</v>
      </c>
      <c r="C43" s="165" t="s">
        <v>65</v>
      </c>
      <c r="D43" s="166">
        <f t="shared" si="2"/>
        <v>152620</v>
      </c>
      <c r="E43" s="166">
        <f t="shared" si="5"/>
        <v>107841</v>
      </c>
      <c r="F43" s="166">
        <f t="shared" si="3"/>
        <v>44779</v>
      </c>
      <c r="G43" s="166">
        <v>0</v>
      </c>
      <c r="H43" s="166">
        <v>0</v>
      </c>
      <c r="I43" s="166">
        <v>5550</v>
      </c>
      <c r="J43" s="166">
        <v>0</v>
      </c>
      <c r="K43" s="166">
        <f>'[9]Обращ V и фин ПР 10'!O42</f>
        <v>0</v>
      </c>
      <c r="L43" s="166">
        <f>'[9]Обращ V и фин ПР 10'!P42</f>
        <v>0</v>
      </c>
      <c r="M43" s="166">
        <f>'[9]Обращ V и фин ПР 10'!Q42</f>
        <v>0</v>
      </c>
      <c r="N43" s="166">
        <f>'[9]Обращ V и фин ПР 10'!S42</f>
        <v>0</v>
      </c>
      <c r="O43" s="166">
        <f>'[9]Обращ V и фин ПР 10'!T42</f>
        <v>0</v>
      </c>
      <c r="P43" s="166">
        <f>'[9]Обращ V и фин ПР 10'!V42</f>
        <v>0</v>
      </c>
      <c r="Q43" s="166">
        <f>'[9]Обращ V и фин ПР 10'!W42</f>
        <v>0</v>
      </c>
      <c r="R43" s="166">
        <v>0</v>
      </c>
      <c r="S43" s="166">
        <v>0</v>
      </c>
      <c r="T43" s="166">
        <v>0</v>
      </c>
      <c r="U43" s="166">
        <v>0</v>
      </c>
      <c r="V43" s="166">
        <f>'[9]Обращ V и фин ПР 10'!Y42</f>
        <v>0</v>
      </c>
      <c r="W43" s="166">
        <f>'[9]Обращ V и фин ПР 10'!Z42</f>
        <v>0</v>
      </c>
      <c r="X43" s="167">
        <f t="shared" si="4"/>
        <v>147070</v>
      </c>
      <c r="Y43" s="166">
        <v>25514</v>
      </c>
      <c r="Z43" s="166">
        <v>4284</v>
      </c>
      <c r="AA43" s="166">
        <v>12000</v>
      </c>
      <c r="AB43" s="166">
        <v>7400</v>
      </c>
      <c r="AC43" s="166">
        <v>4628</v>
      </c>
      <c r="AD43" s="166">
        <v>2854</v>
      </c>
      <c r="AE43" s="166">
        <v>1372</v>
      </c>
      <c r="AF43" s="166">
        <v>846</v>
      </c>
      <c r="AG43" s="166">
        <v>64777</v>
      </c>
      <c r="AH43" s="166">
        <v>33095</v>
      </c>
    </row>
    <row r="44" spans="1:34" ht="13.5" customHeight="1" x14ac:dyDescent="0.2">
      <c r="A44" s="163">
        <v>31</v>
      </c>
      <c r="B44" s="164" t="s">
        <v>66</v>
      </c>
      <c r="C44" s="165" t="s">
        <v>67</v>
      </c>
      <c r="D44" s="166">
        <f t="shared" si="2"/>
        <v>211349</v>
      </c>
      <c r="E44" s="166">
        <f t="shared" si="5"/>
        <v>153331</v>
      </c>
      <c r="F44" s="166">
        <f t="shared" si="3"/>
        <v>58018</v>
      </c>
      <c r="G44" s="166">
        <v>0</v>
      </c>
      <c r="H44" s="166">
        <v>0</v>
      </c>
      <c r="I44" s="166">
        <v>3336</v>
      </c>
      <c r="J44" s="166">
        <v>0</v>
      </c>
      <c r="K44" s="166">
        <f>'[9]Обращ V и фин ПР 10'!O43</f>
        <v>0</v>
      </c>
      <c r="L44" s="166">
        <f>'[9]Обращ V и фин ПР 10'!P43</f>
        <v>0</v>
      </c>
      <c r="M44" s="166">
        <f>'[9]Обращ V и фин ПР 10'!Q43</f>
        <v>0</v>
      </c>
      <c r="N44" s="166">
        <f>'[9]Обращ V и фин ПР 10'!S43</f>
        <v>0</v>
      </c>
      <c r="O44" s="166">
        <f>'[9]Обращ V и фин ПР 10'!T43</f>
        <v>0</v>
      </c>
      <c r="P44" s="166">
        <f>'[9]Обращ V и фин ПР 10'!V43</f>
        <v>0</v>
      </c>
      <c r="Q44" s="166">
        <f>'[9]Обращ V и фин ПР 10'!W43</f>
        <v>0</v>
      </c>
      <c r="R44" s="166">
        <v>0</v>
      </c>
      <c r="S44" s="166">
        <v>0</v>
      </c>
      <c r="T44" s="166">
        <v>0</v>
      </c>
      <c r="U44" s="166">
        <v>0</v>
      </c>
      <c r="V44" s="166">
        <f>'[9]Обращ V и фин ПР 10'!Y43</f>
        <v>0</v>
      </c>
      <c r="W44" s="166">
        <f>'[9]Обращ V и фин ПР 10'!Z43</f>
        <v>0</v>
      </c>
      <c r="X44" s="167">
        <f t="shared" si="4"/>
        <v>208013</v>
      </c>
      <c r="Y44" s="166">
        <v>40902</v>
      </c>
      <c r="Z44" s="166">
        <v>6804</v>
      </c>
      <c r="AA44" s="166">
        <v>24851</v>
      </c>
      <c r="AB44" s="166">
        <v>9350</v>
      </c>
      <c r="AC44" s="166">
        <v>9224</v>
      </c>
      <c r="AD44" s="166">
        <v>3472</v>
      </c>
      <c r="AE44" s="166">
        <v>3198</v>
      </c>
      <c r="AF44" s="166">
        <v>1203</v>
      </c>
      <c r="AG44" s="166">
        <v>84242</v>
      </c>
      <c r="AH44" s="166">
        <v>41864</v>
      </c>
    </row>
    <row r="45" spans="1:34" ht="13.5" customHeight="1" x14ac:dyDescent="0.2">
      <c r="A45" s="163">
        <v>32</v>
      </c>
      <c r="B45" s="164" t="s">
        <v>320</v>
      </c>
      <c r="C45" s="170" t="s">
        <v>321</v>
      </c>
      <c r="D45" s="166">
        <f t="shared" si="2"/>
        <v>8493</v>
      </c>
      <c r="E45" s="166">
        <f t="shared" si="5"/>
        <v>5396</v>
      </c>
      <c r="F45" s="166">
        <f t="shared" si="3"/>
        <v>3097</v>
      </c>
      <c r="G45" s="166">
        <v>0</v>
      </c>
      <c r="H45" s="166">
        <v>0</v>
      </c>
      <c r="I45" s="166">
        <v>0</v>
      </c>
      <c r="J45" s="166">
        <v>0</v>
      </c>
      <c r="K45" s="166">
        <f>'[9]Обращ V и фин ПР 10'!O44</f>
        <v>0</v>
      </c>
      <c r="L45" s="166">
        <f>'[9]Обращ V и фин ПР 10'!P44</f>
        <v>0</v>
      </c>
      <c r="M45" s="166">
        <f>'[9]Обращ V и фин ПР 10'!Q44</f>
        <v>0</v>
      </c>
      <c r="N45" s="166">
        <f>'[9]Обращ V и фин ПР 10'!S44</f>
        <v>5396</v>
      </c>
      <c r="O45" s="166">
        <f>'[9]Обращ V и фин ПР 10'!T44</f>
        <v>3097</v>
      </c>
      <c r="P45" s="166">
        <f>'[9]Обращ V и фин ПР 10'!V44</f>
        <v>0</v>
      </c>
      <c r="Q45" s="166">
        <f>'[9]Обращ V и фин ПР 10'!W44</f>
        <v>0</v>
      </c>
      <c r="R45" s="166">
        <v>0</v>
      </c>
      <c r="S45" s="166">
        <v>0</v>
      </c>
      <c r="T45" s="166">
        <v>0</v>
      </c>
      <c r="U45" s="166">
        <v>0</v>
      </c>
      <c r="V45" s="166">
        <f>'[9]Обращ V и фин ПР 10'!Y44</f>
        <v>0</v>
      </c>
      <c r="W45" s="166">
        <f>'[9]Обращ V и фин ПР 10'!Z44</f>
        <v>0</v>
      </c>
      <c r="X45" s="167">
        <f t="shared" si="4"/>
        <v>0</v>
      </c>
      <c r="Y45" s="166">
        <v>0</v>
      </c>
      <c r="Z45" s="166">
        <v>0</v>
      </c>
      <c r="AA45" s="166">
        <v>0</v>
      </c>
      <c r="AB45" s="166">
        <v>0</v>
      </c>
      <c r="AC45" s="166">
        <v>0</v>
      </c>
      <c r="AD45" s="166">
        <v>0</v>
      </c>
      <c r="AE45" s="166">
        <v>0</v>
      </c>
      <c r="AF45" s="166">
        <v>0</v>
      </c>
      <c r="AG45" s="166">
        <v>0</v>
      </c>
      <c r="AH45" s="166">
        <v>0</v>
      </c>
    </row>
    <row r="46" spans="1:34" ht="13.5" customHeight="1" x14ac:dyDescent="0.2">
      <c r="A46" s="163">
        <v>33</v>
      </c>
      <c r="B46" s="164" t="s">
        <v>68</v>
      </c>
      <c r="C46" s="170" t="s">
        <v>69</v>
      </c>
      <c r="D46" s="166">
        <f t="shared" si="2"/>
        <v>42072</v>
      </c>
      <c r="E46" s="166">
        <f t="shared" si="5"/>
        <v>32338</v>
      </c>
      <c r="F46" s="166">
        <f t="shared" si="3"/>
        <v>9734</v>
      </c>
      <c r="G46" s="166">
        <v>0</v>
      </c>
      <c r="H46" s="166">
        <v>0</v>
      </c>
      <c r="I46" s="166">
        <v>0</v>
      </c>
      <c r="J46" s="166">
        <v>0</v>
      </c>
      <c r="K46" s="166">
        <f>'[9]Обращ V и фин ПР 10'!O45</f>
        <v>0</v>
      </c>
      <c r="L46" s="166">
        <f>'[9]Обращ V и фин ПР 10'!P45</f>
        <v>0</v>
      </c>
      <c r="M46" s="166">
        <f>'[9]Обращ V и фин ПР 10'!Q45</f>
        <v>0</v>
      </c>
      <c r="N46" s="166">
        <f>'[9]Обращ V и фин ПР 10'!S45</f>
        <v>0</v>
      </c>
      <c r="O46" s="166">
        <f>'[9]Обращ V и фин ПР 10'!T45</f>
        <v>0</v>
      </c>
      <c r="P46" s="166">
        <f>'[9]Обращ V и фин ПР 10'!V45</f>
        <v>0</v>
      </c>
      <c r="Q46" s="166">
        <f>'[9]Обращ V и фин ПР 10'!W45</f>
        <v>0</v>
      </c>
      <c r="R46" s="166">
        <v>0</v>
      </c>
      <c r="S46" s="166">
        <v>0</v>
      </c>
      <c r="T46" s="166">
        <v>0</v>
      </c>
      <c r="U46" s="166">
        <v>0</v>
      </c>
      <c r="V46" s="166">
        <f>'[9]Обращ V и фин ПР 10'!Y45</f>
        <v>0</v>
      </c>
      <c r="W46" s="166">
        <f>'[9]Обращ V и фин ПР 10'!Z45</f>
        <v>0</v>
      </c>
      <c r="X46" s="167">
        <f t="shared" si="4"/>
        <v>42072</v>
      </c>
      <c r="Y46" s="166">
        <v>2850</v>
      </c>
      <c r="Z46" s="166">
        <v>214</v>
      </c>
      <c r="AA46" s="166">
        <v>7900</v>
      </c>
      <c r="AB46" s="166">
        <v>1600</v>
      </c>
      <c r="AC46" s="166">
        <v>3160</v>
      </c>
      <c r="AD46" s="166">
        <v>640</v>
      </c>
      <c r="AE46" s="166">
        <v>790</v>
      </c>
      <c r="AF46" s="166">
        <v>160</v>
      </c>
      <c r="AG46" s="166">
        <v>21588</v>
      </c>
      <c r="AH46" s="166">
        <v>7920</v>
      </c>
    </row>
    <row r="47" spans="1:34" ht="13.5" customHeight="1" x14ac:dyDescent="0.2">
      <c r="A47" s="163">
        <v>34</v>
      </c>
      <c r="B47" s="164" t="s">
        <v>70</v>
      </c>
      <c r="C47" s="165" t="s">
        <v>71</v>
      </c>
      <c r="D47" s="166">
        <f t="shared" si="2"/>
        <v>140587</v>
      </c>
      <c r="E47" s="166">
        <f t="shared" si="5"/>
        <v>107790</v>
      </c>
      <c r="F47" s="166">
        <f t="shared" si="3"/>
        <v>32797</v>
      </c>
      <c r="G47" s="166">
        <v>0</v>
      </c>
      <c r="H47" s="166">
        <v>0</v>
      </c>
      <c r="I47" s="166">
        <v>0</v>
      </c>
      <c r="J47" s="166">
        <v>0</v>
      </c>
      <c r="K47" s="166">
        <f>'[9]Обращ V и фин ПР 10'!O46</f>
        <v>0</v>
      </c>
      <c r="L47" s="166">
        <f>'[9]Обращ V и фин ПР 10'!P46</f>
        <v>0</v>
      </c>
      <c r="M47" s="166">
        <f>'[9]Обращ V и фин ПР 10'!Q46</f>
        <v>0</v>
      </c>
      <c r="N47" s="166">
        <f>'[9]Обращ V и фин ПР 10'!S46</f>
        <v>0</v>
      </c>
      <c r="O47" s="166">
        <f>'[9]Обращ V и фин ПР 10'!T46</f>
        <v>0</v>
      </c>
      <c r="P47" s="166">
        <f>'[9]Обращ V и фин ПР 10'!V46</f>
        <v>0</v>
      </c>
      <c r="Q47" s="166">
        <f>'[9]Обращ V и фин ПР 10'!W46</f>
        <v>0</v>
      </c>
      <c r="R47" s="166">
        <v>0</v>
      </c>
      <c r="S47" s="166">
        <v>0</v>
      </c>
      <c r="T47" s="166">
        <v>0</v>
      </c>
      <c r="U47" s="166">
        <v>0</v>
      </c>
      <c r="V47" s="166">
        <f>'[9]Обращ V и фин ПР 10'!Y46</f>
        <v>0</v>
      </c>
      <c r="W47" s="166">
        <f>'[9]Обращ V и фин ПР 10'!Z46</f>
        <v>0</v>
      </c>
      <c r="X47" s="167">
        <f t="shared" si="4"/>
        <v>140587</v>
      </c>
      <c r="Y47" s="166">
        <v>24692</v>
      </c>
      <c r="Z47" s="166">
        <v>2000</v>
      </c>
      <c r="AA47" s="166">
        <v>11167</v>
      </c>
      <c r="AB47" s="166">
        <v>7493</v>
      </c>
      <c r="AC47" s="166">
        <v>2986</v>
      </c>
      <c r="AD47" s="166">
        <v>2005</v>
      </c>
      <c r="AE47" s="166">
        <v>2597</v>
      </c>
      <c r="AF47" s="166">
        <v>1742</v>
      </c>
      <c r="AG47" s="166">
        <v>71931</v>
      </c>
      <c r="AH47" s="166">
        <v>23304</v>
      </c>
    </row>
    <row r="48" spans="1:34" ht="13.5" customHeight="1" x14ac:dyDescent="0.2">
      <c r="A48" s="163">
        <v>35</v>
      </c>
      <c r="B48" s="164" t="s">
        <v>72</v>
      </c>
      <c r="C48" s="165" t="s">
        <v>73</v>
      </c>
      <c r="D48" s="166">
        <f t="shared" si="2"/>
        <v>52670</v>
      </c>
      <c r="E48" s="166">
        <f t="shared" si="5"/>
        <v>37154</v>
      </c>
      <c r="F48" s="166">
        <f t="shared" si="3"/>
        <v>15516</v>
      </c>
      <c r="G48" s="166">
        <v>0</v>
      </c>
      <c r="H48" s="166">
        <v>0</v>
      </c>
      <c r="I48" s="166">
        <v>0</v>
      </c>
      <c r="J48" s="166">
        <v>0</v>
      </c>
      <c r="K48" s="166">
        <f>'[9]Обращ V и фин ПР 10'!O47</f>
        <v>0</v>
      </c>
      <c r="L48" s="166">
        <f>'[9]Обращ V и фин ПР 10'!P47</f>
        <v>0</v>
      </c>
      <c r="M48" s="166">
        <f>'[9]Обращ V и фин ПР 10'!Q47</f>
        <v>0</v>
      </c>
      <c r="N48" s="166">
        <f>'[9]Обращ V и фин ПР 10'!S47</f>
        <v>0</v>
      </c>
      <c r="O48" s="166">
        <f>'[9]Обращ V и фин ПР 10'!T47</f>
        <v>0</v>
      </c>
      <c r="P48" s="166">
        <f>'[9]Обращ V и фин ПР 10'!V47</f>
        <v>0</v>
      </c>
      <c r="Q48" s="166">
        <f>'[9]Обращ V и фин ПР 10'!W47</f>
        <v>0</v>
      </c>
      <c r="R48" s="166">
        <v>0</v>
      </c>
      <c r="S48" s="166">
        <v>0</v>
      </c>
      <c r="T48" s="166">
        <v>0</v>
      </c>
      <c r="U48" s="166">
        <v>0</v>
      </c>
      <c r="V48" s="166">
        <f>'[9]Обращ V и фин ПР 10'!Y47</f>
        <v>0</v>
      </c>
      <c r="W48" s="166">
        <f>'[9]Обращ V и фин ПР 10'!Z47</f>
        <v>0</v>
      </c>
      <c r="X48" s="167">
        <f t="shared" si="4"/>
        <v>52670</v>
      </c>
      <c r="Y48" s="166">
        <v>7100</v>
      </c>
      <c r="Z48" s="166">
        <v>1980</v>
      </c>
      <c r="AA48" s="166">
        <v>7919</v>
      </c>
      <c r="AB48" s="166">
        <v>2155</v>
      </c>
      <c r="AC48" s="166">
        <v>2292</v>
      </c>
      <c r="AD48" s="166">
        <v>624</v>
      </c>
      <c r="AE48" s="166">
        <v>1667</v>
      </c>
      <c r="AF48" s="166">
        <v>454</v>
      </c>
      <c r="AG48" s="166">
        <v>22135</v>
      </c>
      <c r="AH48" s="166">
        <v>11381</v>
      </c>
    </row>
    <row r="49" spans="1:34" ht="13.5" customHeight="1" x14ac:dyDescent="0.2">
      <c r="A49" s="163">
        <v>36</v>
      </c>
      <c r="B49" s="164" t="s">
        <v>74</v>
      </c>
      <c r="C49" s="165" t="s">
        <v>200</v>
      </c>
      <c r="D49" s="166">
        <f t="shared" si="2"/>
        <v>136801</v>
      </c>
      <c r="E49" s="166">
        <f t="shared" si="5"/>
        <v>93382</v>
      </c>
      <c r="F49" s="166">
        <f t="shared" si="3"/>
        <v>43419</v>
      </c>
      <c r="G49" s="166">
        <v>0</v>
      </c>
      <c r="H49" s="166">
        <v>0</v>
      </c>
      <c r="I49" s="166">
        <v>0</v>
      </c>
      <c r="J49" s="166">
        <v>0</v>
      </c>
      <c r="K49" s="166">
        <f>'[9]Обращ V и фин ПР 10'!O48</f>
        <v>0</v>
      </c>
      <c r="L49" s="166">
        <f>'[9]Обращ V и фин ПР 10'!P48</f>
        <v>0</v>
      </c>
      <c r="M49" s="166">
        <f>'[9]Обращ V и фин ПР 10'!Q48</f>
        <v>0</v>
      </c>
      <c r="N49" s="166">
        <f>'[9]Обращ V и фин ПР 10'!S48</f>
        <v>0</v>
      </c>
      <c r="O49" s="166">
        <f>'[9]Обращ V и фин ПР 10'!T48</f>
        <v>0</v>
      </c>
      <c r="P49" s="166">
        <f>'[9]Обращ V и фин ПР 10'!V48</f>
        <v>0</v>
      </c>
      <c r="Q49" s="166">
        <f>'[9]Обращ V и фин ПР 10'!W48</f>
        <v>0</v>
      </c>
      <c r="R49" s="166">
        <v>0</v>
      </c>
      <c r="S49" s="166">
        <v>0</v>
      </c>
      <c r="T49" s="166">
        <v>0</v>
      </c>
      <c r="U49" s="166">
        <v>0</v>
      </c>
      <c r="V49" s="166">
        <f>'[9]Обращ V и фин ПР 10'!Y48</f>
        <v>0</v>
      </c>
      <c r="W49" s="166">
        <f>'[9]Обращ V и фин ПР 10'!Z48</f>
        <v>0</v>
      </c>
      <c r="X49" s="167">
        <f t="shared" si="4"/>
        <v>136801</v>
      </c>
      <c r="Y49" s="166">
        <v>9407</v>
      </c>
      <c r="Z49" s="166">
        <v>2250</v>
      </c>
      <c r="AA49" s="166">
        <v>13613</v>
      </c>
      <c r="AB49" s="166">
        <v>6544</v>
      </c>
      <c r="AC49" s="166">
        <f>5375-87</f>
        <v>5288</v>
      </c>
      <c r="AD49" s="166">
        <f>2589-56</f>
        <v>2533</v>
      </c>
      <c r="AE49" s="166">
        <v>1475</v>
      </c>
      <c r="AF49" s="166">
        <v>711</v>
      </c>
      <c r="AG49" s="166">
        <v>70362</v>
      </c>
      <c r="AH49" s="166">
        <v>34625</v>
      </c>
    </row>
    <row r="50" spans="1:34" ht="13.5" customHeight="1" x14ac:dyDescent="0.2">
      <c r="A50" s="163">
        <v>37</v>
      </c>
      <c r="B50" s="164" t="s">
        <v>75</v>
      </c>
      <c r="C50" s="165" t="s">
        <v>201</v>
      </c>
      <c r="D50" s="166">
        <f t="shared" si="2"/>
        <v>49116</v>
      </c>
      <c r="E50" s="166">
        <f t="shared" si="5"/>
        <v>25884</v>
      </c>
      <c r="F50" s="166">
        <f t="shared" si="3"/>
        <v>23232</v>
      </c>
      <c r="G50" s="166">
        <v>0</v>
      </c>
      <c r="H50" s="166">
        <v>0</v>
      </c>
      <c r="I50" s="166">
        <v>0</v>
      </c>
      <c r="J50" s="166">
        <v>0</v>
      </c>
      <c r="K50" s="166">
        <f>'[9]Обращ V и фин ПР 10'!O49</f>
        <v>0</v>
      </c>
      <c r="L50" s="166">
        <f>'[9]Обращ V и фин ПР 10'!P49</f>
        <v>0</v>
      </c>
      <c r="M50" s="166">
        <f>'[9]Обращ V и фин ПР 10'!Q49</f>
        <v>0</v>
      </c>
      <c r="N50" s="166">
        <f>'[9]Обращ V и фин ПР 10'!S49</f>
        <v>0</v>
      </c>
      <c r="O50" s="166">
        <f>'[9]Обращ V и фин ПР 10'!T49</f>
        <v>0</v>
      </c>
      <c r="P50" s="166">
        <f>'[9]Обращ V и фин ПР 10'!V49</f>
        <v>0</v>
      </c>
      <c r="Q50" s="166">
        <f>'[9]Обращ V и фин ПР 10'!W49</f>
        <v>0</v>
      </c>
      <c r="R50" s="166">
        <v>0</v>
      </c>
      <c r="S50" s="166">
        <v>0</v>
      </c>
      <c r="T50" s="166">
        <v>0</v>
      </c>
      <c r="U50" s="166">
        <v>0</v>
      </c>
      <c r="V50" s="166">
        <f>'[9]Обращ V и фин ПР 10'!Y49</f>
        <v>0</v>
      </c>
      <c r="W50" s="166">
        <f>'[9]Обращ V и фин ПР 10'!Z49</f>
        <v>0</v>
      </c>
      <c r="X50" s="167">
        <f t="shared" si="4"/>
        <v>49116</v>
      </c>
      <c r="Y50" s="166">
        <v>4262</v>
      </c>
      <c r="Z50" s="166">
        <v>979</v>
      </c>
      <c r="AA50" s="166">
        <v>8118</v>
      </c>
      <c r="AB50" s="166">
        <v>1958</v>
      </c>
      <c r="AC50" s="166">
        <v>1873</v>
      </c>
      <c r="AD50" s="166">
        <v>452</v>
      </c>
      <c r="AE50" s="166">
        <v>2186</v>
      </c>
      <c r="AF50" s="166">
        <v>527</v>
      </c>
      <c r="AG50" s="166">
        <v>13504</v>
      </c>
      <c r="AH50" s="166">
        <v>20295</v>
      </c>
    </row>
    <row r="51" spans="1:34" ht="13.5" customHeight="1" x14ac:dyDescent="0.2">
      <c r="A51" s="163">
        <v>38</v>
      </c>
      <c r="B51" s="164" t="s">
        <v>76</v>
      </c>
      <c r="C51" s="172" t="s">
        <v>202</v>
      </c>
      <c r="D51" s="166">
        <f t="shared" si="2"/>
        <v>31104</v>
      </c>
      <c r="E51" s="166">
        <f t="shared" si="5"/>
        <v>28431</v>
      </c>
      <c r="F51" s="166">
        <f t="shared" si="3"/>
        <v>2673</v>
      </c>
      <c r="G51" s="166">
        <v>0</v>
      </c>
      <c r="H51" s="166">
        <v>0</v>
      </c>
      <c r="I51" s="166">
        <v>0</v>
      </c>
      <c r="J51" s="166">
        <v>0</v>
      </c>
      <c r="K51" s="166">
        <f>'[9]Обращ V и фин ПР 10'!O50</f>
        <v>0</v>
      </c>
      <c r="L51" s="166">
        <f>'[9]Обращ V и фин ПР 10'!P50</f>
        <v>0</v>
      </c>
      <c r="M51" s="166">
        <f>'[9]Обращ V и фин ПР 10'!Q50</f>
        <v>0</v>
      </c>
      <c r="N51" s="166">
        <f>'[9]Обращ V и фин ПР 10'!S50</f>
        <v>0</v>
      </c>
      <c r="O51" s="166">
        <f>'[9]Обращ V и фин ПР 10'!T50</f>
        <v>0</v>
      </c>
      <c r="P51" s="166">
        <f>'[9]Обращ V и фин ПР 10'!V50</f>
        <v>0</v>
      </c>
      <c r="Q51" s="166">
        <f>'[9]Обращ V и фин ПР 10'!W50</f>
        <v>0</v>
      </c>
      <c r="R51" s="166">
        <v>0</v>
      </c>
      <c r="S51" s="166">
        <v>0</v>
      </c>
      <c r="T51" s="166">
        <v>0</v>
      </c>
      <c r="U51" s="166">
        <v>0</v>
      </c>
      <c r="V51" s="166">
        <f>'[9]Обращ V и фин ПР 10'!Y50</f>
        <v>0</v>
      </c>
      <c r="W51" s="166">
        <f>'[9]Обращ V и фин ПР 10'!Z50</f>
        <v>0</v>
      </c>
      <c r="X51" s="167">
        <f t="shared" si="4"/>
        <v>31104</v>
      </c>
      <c r="Y51" s="166">
        <v>1326</v>
      </c>
      <c r="Z51" s="166">
        <v>161</v>
      </c>
      <c r="AA51" s="166">
        <v>7437</v>
      </c>
      <c r="AB51" s="166">
        <v>1125</v>
      </c>
      <c r="AC51" s="166">
        <v>1239</v>
      </c>
      <c r="AD51" s="166">
        <v>188</v>
      </c>
      <c r="AE51" s="166">
        <v>2479</v>
      </c>
      <c r="AF51" s="166">
        <v>375</v>
      </c>
      <c r="AG51" s="166">
        <v>19668</v>
      </c>
      <c r="AH51" s="166">
        <v>1387</v>
      </c>
    </row>
    <row r="52" spans="1:34" ht="13.5" customHeight="1" x14ac:dyDescent="0.2">
      <c r="A52" s="163">
        <v>39</v>
      </c>
      <c r="B52" s="164" t="s">
        <v>77</v>
      </c>
      <c r="C52" s="172" t="s">
        <v>78</v>
      </c>
      <c r="D52" s="166">
        <f t="shared" si="2"/>
        <v>53913</v>
      </c>
      <c r="E52" s="166">
        <f t="shared" si="5"/>
        <v>41735</v>
      </c>
      <c r="F52" s="166">
        <f t="shared" si="3"/>
        <v>12178</v>
      </c>
      <c r="G52" s="166">
        <v>0</v>
      </c>
      <c r="H52" s="166">
        <v>0</v>
      </c>
      <c r="I52" s="166">
        <v>0</v>
      </c>
      <c r="J52" s="166">
        <v>0</v>
      </c>
      <c r="K52" s="166">
        <f>'[9]Обращ V и фин ПР 10'!O51</f>
        <v>0</v>
      </c>
      <c r="L52" s="166">
        <f>'[9]Обращ V и фин ПР 10'!P51</f>
        <v>0</v>
      </c>
      <c r="M52" s="166">
        <f>'[9]Обращ V и фин ПР 10'!Q51</f>
        <v>0</v>
      </c>
      <c r="N52" s="166">
        <f>'[9]Обращ V и фин ПР 10'!S51</f>
        <v>0</v>
      </c>
      <c r="O52" s="166">
        <f>'[9]Обращ V и фин ПР 10'!T51</f>
        <v>0</v>
      </c>
      <c r="P52" s="166">
        <f>'[9]Обращ V и фин ПР 10'!V51</f>
        <v>0</v>
      </c>
      <c r="Q52" s="166">
        <f>'[9]Обращ V и фин ПР 10'!W51</f>
        <v>0</v>
      </c>
      <c r="R52" s="166">
        <v>0</v>
      </c>
      <c r="S52" s="166">
        <v>0</v>
      </c>
      <c r="T52" s="166">
        <v>0</v>
      </c>
      <c r="U52" s="166">
        <v>0</v>
      </c>
      <c r="V52" s="166">
        <f>'[9]Обращ V и фин ПР 10'!Y51</f>
        <v>0</v>
      </c>
      <c r="W52" s="166">
        <f>'[9]Обращ V и фин ПР 10'!Z51</f>
        <v>0</v>
      </c>
      <c r="X52" s="167">
        <f t="shared" si="4"/>
        <v>53913</v>
      </c>
      <c r="Y52" s="166">
        <v>5503</v>
      </c>
      <c r="Z52" s="166">
        <v>646</v>
      </c>
      <c r="AA52" s="166">
        <v>5966</v>
      </c>
      <c r="AB52" s="166">
        <v>2955</v>
      </c>
      <c r="AC52" s="166">
        <v>2464</v>
      </c>
      <c r="AD52" s="166">
        <v>1221</v>
      </c>
      <c r="AE52" s="166">
        <v>519</v>
      </c>
      <c r="AF52" s="166">
        <v>257</v>
      </c>
      <c r="AG52" s="166">
        <v>30266</v>
      </c>
      <c r="AH52" s="166">
        <v>8577</v>
      </c>
    </row>
    <row r="53" spans="1:34" ht="13.5" customHeight="1" x14ac:dyDescent="0.2">
      <c r="A53" s="163">
        <v>40</v>
      </c>
      <c r="B53" s="164" t="s">
        <v>322</v>
      </c>
      <c r="C53" s="172" t="s">
        <v>323</v>
      </c>
      <c r="D53" s="166">
        <f t="shared" si="2"/>
        <v>24993</v>
      </c>
      <c r="E53" s="166">
        <f t="shared" si="5"/>
        <v>18647</v>
      </c>
      <c r="F53" s="166">
        <f t="shared" si="3"/>
        <v>6346</v>
      </c>
      <c r="G53" s="166">
        <v>0</v>
      </c>
      <c r="H53" s="166">
        <v>0</v>
      </c>
      <c r="I53" s="166">
        <v>0</v>
      </c>
      <c r="J53" s="166">
        <v>0</v>
      </c>
      <c r="K53" s="166">
        <f>'[9]Обращ V и фин ПР 10'!O52</f>
        <v>0</v>
      </c>
      <c r="L53" s="166">
        <f>'[9]Обращ V и фин ПР 10'!P52</f>
        <v>0</v>
      </c>
      <c r="M53" s="166">
        <f>'[9]Обращ V и фин ПР 10'!Q52</f>
        <v>0</v>
      </c>
      <c r="N53" s="166">
        <f>'[9]Обращ V и фин ПР 10'!S52</f>
        <v>0</v>
      </c>
      <c r="O53" s="166">
        <f>'[9]Обращ V и фин ПР 10'!T52</f>
        <v>0</v>
      </c>
      <c r="P53" s="166">
        <f>'[9]Обращ V и фин ПР 10'!V52</f>
        <v>0</v>
      </c>
      <c r="Q53" s="166">
        <f>'[9]Обращ V и фин ПР 10'!W52</f>
        <v>0</v>
      </c>
      <c r="R53" s="166">
        <v>0</v>
      </c>
      <c r="S53" s="166">
        <v>0</v>
      </c>
      <c r="T53" s="166">
        <v>0</v>
      </c>
      <c r="U53" s="166">
        <v>0</v>
      </c>
      <c r="V53" s="166">
        <f>'[9]Обращ V и фин ПР 10'!Y52</f>
        <v>0</v>
      </c>
      <c r="W53" s="166">
        <f>'[9]Обращ V и фин ПР 10'!Z52</f>
        <v>0</v>
      </c>
      <c r="X53" s="167">
        <f t="shared" si="4"/>
        <v>24993</v>
      </c>
      <c r="Y53" s="166">
        <v>2757</v>
      </c>
      <c r="Z53" s="166">
        <v>584</v>
      </c>
      <c r="AA53" s="166">
        <v>3200</v>
      </c>
      <c r="AB53" s="166">
        <v>728</v>
      </c>
      <c r="AC53" s="166">
        <v>960</v>
      </c>
      <c r="AD53" s="166">
        <v>218</v>
      </c>
      <c r="AE53" s="166">
        <v>640</v>
      </c>
      <c r="AF53" s="166">
        <v>146</v>
      </c>
      <c r="AG53" s="166">
        <v>12690</v>
      </c>
      <c r="AH53" s="166">
        <v>5034</v>
      </c>
    </row>
    <row r="54" spans="1:34" ht="13.5" customHeight="1" x14ac:dyDescent="0.2">
      <c r="A54" s="163">
        <v>41</v>
      </c>
      <c r="B54" s="164" t="s">
        <v>79</v>
      </c>
      <c r="C54" s="170" t="s">
        <v>324</v>
      </c>
      <c r="D54" s="166">
        <f t="shared" si="2"/>
        <v>20619</v>
      </c>
      <c r="E54" s="166">
        <f t="shared" si="5"/>
        <v>20619</v>
      </c>
      <c r="F54" s="166">
        <f t="shared" si="3"/>
        <v>0</v>
      </c>
      <c r="G54" s="166">
        <v>0</v>
      </c>
      <c r="H54" s="166">
        <v>0</v>
      </c>
      <c r="I54" s="166">
        <v>0</v>
      </c>
      <c r="J54" s="166">
        <v>0</v>
      </c>
      <c r="K54" s="166">
        <f>'[9]Обращ V и фин ПР 10'!O53</f>
        <v>0</v>
      </c>
      <c r="L54" s="166">
        <f>'[9]Обращ V и фин ПР 10'!P53</f>
        <v>0</v>
      </c>
      <c r="M54" s="166">
        <f>'[9]Обращ V и фин ПР 10'!Q53</f>
        <v>0</v>
      </c>
      <c r="N54" s="166">
        <f>'[9]Обращ V и фин ПР 10'!S53</f>
        <v>0</v>
      </c>
      <c r="O54" s="166">
        <f>'[9]Обращ V и фин ПР 10'!T53</f>
        <v>0</v>
      </c>
      <c r="P54" s="166">
        <f>'[9]Обращ V и фин ПР 10'!V53</f>
        <v>0</v>
      </c>
      <c r="Q54" s="166">
        <f>'[9]Обращ V и фин ПР 10'!W53</f>
        <v>0</v>
      </c>
      <c r="R54" s="166">
        <v>0</v>
      </c>
      <c r="S54" s="166">
        <v>0</v>
      </c>
      <c r="T54" s="166">
        <v>0</v>
      </c>
      <c r="U54" s="166">
        <v>0</v>
      </c>
      <c r="V54" s="166">
        <f>'[9]Обращ V и фин ПР 10'!Y53</f>
        <v>0</v>
      </c>
      <c r="W54" s="166">
        <f>'[9]Обращ V и фин ПР 10'!Z53</f>
        <v>0</v>
      </c>
      <c r="X54" s="167">
        <f t="shared" si="4"/>
        <v>20619</v>
      </c>
      <c r="Y54" s="166">
        <v>1304</v>
      </c>
      <c r="Z54" s="166">
        <v>0</v>
      </c>
      <c r="AA54" s="166">
        <v>4425</v>
      </c>
      <c r="AB54" s="166">
        <v>0</v>
      </c>
      <c r="AC54" s="166">
        <v>2213</v>
      </c>
      <c r="AD54" s="166">
        <v>0</v>
      </c>
      <c r="AE54" s="166">
        <v>0</v>
      </c>
      <c r="AF54" s="166">
        <v>0</v>
      </c>
      <c r="AG54" s="166">
        <v>14890</v>
      </c>
      <c r="AH54" s="166">
        <v>0</v>
      </c>
    </row>
    <row r="55" spans="1:34" ht="13.5" customHeight="1" x14ac:dyDescent="0.2">
      <c r="A55" s="163">
        <v>42</v>
      </c>
      <c r="B55" s="164" t="s">
        <v>81</v>
      </c>
      <c r="C55" s="165" t="s">
        <v>82</v>
      </c>
      <c r="D55" s="166">
        <f t="shared" si="2"/>
        <v>188400</v>
      </c>
      <c r="E55" s="166">
        <f t="shared" si="5"/>
        <v>134941</v>
      </c>
      <c r="F55" s="166">
        <f t="shared" si="3"/>
        <v>53459</v>
      </c>
      <c r="G55" s="166">
        <v>0</v>
      </c>
      <c r="H55" s="166">
        <v>0</v>
      </c>
      <c r="I55" s="166">
        <v>6862</v>
      </c>
      <c r="J55" s="166">
        <v>7</v>
      </c>
      <c r="K55" s="166">
        <f>'[9]Обращ V и фин ПР 10'!O54</f>
        <v>0</v>
      </c>
      <c r="L55" s="166">
        <f>'[9]Обращ V и фин ПР 10'!P54</f>
        <v>0</v>
      </c>
      <c r="M55" s="166">
        <f>'[9]Обращ V и фин ПР 10'!Q54</f>
        <v>0</v>
      </c>
      <c r="N55" s="166">
        <f>'[9]Обращ V и фин ПР 10'!S54</f>
        <v>0</v>
      </c>
      <c r="O55" s="166">
        <f>'[9]Обращ V и фин ПР 10'!T54</f>
        <v>0</v>
      </c>
      <c r="P55" s="166">
        <f>'[9]Обращ V и фин ПР 10'!V54</f>
        <v>0</v>
      </c>
      <c r="Q55" s="166">
        <f>'[9]Обращ V и фин ПР 10'!W54</f>
        <v>0</v>
      </c>
      <c r="R55" s="166">
        <v>0</v>
      </c>
      <c r="S55" s="166">
        <v>0</v>
      </c>
      <c r="T55" s="166">
        <v>0</v>
      </c>
      <c r="U55" s="166">
        <v>0</v>
      </c>
      <c r="V55" s="166">
        <f>'[9]Обращ V и фин ПР 10'!Y54</f>
        <v>0</v>
      </c>
      <c r="W55" s="166">
        <f>'[9]Обращ V и фин ПР 10'!Z54</f>
        <v>0</v>
      </c>
      <c r="X55" s="167">
        <f t="shared" si="4"/>
        <v>181531</v>
      </c>
      <c r="Y55" s="166">
        <v>17893</v>
      </c>
      <c r="Z55" s="166">
        <v>5770</v>
      </c>
      <c r="AA55" s="166">
        <v>20715</v>
      </c>
      <c r="AB55" s="166">
        <v>13660</v>
      </c>
      <c r="AC55" s="166">
        <v>8806</v>
      </c>
      <c r="AD55" s="166">
        <v>5808</v>
      </c>
      <c r="AE55" s="166">
        <v>1551</v>
      </c>
      <c r="AF55" s="166">
        <v>1022</v>
      </c>
      <c r="AG55" s="166">
        <v>89471</v>
      </c>
      <c r="AH55" s="166">
        <v>34022</v>
      </c>
    </row>
    <row r="56" spans="1:34" ht="13.5" customHeight="1" x14ac:dyDescent="0.2">
      <c r="A56" s="163">
        <v>43</v>
      </c>
      <c r="B56" s="164" t="s">
        <v>83</v>
      </c>
      <c r="C56" s="165" t="s">
        <v>203</v>
      </c>
      <c r="D56" s="166">
        <f t="shared" si="2"/>
        <v>45017</v>
      </c>
      <c r="E56" s="166">
        <f t="shared" si="5"/>
        <v>36674</v>
      </c>
      <c r="F56" s="166">
        <f t="shared" si="3"/>
        <v>8343</v>
      </c>
      <c r="G56" s="166">
        <v>0</v>
      </c>
      <c r="H56" s="166">
        <v>0</v>
      </c>
      <c r="I56" s="166">
        <v>0</v>
      </c>
      <c r="J56" s="166">
        <v>0</v>
      </c>
      <c r="K56" s="166">
        <f>'[9]Обращ V и фин ПР 10'!O55</f>
        <v>0</v>
      </c>
      <c r="L56" s="166">
        <f>'[9]Обращ V и фин ПР 10'!P55</f>
        <v>0</v>
      </c>
      <c r="M56" s="166">
        <f>'[9]Обращ V и фин ПР 10'!Q55</f>
        <v>0</v>
      </c>
      <c r="N56" s="166">
        <f>'[9]Обращ V и фин ПР 10'!S55</f>
        <v>0</v>
      </c>
      <c r="O56" s="166">
        <f>'[9]Обращ V и фин ПР 10'!T55</f>
        <v>0</v>
      </c>
      <c r="P56" s="166">
        <f>'[9]Обращ V и фин ПР 10'!V55</f>
        <v>0</v>
      </c>
      <c r="Q56" s="166">
        <f>'[9]Обращ V и фин ПР 10'!W55</f>
        <v>0</v>
      </c>
      <c r="R56" s="166">
        <v>0</v>
      </c>
      <c r="S56" s="166">
        <v>0</v>
      </c>
      <c r="T56" s="166">
        <v>0</v>
      </c>
      <c r="U56" s="166">
        <v>0</v>
      </c>
      <c r="V56" s="166">
        <f>'[9]Обращ V и фин ПР 10'!Y55</f>
        <v>0</v>
      </c>
      <c r="W56" s="166">
        <f>'[9]Обращ V и фин ПР 10'!Z55</f>
        <v>0</v>
      </c>
      <c r="X56" s="167">
        <f t="shared" si="4"/>
        <v>45017</v>
      </c>
      <c r="Y56" s="166">
        <v>3259</v>
      </c>
      <c r="Z56" s="166">
        <v>170</v>
      </c>
      <c r="AA56" s="166">
        <v>4932</v>
      </c>
      <c r="AB56" s="166">
        <v>1344</v>
      </c>
      <c r="AC56" s="166">
        <v>2158</v>
      </c>
      <c r="AD56" s="166">
        <v>588</v>
      </c>
      <c r="AE56" s="166">
        <v>308</v>
      </c>
      <c r="AF56" s="166">
        <v>84</v>
      </c>
      <c r="AG56" s="166">
        <v>28483</v>
      </c>
      <c r="AH56" s="166">
        <v>6829</v>
      </c>
    </row>
    <row r="57" spans="1:34" ht="13.5" customHeight="1" x14ac:dyDescent="0.2">
      <c r="A57" s="163">
        <v>44</v>
      </c>
      <c r="B57" s="164" t="s">
        <v>84</v>
      </c>
      <c r="C57" s="168" t="s">
        <v>85</v>
      </c>
      <c r="D57" s="166">
        <f t="shared" si="2"/>
        <v>155604</v>
      </c>
      <c r="E57" s="166">
        <f t="shared" si="5"/>
        <v>123841</v>
      </c>
      <c r="F57" s="166">
        <f t="shared" si="3"/>
        <v>31763</v>
      </c>
      <c r="G57" s="166">
        <v>0</v>
      </c>
      <c r="H57" s="166">
        <v>0</v>
      </c>
      <c r="I57" s="166">
        <v>2629</v>
      </c>
      <c r="J57" s="166">
        <v>0</v>
      </c>
      <c r="K57" s="166">
        <f>'[9]Обращ V и фин ПР 10'!O56</f>
        <v>0</v>
      </c>
      <c r="L57" s="166">
        <f>'[9]Обращ V и фин ПР 10'!P56</f>
        <v>0</v>
      </c>
      <c r="M57" s="166">
        <f>'[9]Обращ V и фин ПР 10'!Q56</f>
        <v>0</v>
      </c>
      <c r="N57" s="166">
        <f>'[9]Обращ V и фин ПР 10'!S56</f>
        <v>0</v>
      </c>
      <c r="O57" s="166">
        <f>'[9]Обращ V и фин ПР 10'!T56</f>
        <v>0</v>
      </c>
      <c r="P57" s="166">
        <f>'[9]Обращ V и фин ПР 10'!V56</f>
        <v>0</v>
      </c>
      <c r="Q57" s="166">
        <f>'[9]Обращ V и фин ПР 10'!W56</f>
        <v>0</v>
      </c>
      <c r="R57" s="166">
        <v>0</v>
      </c>
      <c r="S57" s="166">
        <v>0</v>
      </c>
      <c r="T57" s="166">
        <v>0</v>
      </c>
      <c r="U57" s="166">
        <v>0</v>
      </c>
      <c r="V57" s="166">
        <f>'[9]Обращ V и фин ПР 10'!Y56</f>
        <v>0</v>
      </c>
      <c r="W57" s="166">
        <f>'[9]Обращ V и фин ПР 10'!Z56</f>
        <v>0</v>
      </c>
      <c r="X57" s="167">
        <f t="shared" si="4"/>
        <v>152975</v>
      </c>
      <c r="Y57" s="166">
        <v>18536</v>
      </c>
      <c r="Z57" s="166">
        <v>2214</v>
      </c>
      <c r="AA57" s="166">
        <v>10398</v>
      </c>
      <c r="AB57" s="166">
        <v>3080</v>
      </c>
      <c r="AC57" s="166">
        <v>4149</v>
      </c>
      <c r="AD57" s="166">
        <v>1229</v>
      </c>
      <c r="AE57" s="166">
        <v>1050</v>
      </c>
      <c r="AF57" s="166">
        <v>311</v>
      </c>
      <c r="AG57" s="166">
        <v>92278</v>
      </c>
      <c r="AH57" s="166">
        <v>26469</v>
      </c>
    </row>
    <row r="58" spans="1:34" ht="13.5" customHeight="1" x14ac:dyDescent="0.2">
      <c r="A58" s="163">
        <v>45</v>
      </c>
      <c r="B58" s="164" t="s">
        <v>86</v>
      </c>
      <c r="C58" s="165" t="s">
        <v>87</v>
      </c>
      <c r="D58" s="166">
        <f t="shared" si="2"/>
        <v>34294</v>
      </c>
      <c r="E58" s="166">
        <f t="shared" si="5"/>
        <v>28454</v>
      </c>
      <c r="F58" s="166">
        <f t="shared" si="3"/>
        <v>5840</v>
      </c>
      <c r="G58" s="166">
        <v>0</v>
      </c>
      <c r="H58" s="166">
        <v>0</v>
      </c>
      <c r="I58" s="166">
        <v>0</v>
      </c>
      <c r="J58" s="166">
        <v>0</v>
      </c>
      <c r="K58" s="166">
        <f>'[9]Обращ V и фин ПР 10'!O57</f>
        <v>0</v>
      </c>
      <c r="L58" s="166">
        <f>'[9]Обращ V и фин ПР 10'!P57</f>
        <v>0</v>
      </c>
      <c r="M58" s="166">
        <f>'[9]Обращ V и фин ПР 10'!Q57</f>
        <v>0</v>
      </c>
      <c r="N58" s="166">
        <f>'[9]Обращ V и фин ПР 10'!S57</f>
        <v>0</v>
      </c>
      <c r="O58" s="166">
        <f>'[9]Обращ V и фин ПР 10'!T57</f>
        <v>0</v>
      </c>
      <c r="P58" s="166">
        <f>'[9]Обращ V и фин ПР 10'!V57</f>
        <v>0</v>
      </c>
      <c r="Q58" s="166">
        <f>'[9]Обращ V и фин ПР 10'!W57</f>
        <v>0</v>
      </c>
      <c r="R58" s="166">
        <v>0</v>
      </c>
      <c r="S58" s="166">
        <v>0</v>
      </c>
      <c r="T58" s="166">
        <v>0</v>
      </c>
      <c r="U58" s="166">
        <v>0</v>
      </c>
      <c r="V58" s="166">
        <f>'[9]Обращ V и фин ПР 10'!Y57</f>
        <v>0</v>
      </c>
      <c r="W58" s="166">
        <f>'[9]Обращ V и фин ПР 10'!Z57</f>
        <v>0</v>
      </c>
      <c r="X58" s="167">
        <f t="shared" si="4"/>
        <v>34294</v>
      </c>
      <c r="Y58" s="166">
        <v>1133</v>
      </c>
      <c r="Z58" s="166">
        <v>395</v>
      </c>
      <c r="AA58" s="166">
        <v>5000</v>
      </c>
      <c r="AB58" s="166">
        <v>1900</v>
      </c>
      <c r="AC58" s="166">
        <v>2500</v>
      </c>
      <c r="AD58" s="166">
        <v>950</v>
      </c>
      <c r="AE58" s="166">
        <v>0</v>
      </c>
      <c r="AF58" s="166">
        <v>0</v>
      </c>
      <c r="AG58" s="166">
        <v>22321</v>
      </c>
      <c r="AH58" s="166">
        <v>3545</v>
      </c>
    </row>
    <row r="59" spans="1:34" ht="13.5" customHeight="1" x14ac:dyDescent="0.2">
      <c r="A59" s="163">
        <v>46</v>
      </c>
      <c r="B59" s="164" t="s">
        <v>88</v>
      </c>
      <c r="C59" s="168" t="s">
        <v>204</v>
      </c>
      <c r="D59" s="166">
        <f t="shared" si="2"/>
        <v>52772</v>
      </c>
      <c r="E59" s="166">
        <f t="shared" si="5"/>
        <v>38160</v>
      </c>
      <c r="F59" s="166">
        <f t="shared" si="3"/>
        <v>14612</v>
      </c>
      <c r="G59" s="166">
        <v>0</v>
      </c>
      <c r="H59" s="166">
        <v>0</v>
      </c>
      <c r="I59" s="166">
        <v>0</v>
      </c>
      <c r="J59" s="166">
        <v>0</v>
      </c>
      <c r="K59" s="166">
        <f>'[9]Обращ V и фин ПР 10'!O58</f>
        <v>0</v>
      </c>
      <c r="L59" s="166">
        <f>'[9]Обращ V и фин ПР 10'!P58</f>
        <v>0</v>
      </c>
      <c r="M59" s="166">
        <f>'[9]Обращ V и фин ПР 10'!Q58</f>
        <v>0</v>
      </c>
      <c r="N59" s="166">
        <f>'[9]Обращ V и фин ПР 10'!S58</f>
        <v>0</v>
      </c>
      <c r="O59" s="166">
        <f>'[9]Обращ V и фин ПР 10'!T58</f>
        <v>0</v>
      </c>
      <c r="P59" s="166">
        <f>'[9]Обращ V и фин ПР 10'!V58</f>
        <v>0</v>
      </c>
      <c r="Q59" s="166">
        <f>'[9]Обращ V и фин ПР 10'!W58</f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f>'[9]Обращ V и фин ПР 10'!Y58</f>
        <v>0</v>
      </c>
      <c r="W59" s="166">
        <f>'[9]Обращ V и фин ПР 10'!Z58</f>
        <v>0</v>
      </c>
      <c r="X59" s="167">
        <f t="shared" si="4"/>
        <v>52772</v>
      </c>
      <c r="Y59" s="166">
        <v>3281</v>
      </c>
      <c r="Z59" s="166">
        <v>535</v>
      </c>
      <c r="AA59" s="166">
        <v>7200</v>
      </c>
      <c r="AB59" s="166">
        <v>1500</v>
      </c>
      <c r="AC59" s="166">
        <v>2618</v>
      </c>
      <c r="AD59" s="166">
        <v>545</v>
      </c>
      <c r="AE59" s="166">
        <v>982</v>
      </c>
      <c r="AF59" s="166">
        <v>205</v>
      </c>
      <c r="AG59" s="166">
        <v>27679</v>
      </c>
      <c r="AH59" s="166">
        <v>12577</v>
      </c>
    </row>
    <row r="60" spans="1:34" ht="13.5" customHeight="1" x14ac:dyDescent="0.2">
      <c r="A60" s="163">
        <v>47</v>
      </c>
      <c r="B60" s="164" t="s">
        <v>89</v>
      </c>
      <c r="C60" s="165" t="s">
        <v>90</v>
      </c>
      <c r="D60" s="166">
        <f t="shared" si="2"/>
        <v>62473</v>
      </c>
      <c r="E60" s="166">
        <f t="shared" si="5"/>
        <v>41270</v>
      </c>
      <c r="F60" s="166">
        <f t="shared" si="3"/>
        <v>21203</v>
      </c>
      <c r="G60" s="166">
        <v>0</v>
      </c>
      <c r="H60" s="166">
        <v>0</v>
      </c>
      <c r="I60" s="166">
        <v>0</v>
      </c>
      <c r="J60" s="166">
        <v>0</v>
      </c>
      <c r="K60" s="166">
        <f>'[9]Обращ V и фин ПР 10'!O59</f>
        <v>0</v>
      </c>
      <c r="L60" s="166">
        <f>'[9]Обращ V и фин ПР 10'!P59</f>
        <v>0</v>
      </c>
      <c r="M60" s="166">
        <f>'[9]Обращ V и фин ПР 10'!Q59</f>
        <v>0</v>
      </c>
      <c r="N60" s="166">
        <f>'[9]Обращ V и фин ПР 10'!S59</f>
        <v>0</v>
      </c>
      <c r="O60" s="166">
        <f>'[9]Обращ V и фин ПР 10'!T59</f>
        <v>0</v>
      </c>
      <c r="P60" s="166">
        <f>'[9]Обращ V и фин ПР 10'!V59</f>
        <v>0</v>
      </c>
      <c r="Q60" s="166">
        <f>'[9]Обращ V и фин ПР 10'!W59</f>
        <v>0</v>
      </c>
      <c r="R60" s="166">
        <v>0</v>
      </c>
      <c r="S60" s="166">
        <v>0</v>
      </c>
      <c r="T60" s="166">
        <v>0</v>
      </c>
      <c r="U60" s="166">
        <v>0</v>
      </c>
      <c r="V60" s="166">
        <f>'[9]Обращ V и фин ПР 10'!Y59</f>
        <v>0</v>
      </c>
      <c r="W60" s="166">
        <f>'[9]Обращ V и фин ПР 10'!Z59</f>
        <v>0</v>
      </c>
      <c r="X60" s="167">
        <f t="shared" si="4"/>
        <v>62473</v>
      </c>
      <c r="Y60" s="166">
        <v>6218</v>
      </c>
      <c r="Z60" s="166">
        <v>1229</v>
      </c>
      <c r="AA60" s="166">
        <v>5603</v>
      </c>
      <c r="AB60" s="166">
        <v>2318</v>
      </c>
      <c r="AC60" s="166">
        <v>1401</v>
      </c>
      <c r="AD60" s="166">
        <v>579</v>
      </c>
      <c r="AE60" s="166">
        <v>1401</v>
      </c>
      <c r="AF60" s="166">
        <v>580</v>
      </c>
      <c r="AG60" s="166">
        <v>29449</v>
      </c>
      <c r="AH60" s="166">
        <v>17656</v>
      </c>
    </row>
    <row r="61" spans="1:34" ht="13.5" customHeight="1" x14ac:dyDescent="0.2">
      <c r="A61" s="163">
        <v>48</v>
      </c>
      <c r="B61" s="164" t="s">
        <v>91</v>
      </c>
      <c r="C61" s="165" t="s">
        <v>92</v>
      </c>
      <c r="D61" s="166">
        <f t="shared" si="2"/>
        <v>21371</v>
      </c>
      <c r="E61" s="166">
        <f t="shared" si="5"/>
        <v>19400</v>
      </c>
      <c r="F61" s="166">
        <f t="shared" si="3"/>
        <v>1971</v>
      </c>
      <c r="G61" s="166">
        <v>0</v>
      </c>
      <c r="H61" s="166">
        <v>0</v>
      </c>
      <c r="I61" s="166">
        <v>0</v>
      </c>
      <c r="J61" s="166">
        <v>0</v>
      </c>
      <c r="K61" s="166">
        <f>'[9]Обращ V и фин ПР 10'!O60</f>
        <v>0</v>
      </c>
      <c r="L61" s="166">
        <f>'[9]Обращ V и фин ПР 10'!P60</f>
        <v>0</v>
      </c>
      <c r="M61" s="166">
        <f>'[9]Обращ V и фин ПР 10'!Q60</f>
        <v>0</v>
      </c>
      <c r="N61" s="166">
        <f>'[9]Обращ V и фин ПР 10'!S60</f>
        <v>0</v>
      </c>
      <c r="O61" s="166">
        <f>'[9]Обращ V и фин ПР 10'!T60</f>
        <v>0</v>
      </c>
      <c r="P61" s="166">
        <f>'[9]Обращ V и фин ПР 10'!V60</f>
        <v>0</v>
      </c>
      <c r="Q61" s="166">
        <f>'[9]Обращ V и фин ПР 10'!W60</f>
        <v>0</v>
      </c>
      <c r="R61" s="166">
        <v>0</v>
      </c>
      <c r="S61" s="166">
        <v>0</v>
      </c>
      <c r="T61" s="166">
        <v>0</v>
      </c>
      <c r="U61" s="166">
        <v>0</v>
      </c>
      <c r="V61" s="166">
        <f>'[9]Обращ V и фин ПР 10'!Y60</f>
        <v>0</v>
      </c>
      <c r="W61" s="166">
        <f>'[9]Обращ V и фин ПР 10'!Z60</f>
        <v>0</v>
      </c>
      <c r="X61" s="167">
        <f t="shared" si="4"/>
        <v>21371</v>
      </c>
      <c r="Y61" s="166">
        <v>3653</v>
      </c>
      <c r="Z61" s="166">
        <v>181</v>
      </c>
      <c r="AA61" s="166">
        <v>2824</v>
      </c>
      <c r="AB61" s="166">
        <v>648</v>
      </c>
      <c r="AC61" s="166">
        <v>1130</v>
      </c>
      <c r="AD61" s="166">
        <v>259</v>
      </c>
      <c r="AE61" s="166">
        <v>282</v>
      </c>
      <c r="AF61" s="166">
        <v>65</v>
      </c>
      <c r="AG61" s="166">
        <v>12923</v>
      </c>
      <c r="AH61" s="166">
        <v>1142</v>
      </c>
    </row>
    <row r="62" spans="1:34" ht="13.5" customHeight="1" x14ac:dyDescent="0.2">
      <c r="A62" s="163">
        <v>49</v>
      </c>
      <c r="B62" s="164" t="s">
        <v>93</v>
      </c>
      <c r="C62" s="165" t="s">
        <v>94</v>
      </c>
      <c r="D62" s="166">
        <f t="shared" si="2"/>
        <v>42649</v>
      </c>
      <c r="E62" s="166">
        <f t="shared" si="5"/>
        <v>32536</v>
      </c>
      <c r="F62" s="166">
        <f t="shared" si="3"/>
        <v>10113</v>
      </c>
      <c r="G62" s="166">
        <v>0</v>
      </c>
      <c r="H62" s="166">
        <v>0</v>
      </c>
      <c r="I62" s="166">
        <v>0</v>
      </c>
      <c r="J62" s="166">
        <v>0</v>
      </c>
      <c r="K62" s="166">
        <f>'[9]Обращ V и фин ПР 10'!O61</f>
        <v>0</v>
      </c>
      <c r="L62" s="166">
        <f>'[9]Обращ V и фин ПР 10'!P61</f>
        <v>0</v>
      </c>
      <c r="M62" s="166">
        <f>'[9]Обращ V и фин ПР 10'!Q61</f>
        <v>0</v>
      </c>
      <c r="N62" s="166">
        <f>'[9]Обращ V и фин ПР 10'!S61</f>
        <v>0</v>
      </c>
      <c r="O62" s="166">
        <f>'[9]Обращ V и фин ПР 10'!T61</f>
        <v>0</v>
      </c>
      <c r="P62" s="166">
        <f>'[9]Обращ V и фин ПР 10'!V61</f>
        <v>0</v>
      </c>
      <c r="Q62" s="166">
        <f>'[9]Обращ V и фин ПР 10'!W61</f>
        <v>0</v>
      </c>
      <c r="R62" s="166">
        <v>0</v>
      </c>
      <c r="S62" s="166">
        <v>0</v>
      </c>
      <c r="T62" s="166">
        <v>0</v>
      </c>
      <c r="U62" s="166">
        <v>0</v>
      </c>
      <c r="V62" s="166">
        <f>'[9]Обращ V и фин ПР 10'!Y61</f>
        <v>0</v>
      </c>
      <c r="W62" s="166">
        <f>'[9]Обращ V и фин ПР 10'!Z61</f>
        <v>0</v>
      </c>
      <c r="X62" s="167">
        <f t="shared" si="4"/>
        <v>42649</v>
      </c>
      <c r="Y62" s="166">
        <v>2780</v>
      </c>
      <c r="Z62" s="166">
        <v>373</v>
      </c>
      <c r="AA62" s="166">
        <v>6500</v>
      </c>
      <c r="AB62" s="166">
        <v>1500</v>
      </c>
      <c r="AC62" s="166">
        <v>1806</v>
      </c>
      <c r="AD62" s="166">
        <v>417</v>
      </c>
      <c r="AE62" s="166">
        <v>1444</v>
      </c>
      <c r="AF62" s="166">
        <v>333</v>
      </c>
      <c r="AG62" s="166">
        <v>23256</v>
      </c>
      <c r="AH62" s="166">
        <v>8240</v>
      </c>
    </row>
    <row r="63" spans="1:34" ht="13.5" customHeight="1" x14ac:dyDescent="0.2">
      <c r="A63" s="163">
        <v>50</v>
      </c>
      <c r="B63" s="164" t="s">
        <v>95</v>
      </c>
      <c r="C63" s="172" t="s">
        <v>205</v>
      </c>
      <c r="D63" s="166">
        <f t="shared" si="2"/>
        <v>63848</v>
      </c>
      <c r="E63" s="166">
        <f t="shared" si="5"/>
        <v>49391</v>
      </c>
      <c r="F63" s="166">
        <f t="shared" si="3"/>
        <v>14457</v>
      </c>
      <c r="G63" s="166">
        <v>0</v>
      </c>
      <c r="H63" s="166">
        <v>0</v>
      </c>
      <c r="I63" s="166">
        <v>0</v>
      </c>
      <c r="J63" s="166">
        <v>0</v>
      </c>
      <c r="K63" s="166">
        <f>'[9]Обращ V и фин ПР 10'!O62</f>
        <v>0</v>
      </c>
      <c r="L63" s="166">
        <f>'[9]Обращ V и фин ПР 10'!P62</f>
        <v>0</v>
      </c>
      <c r="M63" s="166">
        <f>'[9]Обращ V и фин ПР 10'!Q62</f>
        <v>0</v>
      </c>
      <c r="N63" s="166">
        <f>'[9]Обращ V и фин ПР 10'!S62</f>
        <v>0</v>
      </c>
      <c r="O63" s="166">
        <f>'[9]Обращ V и фин ПР 10'!T62</f>
        <v>0</v>
      </c>
      <c r="P63" s="166">
        <f>'[9]Обращ V и фин ПР 10'!V62</f>
        <v>0</v>
      </c>
      <c r="Q63" s="166">
        <f>'[9]Обращ V и фин ПР 10'!W62</f>
        <v>0</v>
      </c>
      <c r="R63" s="166">
        <v>0</v>
      </c>
      <c r="S63" s="166">
        <v>0</v>
      </c>
      <c r="T63" s="166">
        <v>0</v>
      </c>
      <c r="U63" s="166">
        <v>0</v>
      </c>
      <c r="V63" s="166">
        <f>'[9]Обращ V и фин ПР 10'!Y62</f>
        <v>0</v>
      </c>
      <c r="W63" s="166">
        <f>'[9]Обращ V и фин ПР 10'!Z62</f>
        <v>0</v>
      </c>
      <c r="X63" s="167">
        <f t="shared" si="4"/>
        <v>63848</v>
      </c>
      <c r="Y63" s="166">
        <v>5150</v>
      </c>
      <c r="Z63" s="166">
        <v>540</v>
      </c>
      <c r="AA63" s="166">
        <v>11555</v>
      </c>
      <c r="AB63" s="166">
        <v>1300</v>
      </c>
      <c r="AC63" s="166">
        <v>3755</v>
      </c>
      <c r="AD63" s="166">
        <v>422</v>
      </c>
      <c r="AE63" s="166">
        <v>2022</v>
      </c>
      <c r="AF63" s="166">
        <v>228</v>
      </c>
      <c r="AG63" s="166">
        <v>32686</v>
      </c>
      <c r="AH63" s="166">
        <v>12617</v>
      </c>
    </row>
    <row r="64" spans="1:34" ht="13.5" customHeight="1" x14ac:dyDescent="0.2">
      <c r="A64" s="163">
        <v>51</v>
      </c>
      <c r="B64" s="164" t="s">
        <v>96</v>
      </c>
      <c r="C64" s="172" t="s">
        <v>97</v>
      </c>
      <c r="D64" s="166">
        <f t="shared" si="2"/>
        <v>218531</v>
      </c>
      <c r="E64" s="166">
        <f t="shared" si="5"/>
        <v>161215</v>
      </c>
      <c r="F64" s="166">
        <f t="shared" si="3"/>
        <v>57316</v>
      </c>
      <c r="G64" s="166">
        <v>0</v>
      </c>
      <c r="H64" s="166">
        <v>0</v>
      </c>
      <c r="I64" s="166">
        <v>0</v>
      </c>
      <c r="J64" s="166">
        <v>0</v>
      </c>
      <c r="K64" s="166">
        <f>'[9]Обращ V и фин ПР 10'!O63</f>
        <v>0</v>
      </c>
      <c r="L64" s="166">
        <f>'[9]Обращ V и фин ПР 10'!P63</f>
        <v>0</v>
      </c>
      <c r="M64" s="166">
        <f>'[9]Обращ V и фин ПР 10'!Q63</f>
        <v>0</v>
      </c>
      <c r="N64" s="166">
        <f>'[9]Обращ V и фин ПР 10'!S63</f>
        <v>0</v>
      </c>
      <c r="O64" s="166">
        <f>'[9]Обращ V и фин ПР 10'!T63</f>
        <v>0</v>
      </c>
      <c r="P64" s="166">
        <f>'[9]Обращ V и фин ПР 10'!V63</f>
        <v>0</v>
      </c>
      <c r="Q64" s="166">
        <f>'[9]Обращ V и фин ПР 10'!W63</f>
        <v>0</v>
      </c>
      <c r="R64" s="166">
        <v>0</v>
      </c>
      <c r="S64" s="166">
        <v>0</v>
      </c>
      <c r="T64" s="166">
        <v>0</v>
      </c>
      <c r="U64" s="166">
        <v>0</v>
      </c>
      <c r="V64" s="166">
        <f>'[9]Обращ V и фин ПР 10'!Y63</f>
        <v>0</v>
      </c>
      <c r="W64" s="166">
        <f>'[9]Обращ V и фин ПР 10'!Z63</f>
        <v>0</v>
      </c>
      <c r="X64" s="167">
        <f t="shared" si="4"/>
        <v>218531</v>
      </c>
      <c r="Y64" s="166">
        <v>22872</v>
      </c>
      <c r="Z64" s="166">
        <v>1847</v>
      </c>
      <c r="AA64" s="166">
        <v>18482</v>
      </c>
      <c r="AB64" s="166">
        <v>6795</v>
      </c>
      <c r="AC64" s="166">
        <v>8140</v>
      </c>
      <c r="AD64" s="166">
        <v>2994</v>
      </c>
      <c r="AE64" s="166">
        <v>1100</v>
      </c>
      <c r="AF64" s="166">
        <v>404</v>
      </c>
      <c r="AG64" s="166">
        <v>119861</v>
      </c>
      <c r="AH64" s="166">
        <v>48674</v>
      </c>
    </row>
    <row r="65" spans="1:34" ht="13.5" customHeight="1" x14ac:dyDescent="0.2">
      <c r="A65" s="163">
        <v>52</v>
      </c>
      <c r="B65" s="164" t="s">
        <v>98</v>
      </c>
      <c r="C65" s="172" t="s">
        <v>206</v>
      </c>
      <c r="D65" s="166">
        <f t="shared" si="2"/>
        <v>34792</v>
      </c>
      <c r="E65" s="166">
        <f t="shared" si="5"/>
        <v>24127</v>
      </c>
      <c r="F65" s="166">
        <f t="shared" si="3"/>
        <v>10665</v>
      </c>
      <c r="G65" s="166">
        <v>0</v>
      </c>
      <c r="H65" s="166">
        <v>0</v>
      </c>
      <c r="I65" s="166">
        <v>0</v>
      </c>
      <c r="J65" s="166">
        <v>0</v>
      </c>
      <c r="K65" s="166">
        <f>'[9]Обращ V и фин ПР 10'!O64</f>
        <v>0</v>
      </c>
      <c r="L65" s="166">
        <f>'[9]Обращ V и фин ПР 10'!P64</f>
        <v>0</v>
      </c>
      <c r="M65" s="166">
        <f>'[9]Обращ V и фин ПР 10'!Q64</f>
        <v>0</v>
      </c>
      <c r="N65" s="166">
        <f>'[9]Обращ V и фин ПР 10'!S64</f>
        <v>0</v>
      </c>
      <c r="O65" s="166">
        <f>'[9]Обращ V и фин ПР 10'!T64</f>
        <v>0</v>
      </c>
      <c r="P65" s="166">
        <f>'[9]Обращ V и фин ПР 10'!V64</f>
        <v>0</v>
      </c>
      <c r="Q65" s="166">
        <f>'[9]Обращ V и фин ПР 10'!W64</f>
        <v>0</v>
      </c>
      <c r="R65" s="166">
        <v>0</v>
      </c>
      <c r="S65" s="166">
        <v>0</v>
      </c>
      <c r="T65" s="166">
        <v>0</v>
      </c>
      <c r="U65" s="166">
        <v>0</v>
      </c>
      <c r="V65" s="166">
        <f>'[9]Обращ V и фин ПР 10'!Y64</f>
        <v>0</v>
      </c>
      <c r="W65" s="166">
        <f>'[9]Обращ V и фин ПР 10'!Z64</f>
        <v>0</v>
      </c>
      <c r="X65" s="167">
        <f t="shared" si="4"/>
        <v>34792</v>
      </c>
      <c r="Y65" s="166">
        <v>1374</v>
      </c>
      <c r="Z65" s="166">
        <v>277</v>
      </c>
      <c r="AA65" s="166">
        <v>5320</v>
      </c>
      <c r="AB65" s="166">
        <v>2010</v>
      </c>
      <c r="AC65" s="166">
        <v>2305</v>
      </c>
      <c r="AD65" s="166">
        <v>871</v>
      </c>
      <c r="AE65" s="166">
        <v>355</v>
      </c>
      <c r="AF65" s="166">
        <v>134</v>
      </c>
      <c r="AG65" s="166">
        <v>17433</v>
      </c>
      <c r="AH65" s="166">
        <v>8378</v>
      </c>
    </row>
    <row r="66" spans="1:34" ht="13.5" customHeight="1" x14ac:dyDescent="0.2">
      <c r="A66" s="163">
        <v>53</v>
      </c>
      <c r="B66" s="164" t="s">
        <v>325</v>
      </c>
      <c r="C66" s="165" t="s">
        <v>326</v>
      </c>
      <c r="D66" s="166">
        <f t="shared" si="2"/>
        <v>63</v>
      </c>
      <c r="E66" s="166">
        <f t="shared" si="5"/>
        <v>63</v>
      </c>
      <c r="F66" s="166">
        <f t="shared" si="3"/>
        <v>0</v>
      </c>
      <c r="G66" s="166">
        <v>0</v>
      </c>
      <c r="H66" s="166">
        <v>0</v>
      </c>
      <c r="I66" s="166">
        <v>0</v>
      </c>
      <c r="J66" s="166">
        <v>0</v>
      </c>
      <c r="K66" s="166">
        <f>'[9]Обращ V и фин ПР 10'!O65</f>
        <v>0</v>
      </c>
      <c r="L66" s="166">
        <f>'[9]Обращ V и фин ПР 10'!P65</f>
        <v>0</v>
      </c>
      <c r="M66" s="166">
        <f>'[9]Обращ V и фин ПР 10'!Q65</f>
        <v>0</v>
      </c>
      <c r="N66" s="166">
        <f>'[9]Обращ V и фин ПР 10'!S65</f>
        <v>50</v>
      </c>
      <c r="O66" s="166">
        <f>'[9]Обращ V и фин ПР 10'!T65</f>
        <v>0</v>
      </c>
      <c r="P66" s="166">
        <f>'[9]Обращ V и фин ПР 10'!V65</f>
        <v>13</v>
      </c>
      <c r="Q66" s="166">
        <f>'[9]Обращ V и фин ПР 10'!W65</f>
        <v>0</v>
      </c>
      <c r="R66" s="166">
        <v>7</v>
      </c>
      <c r="S66" s="166">
        <v>0</v>
      </c>
      <c r="T66" s="166">
        <v>0</v>
      </c>
      <c r="U66" s="166">
        <v>0</v>
      </c>
      <c r="V66" s="166">
        <f>'[9]Обращ V и фин ПР 10'!Y65</f>
        <v>0</v>
      </c>
      <c r="W66" s="166">
        <f>'[9]Обращ V и фин ПР 10'!Z65</f>
        <v>0</v>
      </c>
      <c r="X66" s="167">
        <f t="shared" si="4"/>
        <v>0</v>
      </c>
      <c r="Y66" s="166">
        <v>0</v>
      </c>
      <c r="Z66" s="166">
        <v>0</v>
      </c>
      <c r="AA66" s="166">
        <v>0</v>
      </c>
      <c r="AB66" s="166">
        <v>0</v>
      </c>
      <c r="AC66" s="166">
        <v>0</v>
      </c>
      <c r="AD66" s="166">
        <v>0</v>
      </c>
      <c r="AE66" s="166">
        <v>0</v>
      </c>
      <c r="AF66" s="166">
        <v>0</v>
      </c>
      <c r="AG66" s="166">
        <v>0</v>
      </c>
      <c r="AH66" s="166">
        <v>0</v>
      </c>
    </row>
    <row r="67" spans="1:34" s="178" customFormat="1" ht="13.5" customHeight="1" x14ac:dyDescent="0.25">
      <c r="A67" s="163">
        <v>54</v>
      </c>
      <c r="B67" s="164" t="s">
        <v>99</v>
      </c>
      <c r="C67" s="165" t="s">
        <v>327</v>
      </c>
      <c r="D67" s="166">
        <f t="shared" si="2"/>
        <v>64759</v>
      </c>
      <c r="E67" s="166">
        <f t="shared" si="5"/>
        <v>0</v>
      </c>
      <c r="F67" s="166">
        <f t="shared" si="3"/>
        <v>64759</v>
      </c>
      <c r="G67" s="166">
        <v>0</v>
      </c>
      <c r="H67" s="166">
        <v>0</v>
      </c>
      <c r="I67" s="166">
        <v>0</v>
      </c>
      <c r="J67" s="166">
        <v>0</v>
      </c>
      <c r="K67" s="166">
        <f>'[9]Обращ V и фин ПР 10'!O66</f>
        <v>0</v>
      </c>
      <c r="L67" s="166">
        <f>'[9]Обращ V и фин ПР 10'!P66</f>
        <v>0</v>
      </c>
      <c r="M67" s="166">
        <f>'[9]Обращ V и фин ПР 10'!Q66</f>
        <v>0</v>
      </c>
      <c r="N67" s="166">
        <f>'[9]Обращ V и фин ПР 10'!S66</f>
        <v>0</v>
      </c>
      <c r="O67" s="166">
        <f>'[9]Обращ V и фин ПР 10'!T66</f>
        <v>0</v>
      </c>
      <c r="P67" s="166">
        <f>'[9]Обращ V и фин ПР 10'!V66</f>
        <v>0</v>
      </c>
      <c r="Q67" s="166">
        <f>'[9]Обращ V и фин ПР 10'!W66</f>
        <v>0</v>
      </c>
      <c r="R67" s="166">
        <v>0</v>
      </c>
      <c r="S67" s="166">
        <v>0</v>
      </c>
      <c r="T67" s="166">
        <v>0</v>
      </c>
      <c r="U67" s="166">
        <v>0</v>
      </c>
      <c r="V67" s="166">
        <f>'[9]Обращ V и фин ПР 10'!Y66</f>
        <v>0</v>
      </c>
      <c r="W67" s="166">
        <f>'[9]Обращ V и фин ПР 10'!Z66</f>
        <v>0</v>
      </c>
      <c r="X67" s="167">
        <f t="shared" si="4"/>
        <v>64759</v>
      </c>
      <c r="Y67" s="166">
        <v>0</v>
      </c>
      <c r="Z67" s="166">
        <v>11361</v>
      </c>
      <c r="AA67" s="166">
        <v>0</v>
      </c>
      <c r="AB67" s="166">
        <v>0</v>
      </c>
      <c r="AC67" s="166">
        <v>0</v>
      </c>
      <c r="AD67" s="166">
        <v>0</v>
      </c>
      <c r="AE67" s="166">
        <v>0</v>
      </c>
      <c r="AF67" s="166">
        <v>0</v>
      </c>
      <c r="AG67" s="166">
        <v>0</v>
      </c>
      <c r="AH67" s="166">
        <v>53398</v>
      </c>
    </row>
    <row r="68" spans="1:34" ht="13.5" customHeight="1" x14ac:dyDescent="0.2">
      <c r="A68" s="163">
        <v>55</v>
      </c>
      <c r="B68" s="164" t="s">
        <v>101</v>
      </c>
      <c r="C68" s="165" t="s">
        <v>328</v>
      </c>
      <c r="D68" s="166">
        <f t="shared" si="2"/>
        <v>53672</v>
      </c>
      <c r="E68" s="166">
        <f t="shared" si="5"/>
        <v>0</v>
      </c>
      <c r="F68" s="166">
        <f t="shared" si="3"/>
        <v>53672</v>
      </c>
      <c r="G68" s="166">
        <v>0</v>
      </c>
      <c r="H68" s="166">
        <v>0</v>
      </c>
      <c r="I68" s="166">
        <v>0</v>
      </c>
      <c r="J68" s="166">
        <v>0</v>
      </c>
      <c r="K68" s="166">
        <f>'[9]Обращ V и фин ПР 10'!O67</f>
        <v>0</v>
      </c>
      <c r="L68" s="166">
        <f>'[9]Обращ V и фин ПР 10'!P67</f>
        <v>0</v>
      </c>
      <c r="M68" s="166">
        <f>'[9]Обращ V и фин ПР 10'!Q67</f>
        <v>0</v>
      </c>
      <c r="N68" s="166">
        <f>'[9]Обращ V и фин ПР 10'!S67</f>
        <v>0</v>
      </c>
      <c r="O68" s="166">
        <f>'[9]Обращ V и фин ПР 10'!T67</f>
        <v>0</v>
      </c>
      <c r="P68" s="166">
        <f>'[9]Обращ V и фин ПР 10'!V67</f>
        <v>0</v>
      </c>
      <c r="Q68" s="166">
        <f>'[9]Обращ V и фин ПР 10'!W67</f>
        <v>0</v>
      </c>
      <c r="R68" s="166">
        <v>0</v>
      </c>
      <c r="S68" s="166">
        <v>0</v>
      </c>
      <c r="T68" s="166">
        <v>0</v>
      </c>
      <c r="U68" s="166">
        <v>0</v>
      </c>
      <c r="V68" s="166">
        <f>'[9]Обращ V и фин ПР 10'!Y67</f>
        <v>0</v>
      </c>
      <c r="W68" s="166">
        <f>'[9]Обращ V и фин ПР 10'!Z67</f>
        <v>0</v>
      </c>
      <c r="X68" s="167">
        <f t="shared" si="4"/>
        <v>53672</v>
      </c>
      <c r="Y68" s="166">
        <v>0</v>
      </c>
      <c r="Z68" s="166">
        <v>10628</v>
      </c>
      <c r="AA68" s="166">
        <v>0</v>
      </c>
      <c r="AB68" s="166">
        <v>0</v>
      </c>
      <c r="AC68" s="166">
        <v>0</v>
      </c>
      <c r="AD68" s="166">
        <v>0</v>
      </c>
      <c r="AE68" s="166">
        <v>0</v>
      </c>
      <c r="AF68" s="166">
        <v>0</v>
      </c>
      <c r="AG68" s="166">
        <v>0</v>
      </c>
      <c r="AH68" s="166">
        <v>43044</v>
      </c>
    </row>
    <row r="69" spans="1:34" s="173" customFormat="1" ht="13.5" customHeight="1" x14ac:dyDescent="0.2">
      <c r="A69" s="163">
        <v>56</v>
      </c>
      <c r="B69" s="164" t="s">
        <v>102</v>
      </c>
      <c r="C69" s="165" t="s">
        <v>329</v>
      </c>
      <c r="D69" s="166">
        <f t="shared" si="2"/>
        <v>80842</v>
      </c>
      <c r="E69" s="166">
        <f t="shared" si="5"/>
        <v>0</v>
      </c>
      <c r="F69" s="166">
        <f t="shared" si="3"/>
        <v>80842</v>
      </c>
      <c r="G69" s="166">
        <v>0</v>
      </c>
      <c r="H69" s="166">
        <v>0</v>
      </c>
      <c r="I69" s="166">
        <v>0</v>
      </c>
      <c r="J69" s="166">
        <v>0</v>
      </c>
      <c r="K69" s="166">
        <f>'[9]Обращ V и фин ПР 10'!O68</f>
        <v>0</v>
      </c>
      <c r="L69" s="166">
        <f>'[9]Обращ V и фин ПР 10'!P68</f>
        <v>0</v>
      </c>
      <c r="M69" s="166">
        <f>'[9]Обращ V и фин ПР 10'!Q68</f>
        <v>0</v>
      </c>
      <c r="N69" s="166">
        <f>'[9]Обращ V и фин ПР 10'!S68</f>
        <v>0</v>
      </c>
      <c r="O69" s="166">
        <f>'[9]Обращ V и фин ПР 10'!T68</f>
        <v>0</v>
      </c>
      <c r="P69" s="166">
        <f>'[9]Обращ V и фин ПР 10'!V68</f>
        <v>0</v>
      </c>
      <c r="Q69" s="166">
        <f>'[9]Обращ V и фин ПР 10'!W68</f>
        <v>0</v>
      </c>
      <c r="R69" s="166">
        <v>0</v>
      </c>
      <c r="S69" s="166">
        <v>0</v>
      </c>
      <c r="T69" s="166">
        <v>0</v>
      </c>
      <c r="U69" s="166">
        <v>0</v>
      </c>
      <c r="V69" s="166">
        <f>'[9]Обращ V и фин ПР 10'!Y68</f>
        <v>0</v>
      </c>
      <c r="W69" s="166">
        <f>'[9]Обращ V и фин ПР 10'!Z68</f>
        <v>4241</v>
      </c>
      <c r="X69" s="167">
        <f t="shared" si="4"/>
        <v>76601</v>
      </c>
      <c r="Y69" s="166">
        <v>0</v>
      </c>
      <c r="Z69" s="166">
        <v>2910</v>
      </c>
      <c r="AA69" s="166">
        <v>0</v>
      </c>
      <c r="AB69" s="166">
        <v>13813</v>
      </c>
      <c r="AC69" s="166">
        <v>0</v>
      </c>
      <c r="AD69" s="166">
        <v>3720</v>
      </c>
      <c r="AE69" s="166">
        <v>0</v>
      </c>
      <c r="AF69" s="166">
        <v>3187</v>
      </c>
      <c r="AG69" s="166">
        <v>0</v>
      </c>
      <c r="AH69" s="166">
        <v>59878</v>
      </c>
    </row>
    <row r="70" spans="1:34" ht="13.5" customHeight="1" x14ac:dyDescent="0.2">
      <c r="A70" s="163">
        <v>57</v>
      </c>
      <c r="B70" s="164" t="s">
        <v>104</v>
      </c>
      <c r="C70" s="165" t="s">
        <v>330</v>
      </c>
      <c r="D70" s="166">
        <f t="shared" si="2"/>
        <v>92317</v>
      </c>
      <c r="E70" s="166">
        <f t="shared" si="5"/>
        <v>0</v>
      </c>
      <c r="F70" s="166">
        <f t="shared" si="3"/>
        <v>92317</v>
      </c>
      <c r="G70" s="166">
        <v>0</v>
      </c>
      <c r="H70" s="166">
        <v>0</v>
      </c>
      <c r="I70" s="166">
        <v>0</v>
      </c>
      <c r="J70" s="166">
        <v>0</v>
      </c>
      <c r="K70" s="166">
        <f>'[9]Обращ V и фин ПР 10'!O69</f>
        <v>0</v>
      </c>
      <c r="L70" s="166">
        <f>'[9]Обращ V и фин ПР 10'!P69</f>
        <v>0</v>
      </c>
      <c r="M70" s="166">
        <f>'[9]Обращ V и фин ПР 10'!Q69</f>
        <v>0</v>
      </c>
      <c r="N70" s="166">
        <f>'[9]Обращ V и фин ПР 10'!S69</f>
        <v>0</v>
      </c>
      <c r="O70" s="166">
        <f>'[9]Обращ V и фин ПР 10'!T69</f>
        <v>0</v>
      </c>
      <c r="P70" s="166">
        <f>'[9]Обращ V и фин ПР 10'!V69</f>
        <v>0</v>
      </c>
      <c r="Q70" s="166">
        <f>'[9]Обращ V и фин ПР 10'!W69</f>
        <v>0</v>
      </c>
      <c r="R70" s="166">
        <v>0</v>
      </c>
      <c r="S70" s="166">
        <v>0</v>
      </c>
      <c r="T70" s="166">
        <v>0</v>
      </c>
      <c r="U70" s="166">
        <v>0</v>
      </c>
      <c r="V70" s="166">
        <f>'[9]Обращ V и фин ПР 10'!Y69</f>
        <v>0</v>
      </c>
      <c r="W70" s="166">
        <f>'[9]Обращ V и фин ПР 10'!Z69</f>
        <v>3958</v>
      </c>
      <c r="X70" s="167">
        <f t="shared" si="4"/>
        <v>88359</v>
      </c>
      <c r="Y70" s="166">
        <v>0</v>
      </c>
      <c r="Z70" s="166">
        <v>20219</v>
      </c>
      <c r="AA70" s="166">
        <v>0</v>
      </c>
      <c r="AB70" s="166">
        <v>0</v>
      </c>
      <c r="AC70" s="166">
        <v>0</v>
      </c>
      <c r="AD70" s="166">
        <v>0</v>
      </c>
      <c r="AE70" s="166">
        <v>0</v>
      </c>
      <c r="AF70" s="166">
        <v>0</v>
      </c>
      <c r="AG70" s="166">
        <v>0</v>
      </c>
      <c r="AH70" s="166">
        <v>68140</v>
      </c>
    </row>
    <row r="71" spans="1:34" ht="13.5" customHeight="1" x14ac:dyDescent="0.2">
      <c r="A71" s="163">
        <v>58</v>
      </c>
      <c r="B71" s="164" t="s">
        <v>105</v>
      </c>
      <c r="C71" s="165" t="s">
        <v>331</v>
      </c>
      <c r="D71" s="166">
        <f t="shared" si="2"/>
        <v>35681</v>
      </c>
      <c r="E71" s="166">
        <f t="shared" si="5"/>
        <v>0</v>
      </c>
      <c r="F71" s="166">
        <f t="shared" si="3"/>
        <v>35681</v>
      </c>
      <c r="G71" s="166">
        <v>0</v>
      </c>
      <c r="H71" s="166">
        <v>0</v>
      </c>
      <c r="I71" s="166">
        <v>0</v>
      </c>
      <c r="J71" s="166">
        <v>0</v>
      </c>
      <c r="K71" s="166">
        <f>'[9]Обращ V и фин ПР 10'!O70</f>
        <v>0</v>
      </c>
      <c r="L71" s="166">
        <f>'[9]Обращ V и фин ПР 10'!P70</f>
        <v>0</v>
      </c>
      <c r="M71" s="166">
        <f>'[9]Обращ V и фин ПР 10'!Q70</f>
        <v>0</v>
      </c>
      <c r="N71" s="166">
        <f>'[9]Обращ V и фин ПР 10'!S70</f>
        <v>0</v>
      </c>
      <c r="O71" s="166">
        <f>'[9]Обращ V и фин ПР 10'!T70</f>
        <v>0</v>
      </c>
      <c r="P71" s="166">
        <f>'[9]Обращ V и фин ПР 10'!V70</f>
        <v>0</v>
      </c>
      <c r="Q71" s="166">
        <f>'[9]Обращ V и фин ПР 10'!W70</f>
        <v>0</v>
      </c>
      <c r="R71" s="166">
        <v>0</v>
      </c>
      <c r="S71" s="166">
        <v>0</v>
      </c>
      <c r="T71" s="166">
        <v>0</v>
      </c>
      <c r="U71" s="166">
        <v>0</v>
      </c>
      <c r="V71" s="166">
        <f>'[9]Обращ V и фин ПР 10'!Y70</f>
        <v>0</v>
      </c>
      <c r="W71" s="166">
        <f>'[9]Обращ V и фин ПР 10'!Z70</f>
        <v>0</v>
      </c>
      <c r="X71" s="167">
        <f t="shared" si="4"/>
        <v>35681</v>
      </c>
      <c r="Y71" s="166">
        <v>0</v>
      </c>
      <c r="Z71" s="166">
        <v>5149</v>
      </c>
      <c r="AA71" s="166">
        <v>0</v>
      </c>
      <c r="AB71" s="166">
        <v>2932</v>
      </c>
      <c r="AC71" s="166">
        <v>0</v>
      </c>
      <c r="AD71" s="166">
        <v>1466</v>
      </c>
      <c r="AE71" s="166">
        <v>0</v>
      </c>
      <c r="AF71" s="166">
        <v>0</v>
      </c>
      <c r="AG71" s="166">
        <v>0</v>
      </c>
      <c r="AH71" s="166">
        <v>27600</v>
      </c>
    </row>
    <row r="72" spans="1:34" ht="13.5" customHeight="1" x14ac:dyDescent="0.2">
      <c r="A72" s="163">
        <v>59</v>
      </c>
      <c r="B72" s="164" t="s">
        <v>332</v>
      </c>
      <c r="C72" s="174" t="s">
        <v>333</v>
      </c>
      <c r="D72" s="166">
        <f t="shared" si="2"/>
        <v>21836</v>
      </c>
      <c r="E72" s="166">
        <f t="shared" si="5"/>
        <v>0</v>
      </c>
      <c r="F72" s="166">
        <f t="shared" si="3"/>
        <v>21836</v>
      </c>
      <c r="G72" s="166">
        <v>0</v>
      </c>
      <c r="H72" s="166">
        <v>0</v>
      </c>
      <c r="I72" s="166">
        <v>0</v>
      </c>
      <c r="J72" s="166">
        <v>0</v>
      </c>
      <c r="K72" s="166">
        <f>'[9]Обращ V и фин ПР 10'!O71</f>
        <v>0</v>
      </c>
      <c r="L72" s="166">
        <f>'[9]Обращ V и фин ПР 10'!P71</f>
        <v>0</v>
      </c>
      <c r="M72" s="166">
        <f>'[9]Обращ V и фин ПР 10'!Q71</f>
        <v>0</v>
      </c>
      <c r="N72" s="166">
        <f>'[9]Обращ V и фин ПР 10'!S71</f>
        <v>0</v>
      </c>
      <c r="O72" s="166">
        <f>'[9]Обращ V и фин ПР 10'!T71</f>
        <v>0</v>
      </c>
      <c r="P72" s="166">
        <f>'[9]Обращ V и фин ПР 10'!V71</f>
        <v>0</v>
      </c>
      <c r="Q72" s="166">
        <f>'[9]Обращ V и фин ПР 10'!W71</f>
        <v>21836</v>
      </c>
      <c r="R72" s="166">
        <v>0</v>
      </c>
      <c r="S72" s="175">
        <f>9041+636</f>
        <v>9677</v>
      </c>
      <c r="T72" s="166">
        <v>0</v>
      </c>
      <c r="U72" s="166">
        <v>1559</v>
      </c>
      <c r="V72" s="166">
        <f>'[9]Обращ V и фин ПР 10'!Y71</f>
        <v>0</v>
      </c>
      <c r="W72" s="166">
        <f>'[9]Обращ V и фин ПР 10'!Z71</f>
        <v>0</v>
      </c>
      <c r="X72" s="167">
        <f t="shared" si="4"/>
        <v>0</v>
      </c>
      <c r="Y72" s="166">
        <v>0</v>
      </c>
      <c r="Z72" s="166">
        <v>0</v>
      </c>
      <c r="AA72" s="166">
        <v>0</v>
      </c>
      <c r="AB72" s="166">
        <v>0</v>
      </c>
      <c r="AC72" s="166">
        <v>0</v>
      </c>
      <c r="AD72" s="166">
        <v>0</v>
      </c>
      <c r="AE72" s="166">
        <v>0</v>
      </c>
      <c r="AF72" s="166">
        <v>0</v>
      </c>
      <c r="AG72" s="166">
        <v>0</v>
      </c>
      <c r="AH72" s="166">
        <v>0</v>
      </c>
    </row>
    <row r="73" spans="1:34" ht="13.5" customHeight="1" x14ac:dyDescent="0.2">
      <c r="A73" s="163">
        <v>60</v>
      </c>
      <c r="B73" s="164" t="s">
        <v>334</v>
      </c>
      <c r="C73" s="174" t="s">
        <v>335</v>
      </c>
      <c r="D73" s="166">
        <f t="shared" si="2"/>
        <v>31790</v>
      </c>
      <c r="E73" s="166">
        <f t="shared" si="5"/>
        <v>0</v>
      </c>
      <c r="F73" s="166">
        <f t="shared" si="3"/>
        <v>31790</v>
      </c>
      <c r="G73" s="166">
        <v>0</v>
      </c>
      <c r="H73" s="166">
        <v>0</v>
      </c>
      <c r="I73" s="166">
        <v>0</v>
      </c>
      <c r="J73" s="166">
        <v>0</v>
      </c>
      <c r="K73" s="166">
        <f>'[9]Обращ V и фин ПР 10'!O72</f>
        <v>0</v>
      </c>
      <c r="L73" s="166">
        <f>'[9]Обращ V и фин ПР 10'!P72</f>
        <v>0</v>
      </c>
      <c r="M73" s="166">
        <f>'[9]Обращ V и фин ПР 10'!Q72</f>
        <v>0</v>
      </c>
      <c r="N73" s="166">
        <f>'[9]Обращ V и фин ПР 10'!S72</f>
        <v>0</v>
      </c>
      <c r="O73" s="166">
        <f>'[9]Обращ V и фин ПР 10'!T72</f>
        <v>0</v>
      </c>
      <c r="P73" s="166">
        <f>'[9]Обращ V и фин ПР 10'!V72</f>
        <v>0</v>
      </c>
      <c r="Q73" s="166">
        <f>'[9]Обращ V и фин ПР 10'!W72</f>
        <v>31790</v>
      </c>
      <c r="R73" s="166">
        <v>0</v>
      </c>
      <c r="S73" s="175">
        <f>12282+636</f>
        <v>12918</v>
      </c>
      <c r="T73" s="166">
        <v>0</v>
      </c>
      <c r="U73" s="166">
        <v>3295</v>
      </c>
      <c r="V73" s="166">
        <f>'[9]Обращ V и фин ПР 10'!Y72</f>
        <v>0</v>
      </c>
      <c r="W73" s="166">
        <f>'[9]Обращ V и фин ПР 10'!Z72</f>
        <v>0</v>
      </c>
      <c r="X73" s="167">
        <f t="shared" si="4"/>
        <v>0</v>
      </c>
      <c r="Y73" s="166">
        <v>0</v>
      </c>
      <c r="Z73" s="166">
        <v>0</v>
      </c>
      <c r="AA73" s="166">
        <v>0</v>
      </c>
      <c r="AB73" s="166">
        <v>0</v>
      </c>
      <c r="AC73" s="166">
        <v>0</v>
      </c>
      <c r="AD73" s="166">
        <v>0</v>
      </c>
      <c r="AE73" s="166">
        <v>0</v>
      </c>
      <c r="AF73" s="166">
        <v>0</v>
      </c>
      <c r="AG73" s="166">
        <v>0</v>
      </c>
      <c r="AH73" s="166">
        <v>0</v>
      </c>
    </row>
    <row r="74" spans="1:34" ht="13.5" customHeight="1" x14ac:dyDescent="0.2">
      <c r="A74" s="163">
        <v>61</v>
      </c>
      <c r="B74" s="164" t="s">
        <v>107</v>
      </c>
      <c r="C74" s="172" t="s">
        <v>336</v>
      </c>
      <c r="D74" s="166">
        <f t="shared" si="2"/>
        <v>95404</v>
      </c>
      <c r="E74" s="166">
        <f t="shared" si="5"/>
        <v>91946</v>
      </c>
      <c r="F74" s="166">
        <f t="shared" si="3"/>
        <v>3458</v>
      </c>
      <c r="G74" s="166">
        <v>0</v>
      </c>
      <c r="H74" s="166">
        <v>0</v>
      </c>
      <c r="I74" s="166">
        <v>0</v>
      </c>
      <c r="J74" s="166">
        <v>0</v>
      </c>
      <c r="K74" s="166">
        <f>'[9]Обращ V и фин ПР 10'!O73</f>
        <v>0</v>
      </c>
      <c r="L74" s="166">
        <f>'[9]Обращ V и фин ПР 10'!P73</f>
        <v>0</v>
      </c>
      <c r="M74" s="166">
        <f>'[9]Обращ V и фин ПР 10'!Q73</f>
        <v>0</v>
      </c>
      <c r="N74" s="166">
        <f>'[9]Обращ V и фин ПР 10'!S73</f>
        <v>0</v>
      </c>
      <c r="O74" s="166">
        <f>'[9]Обращ V и фин ПР 10'!T73</f>
        <v>0</v>
      </c>
      <c r="P74" s="166">
        <f>'[9]Обращ V и фин ПР 10'!V73</f>
        <v>0</v>
      </c>
      <c r="Q74" s="166">
        <f>'[9]Обращ V и фин ПР 10'!W73</f>
        <v>0</v>
      </c>
      <c r="R74" s="166">
        <v>0</v>
      </c>
      <c r="S74" s="166">
        <v>0</v>
      </c>
      <c r="T74" s="166">
        <v>0</v>
      </c>
      <c r="U74" s="166">
        <v>0</v>
      </c>
      <c r="V74" s="166">
        <f>'[9]Обращ V и фин ПР 10'!Y73</f>
        <v>0</v>
      </c>
      <c r="W74" s="166">
        <f>'[9]Обращ V и фин ПР 10'!Z73</f>
        <v>0</v>
      </c>
      <c r="X74" s="167">
        <f t="shared" si="4"/>
        <v>95404</v>
      </c>
      <c r="Y74" s="166">
        <v>23120</v>
      </c>
      <c r="Z74" s="166">
        <v>542</v>
      </c>
      <c r="AA74" s="166">
        <v>0</v>
      </c>
      <c r="AB74" s="166">
        <v>0</v>
      </c>
      <c r="AC74" s="166">
        <v>0</v>
      </c>
      <c r="AD74" s="166">
        <v>0</v>
      </c>
      <c r="AE74" s="166">
        <v>0</v>
      </c>
      <c r="AF74" s="166">
        <v>0</v>
      </c>
      <c r="AG74" s="166">
        <v>68826</v>
      </c>
      <c r="AH74" s="166">
        <v>2916</v>
      </c>
    </row>
    <row r="75" spans="1:34" ht="13.5" customHeight="1" x14ac:dyDescent="0.2">
      <c r="A75" s="163">
        <v>62</v>
      </c>
      <c r="B75" s="164" t="s">
        <v>108</v>
      </c>
      <c r="C75" s="172" t="s">
        <v>337</v>
      </c>
      <c r="D75" s="166">
        <f t="shared" si="2"/>
        <v>54337</v>
      </c>
      <c r="E75" s="166">
        <f t="shared" si="5"/>
        <v>54337</v>
      </c>
      <c r="F75" s="166">
        <f t="shared" si="3"/>
        <v>0</v>
      </c>
      <c r="G75" s="166">
        <v>0</v>
      </c>
      <c r="H75" s="166">
        <v>0</v>
      </c>
      <c r="I75" s="166">
        <v>0</v>
      </c>
      <c r="J75" s="166">
        <v>0</v>
      </c>
      <c r="K75" s="166">
        <f>'[9]Обращ V и фин ПР 10'!O74</f>
        <v>0</v>
      </c>
      <c r="L75" s="166">
        <f>'[9]Обращ V и фин ПР 10'!P74</f>
        <v>0</v>
      </c>
      <c r="M75" s="166">
        <f>'[9]Обращ V и фин ПР 10'!Q74</f>
        <v>0</v>
      </c>
      <c r="N75" s="166">
        <f>'[9]Обращ V и фин ПР 10'!S74</f>
        <v>0</v>
      </c>
      <c r="O75" s="166">
        <f>'[9]Обращ V и фин ПР 10'!T74</f>
        <v>0</v>
      </c>
      <c r="P75" s="166">
        <f>'[9]Обращ V и фин ПР 10'!V74</f>
        <v>0</v>
      </c>
      <c r="Q75" s="166">
        <f>'[9]Обращ V и фин ПР 10'!W74</f>
        <v>0</v>
      </c>
      <c r="R75" s="166">
        <v>0</v>
      </c>
      <c r="S75" s="166">
        <v>0</v>
      </c>
      <c r="T75" s="166">
        <v>0</v>
      </c>
      <c r="U75" s="166">
        <v>0</v>
      </c>
      <c r="V75" s="166">
        <f>'[9]Обращ V и фин ПР 10'!Y74</f>
        <v>0</v>
      </c>
      <c r="W75" s="166">
        <f>'[9]Обращ V и фин ПР 10'!Z74</f>
        <v>0</v>
      </c>
      <c r="X75" s="167">
        <f t="shared" si="4"/>
        <v>54337</v>
      </c>
      <c r="Y75" s="166">
        <v>13736</v>
      </c>
      <c r="Z75" s="166">
        <v>0</v>
      </c>
      <c r="AA75" s="166">
        <v>400</v>
      </c>
      <c r="AB75" s="166">
        <v>0</v>
      </c>
      <c r="AC75" s="166">
        <v>200</v>
      </c>
      <c r="AD75" s="166">
        <v>0</v>
      </c>
      <c r="AE75" s="166">
        <v>0</v>
      </c>
      <c r="AF75" s="166">
        <v>0</v>
      </c>
      <c r="AG75" s="166">
        <v>40201</v>
      </c>
      <c r="AH75" s="166">
        <v>0</v>
      </c>
    </row>
    <row r="76" spans="1:34" ht="13.5" customHeight="1" x14ac:dyDescent="0.2">
      <c r="A76" s="163">
        <v>63</v>
      </c>
      <c r="B76" s="164" t="s">
        <v>109</v>
      </c>
      <c r="C76" s="172" t="s">
        <v>338</v>
      </c>
      <c r="D76" s="166">
        <f t="shared" si="2"/>
        <v>65829</v>
      </c>
      <c r="E76" s="166">
        <f t="shared" si="5"/>
        <v>65829</v>
      </c>
      <c r="F76" s="166">
        <f t="shared" si="3"/>
        <v>0</v>
      </c>
      <c r="G76" s="166">
        <v>240</v>
      </c>
      <c r="H76" s="166">
        <v>0</v>
      </c>
      <c r="I76" s="166">
        <v>2785</v>
      </c>
      <c r="J76" s="166">
        <v>0</v>
      </c>
      <c r="K76" s="166">
        <f>'[9]Обращ V и фин ПР 10'!O75</f>
        <v>0</v>
      </c>
      <c r="L76" s="166">
        <f>'[9]Обращ V и фин ПР 10'!P75</f>
        <v>0</v>
      </c>
      <c r="M76" s="166">
        <f>'[9]Обращ V и фин ПР 10'!Q75</f>
        <v>0</v>
      </c>
      <c r="N76" s="166">
        <f>'[9]Обращ V и фин ПР 10'!S75</f>
        <v>0</v>
      </c>
      <c r="O76" s="166">
        <f>'[9]Обращ V и фин ПР 10'!T75</f>
        <v>0</v>
      </c>
      <c r="P76" s="166">
        <f>'[9]Обращ V и фин ПР 10'!V75</f>
        <v>0</v>
      </c>
      <c r="Q76" s="166">
        <f>'[9]Обращ V и фин ПР 10'!W75</f>
        <v>0</v>
      </c>
      <c r="R76" s="166">
        <v>0</v>
      </c>
      <c r="S76" s="166">
        <v>0</v>
      </c>
      <c r="T76" s="166">
        <v>0</v>
      </c>
      <c r="U76" s="166">
        <v>0</v>
      </c>
      <c r="V76" s="166">
        <f>'[9]Обращ V и фин ПР 10'!Y75</f>
        <v>0</v>
      </c>
      <c r="W76" s="166">
        <f>'[9]Обращ V и фин ПР 10'!Z75</f>
        <v>0</v>
      </c>
      <c r="X76" s="167">
        <f t="shared" si="4"/>
        <v>62804</v>
      </c>
      <c r="Y76" s="166">
        <v>4570</v>
      </c>
      <c r="Z76" s="166">
        <v>0</v>
      </c>
      <c r="AA76" s="166">
        <v>12375</v>
      </c>
      <c r="AB76" s="166">
        <v>0</v>
      </c>
      <c r="AC76" s="166">
        <v>5940</v>
      </c>
      <c r="AD76" s="166">
        <v>0</v>
      </c>
      <c r="AE76" s="166">
        <v>248</v>
      </c>
      <c r="AF76" s="166">
        <v>0</v>
      </c>
      <c r="AG76" s="166">
        <v>45859</v>
      </c>
      <c r="AH76" s="166">
        <v>0</v>
      </c>
    </row>
    <row r="77" spans="1:34" ht="13.5" customHeight="1" x14ac:dyDescent="0.2">
      <c r="A77" s="163">
        <v>64</v>
      </c>
      <c r="B77" s="164" t="s">
        <v>110</v>
      </c>
      <c r="C77" s="172" t="s">
        <v>339</v>
      </c>
      <c r="D77" s="166">
        <f t="shared" si="2"/>
        <v>40222</v>
      </c>
      <c r="E77" s="166">
        <f t="shared" si="5"/>
        <v>40222</v>
      </c>
      <c r="F77" s="166">
        <f t="shared" si="3"/>
        <v>0</v>
      </c>
      <c r="G77" s="166">
        <v>0</v>
      </c>
      <c r="H77" s="166">
        <v>0</v>
      </c>
      <c r="I77" s="166">
        <v>0</v>
      </c>
      <c r="J77" s="166">
        <v>0</v>
      </c>
      <c r="K77" s="166">
        <f>'[9]Обращ V и фин ПР 10'!O76</f>
        <v>0</v>
      </c>
      <c r="L77" s="166">
        <f>'[9]Обращ V и фин ПР 10'!P76</f>
        <v>0</v>
      </c>
      <c r="M77" s="166">
        <f>'[9]Обращ V и фин ПР 10'!Q76</f>
        <v>0</v>
      </c>
      <c r="N77" s="166">
        <f>'[9]Обращ V и фин ПР 10'!S76</f>
        <v>0</v>
      </c>
      <c r="O77" s="166">
        <f>'[9]Обращ V и фин ПР 10'!T76</f>
        <v>0</v>
      </c>
      <c r="P77" s="166">
        <f>'[9]Обращ V и фин ПР 10'!V76</f>
        <v>0</v>
      </c>
      <c r="Q77" s="166">
        <f>'[9]Обращ V и фин ПР 10'!W76</f>
        <v>0</v>
      </c>
      <c r="R77" s="166">
        <v>0</v>
      </c>
      <c r="S77" s="166">
        <v>0</v>
      </c>
      <c r="T77" s="166">
        <v>0</v>
      </c>
      <c r="U77" s="166">
        <v>0</v>
      </c>
      <c r="V77" s="166">
        <f>'[9]Обращ V и фин ПР 10'!Y76</f>
        <v>0</v>
      </c>
      <c r="W77" s="166">
        <f>'[9]Обращ V и фин ПР 10'!Z76</f>
        <v>0</v>
      </c>
      <c r="X77" s="167">
        <f t="shared" si="4"/>
        <v>40222</v>
      </c>
      <c r="Y77" s="166">
        <v>10507</v>
      </c>
      <c r="Z77" s="166">
        <v>0</v>
      </c>
      <c r="AA77" s="166">
        <v>0</v>
      </c>
      <c r="AB77" s="166">
        <v>0</v>
      </c>
      <c r="AC77" s="166">
        <v>0</v>
      </c>
      <c r="AD77" s="166">
        <v>0</v>
      </c>
      <c r="AE77" s="166">
        <v>0</v>
      </c>
      <c r="AF77" s="166">
        <v>0</v>
      </c>
      <c r="AG77" s="166">
        <v>29715</v>
      </c>
      <c r="AH77" s="166">
        <v>0</v>
      </c>
    </row>
    <row r="78" spans="1:34" ht="13.5" customHeight="1" x14ac:dyDescent="0.2">
      <c r="A78" s="163">
        <v>65</v>
      </c>
      <c r="B78" s="164" t="s">
        <v>111</v>
      </c>
      <c r="C78" s="172" t="s">
        <v>340</v>
      </c>
      <c r="D78" s="166">
        <f t="shared" ref="D78:D138" si="6">E78+F78</f>
        <v>129100</v>
      </c>
      <c r="E78" s="166">
        <f t="shared" si="5"/>
        <v>129100</v>
      </c>
      <c r="F78" s="166">
        <f t="shared" ref="F78:F138" si="7">H78+J78+O78+Q78+W78+Z78+AB78+AH78</f>
        <v>0</v>
      </c>
      <c r="G78" s="166">
        <v>7378</v>
      </c>
      <c r="H78" s="166">
        <v>0</v>
      </c>
      <c r="I78" s="166">
        <v>0</v>
      </c>
      <c r="J78" s="166">
        <v>0</v>
      </c>
      <c r="K78" s="166">
        <f>'[9]Обращ V и фин ПР 10'!O77</f>
        <v>0</v>
      </c>
      <c r="L78" s="166">
        <f>'[9]Обращ V и фин ПР 10'!P77</f>
        <v>0</v>
      </c>
      <c r="M78" s="166">
        <f>'[9]Обращ V и фин ПР 10'!Q77</f>
        <v>0</v>
      </c>
      <c r="N78" s="166">
        <f>'[9]Обращ V и фин ПР 10'!S77</f>
        <v>0</v>
      </c>
      <c r="O78" s="166">
        <f>'[9]Обращ V и фин ПР 10'!T77</f>
        <v>0</v>
      </c>
      <c r="P78" s="166">
        <f>'[9]Обращ V и фин ПР 10'!V77</f>
        <v>0</v>
      </c>
      <c r="Q78" s="166">
        <f>'[9]Обращ V и фин ПР 10'!W77</f>
        <v>0</v>
      </c>
      <c r="R78" s="166">
        <v>0</v>
      </c>
      <c r="S78" s="166">
        <v>0</v>
      </c>
      <c r="T78" s="166">
        <v>0</v>
      </c>
      <c r="U78" s="166">
        <v>0</v>
      </c>
      <c r="V78" s="166">
        <f>'[9]Обращ V и фин ПР 10'!Y77</f>
        <v>0</v>
      </c>
      <c r="W78" s="166">
        <f>'[9]Обращ V и фин ПР 10'!Z77</f>
        <v>0</v>
      </c>
      <c r="X78" s="167">
        <f t="shared" ref="X78:X138" si="8">Y78+Z78+AA78+AB78+AG78+AH78</f>
        <v>121722</v>
      </c>
      <c r="Y78" s="166">
        <v>28679</v>
      </c>
      <c r="Z78" s="166">
        <v>0</v>
      </c>
      <c r="AA78" s="166">
        <v>0</v>
      </c>
      <c r="AB78" s="166">
        <v>0</v>
      </c>
      <c r="AC78" s="166">
        <v>0</v>
      </c>
      <c r="AD78" s="166">
        <v>0</v>
      </c>
      <c r="AE78" s="166">
        <v>0</v>
      </c>
      <c r="AF78" s="166">
        <v>0</v>
      </c>
      <c r="AG78" s="166">
        <v>93043</v>
      </c>
      <c r="AH78" s="166">
        <v>0</v>
      </c>
    </row>
    <row r="79" spans="1:34" ht="13.5" customHeight="1" x14ac:dyDescent="0.2">
      <c r="A79" s="163">
        <v>66</v>
      </c>
      <c r="B79" s="164" t="s">
        <v>112</v>
      </c>
      <c r="C79" s="172" t="s">
        <v>341</v>
      </c>
      <c r="D79" s="166">
        <f t="shared" si="6"/>
        <v>61528</v>
      </c>
      <c r="E79" s="166">
        <f t="shared" ref="E79:E138" si="9">G79+I79+K79+L79+M79+N79+P79+V79+Y79+AA79+AG79</f>
        <v>61528</v>
      </c>
      <c r="F79" s="166">
        <f t="shared" si="7"/>
        <v>0</v>
      </c>
      <c r="G79" s="166">
        <v>0</v>
      </c>
      <c r="H79" s="166">
        <v>0</v>
      </c>
      <c r="I79" s="166">
        <v>0</v>
      </c>
      <c r="J79" s="166">
        <v>0</v>
      </c>
      <c r="K79" s="166">
        <f>'[9]Обращ V и фин ПР 10'!O78</f>
        <v>0</v>
      </c>
      <c r="L79" s="166">
        <f>'[9]Обращ V и фин ПР 10'!P78</f>
        <v>0</v>
      </c>
      <c r="M79" s="166">
        <f>'[9]Обращ V и фин ПР 10'!Q78</f>
        <v>0</v>
      </c>
      <c r="N79" s="166">
        <f>'[9]Обращ V и фин ПР 10'!S78</f>
        <v>0</v>
      </c>
      <c r="O79" s="166">
        <f>'[9]Обращ V и фин ПР 10'!T78</f>
        <v>0</v>
      </c>
      <c r="P79" s="166">
        <f>'[9]Обращ V и фин ПР 10'!V78</f>
        <v>0</v>
      </c>
      <c r="Q79" s="166">
        <f>'[9]Обращ V и фин ПР 10'!W78</f>
        <v>0</v>
      </c>
      <c r="R79" s="166">
        <v>0</v>
      </c>
      <c r="S79" s="166">
        <v>0</v>
      </c>
      <c r="T79" s="166">
        <v>0</v>
      </c>
      <c r="U79" s="166">
        <v>0</v>
      </c>
      <c r="V79" s="166">
        <f>'[9]Обращ V и фин ПР 10'!Y78</f>
        <v>0</v>
      </c>
      <c r="W79" s="166">
        <f>'[9]Обращ V и фин ПР 10'!Z78</f>
        <v>0</v>
      </c>
      <c r="X79" s="167">
        <f t="shared" si="8"/>
        <v>61528</v>
      </c>
      <c r="Y79" s="166">
        <v>20696</v>
      </c>
      <c r="Z79" s="166">
        <v>0</v>
      </c>
      <c r="AA79" s="166">
        <v>0</v>
      </c>
      <c r="AB79" s="166">
        <v>0</v>
      </c>
      <c r="AC79" s="166">
        <v>0</v>
      </c>
      <c r="AD79" s="166">
        <v>0</v>
      </c>
      <c r="AE79" s="166">
        <v>0</v>
      </c>
      <c r="AF79" s="166">
        <v>0</v>
      </c>
      <c r="AG79" s="166">
        <v>40832</v>
      </c>
      <c r="AH79" s="166">
        <v>0</v>
      </c>
    </row>
    <row r="80" spans="1:34" ht="13.5" customHeight="1" x14ac:dyDescent="0.2">
      <c r="A80" s="163">
        <v>67</v>
      </c>
      <c r="B80" s="164" t="s">
        <v>114</v>
      </c>
      <c r="C80" s="172" t="s">
        <v>342</v>
      </c>
      <c r="D80" s="166">
        <f t="shared" si="6"/>
        <v>63298</v>
      </c>
      <c r="E80" s="166">
        <f t="shared" si="9"/>
        <v>63298</v>
      </c>
      <c r="F80" s="166">
        <f t="shared" si="7"/>
        <v>0</v>
      </c>
      <c r="G80" s="166">
        <v>0</v>
      </c>
      <c r="H80" s="166">
        <v>0</v>
      </c>
      <c r="I80" s="166">
        <v>0</v>
      </c>
      <c r="J80" s="166">
        <v>0</v>
      </c>
      <c r="K80" s="166">
        <f>'[9]Обращ V и фин ПР 10'!O79</f>
        <v>0</v>
      </c>
      <c r="L80" s="166">
        <f>'[9]Обращ V и фин ПР 10'!P79</f>
        <v>0</v>
      </c>
      <c r="M80" s="166">
        <f>'[9]Обращ V и фин ПР 10'!Q79</f>
        <v>0</v>
      </c>
      <c r="N80" s="166">
        <f>'[9]Обращ V и фин ПР 10'!S79</f>
        <v>0</v>
      </c>
      <c r="O80" s="166">
        <f>'[9]Обращ V и фин ПР 10'!T79</f>
        <v>0</v>
      </c>
      <c r="P80" s="166">
        <f>'[9]Обращ V и фин ПР 10'!V79</f>
        <v>0</v>
      </c>
      <c r="Q80" s="166">
        <f>'[9]Обращ V и фин ПР 10'!W79</f>
        <v>0</v>
      </c>
      <c r="R80" s="166">
        <v>0</v>
      </c>
      <c r="S80" s="166">
        <v>0</v>
      </c>
      <c r="T80" s="166">
        <v>0</v>
      </c>
      <c r="U80" s="166">
        <v>0</v>
      </c>
      <c r="V80" s="166">
        <f>'[9]Обращ V и фин ПР 10'!Y79</f>
        <v>0</v>
      </c>
      <c r="W80" s="166">
        <f>'[9]Обращ V и фин ПР 10'!Z79</f>
        <v>0</v>
      </c>
      <c r="X80" s="167">
        <f t="shared" si="8"/>
        <v>63298</v>
      </c>
      <c r="Y80" s="166">
        <v>17192</v>
      </c>
      <c r="Z80" s="166">
        <v>0</v>
      </c>
      <c r="AA80" s="166">
        <v>0</v>
      </c>
      <c r="AB80" s="166">
        <v>0</v>
      </c>
      <c r="AC80" s="166">
        <v>0</v>
      </c>
      <c r="AD80" s="166">
        <v>0</v>
      </c>
      <c r="AE80" s="166">
        <v>0</v>
      </c>
      <c r="AF80" s="166">
        <v>0</v>
      </c>
      <c r="AG80" s="166">
        <v>46106</v>
      </c>
      <c r="AH80" s="166">
        <v>0</v>
      </c>
    </row>
    <row r="81" spans="1:34" ht="13.5" customHeight="1" x14ac:dyDescent="0.2">
      <c r="A81" s="163">
        <v>68</v>
      </c>
      <c r="B81" s="164" t="s">
        <v>116</v>
      </c>
      <c r="C81" s="172" t="s">
        <v>343</v>
      </c>
      <c r="D81" s="166">
        <f t="shared" si="6"/>
        <v>35796</v>
      </c>
      <c r="E81" s="166">
        <f t="shared" si="9"/>
        <v>35796</v>
      </c>
      <c r="F81" s="166">
        <f t="shared" si="7"/>
        <v>0</v>
      </c>
      <c r="G81" s="166">
        <v>0</v>
      </c>
      <c r="H81" s="166">
        <v>0</v>
      </c>
      <c r="I81" s="166">
        <v>0</v>
      </c>
      <c r="J81" s="166">
        <v>0</v>
      </c>
      <c r="K81" s="166">
        <f>'[9]Обращ V и фин ПР 10'!O80</f>
        <v>0</v>
      </c>
      <c r="L81" s="166">
        <f>'[9]Обращ V и фин ПР 10'!P80</f>
        <v>0</v>
      </c>
      <c r="M81" s="166">
        <f>'[9]Обращ V и фин ПР 10'!Q80</f>
        <v>0</v>
      </c>
      <c r="N81" s="166">
        <f>'[9]Обращ V и фин ПР 10'!S80</f>
        <v>0</v>
      </c>
      <c r="O81" s="166">
        <f>'[9]Обращ V и фин ПР 10'!T80</f>
        <v>0</v>
      </c>
      <c r="P81" s="166">
        <f>'[9]Обращ V и фин ПР 10'!V80</f>
        <v>0</v>
      </c>
      <c r="Q81" s="166">
        <f>'[9]Обращ V и фин ПР 10'!W80</f>
        <v>0</v>
      </c>
      <c r="R81" s="166">
        <v>0</v>
      </c>
      <c r="S81" s="166">
        <v>0</v>
      </c>
      <c r="T81" s="166">
        <v>0</v>
      </c>
      <c r="U81" s="166">
        <v>0</v>
      </c>
      <c r="V81" s="166">
        <f>'[9]Обращ V и фин ПР 10'!Y80</f>
        <v>0</v>
      </c>
      <c r="W81" s="166">
        <f>'[9]Обращ V и фин ПР 10'!Z80</f>
        <v>0</v>
      </c>
      <c r="X81" s="167">
        <f t="shared" si="8"/>
        <v>35796</v>
      </c>
      <c r="Y81" s="166">
        <v>11205</v>
      </c>
      <c r="Z81" s="166">
        <v>0</v>
      </c>
      <c r="AA81" s="166">
        <v>0</v>
      </c>
      <c r="AB81" s="166">
        <v>0</v>
      </c>
      <c r="AC81" s="166">
        <v>0</v>
      </c>
      <c r="AD81" s="166">
        <v>0</v>
      </c>
      <c r="AE81" s="166">
        <v>0</v>
      </c>
      <c r="AF81" s="166">
        <v>0</v>
      </c>
      <c r="AG81" s="166">
        <v>24591</v>
      </c>
      <c r="AH81" s="166">
        <v>0</v>
      </c>
    </row>
    <row r="82" spans="1:34" ht="13.5" customHeight="1" x14ac:dyDescent="0.2">
      <c r="A82" s="163">
        <v>69</v>
      </c>
      <c r="B82" s="164" t="s">
        <v>118</v>
      </c>
      <c r="C82" s="172" t="s">
        <v>344</v>
      </c>
      <c r="D82" s="166">
        <f t="shared" si="6"/>
        <v>127698</v>
      </c>
      <c r="E82" s="166">
        <f t="shared" si="9"/>
        <v>127698</v>
      </c>
      <c r="F82" s="166">
        <f t="shared" si="7"/>
        <v>0</v>
      </c>
      <c r="G82" s="166">
        <v>7027</v>
      </c>
      <c r="H82" s="166">
        <v>0</v>
      </c>
      <c r="I82" s="166">
        <v>0</v>
      </c>
      <c r="J82" s="166">
        <v>0</v>
      </c>
      <c r="K82" s="166">
        <f>'[9]Обращ V и фин ПР 10'!O81</f>
        <v>0</v>
      </c>
      <c r="L82" s="166">
        <f>'[9]Обращ V и фин ПР 10'!P81</f>
        <v>0</v>
      </c>
      <c r="M82" s="166">
        <f>'[9]Обращ V и фин ПР 10'!Q81</f>
        <v>0</v>
      </c>
      <c r="N82" s="166">
        <f>'[9]Обращ V и фин ПР 10'!S81</f>
        <v>0</v>
      </c>
      <c r="O82" s="166">
        <f>'[9]Обращ V и фин ПР 10'!T81</f>
        <v>0</v>
      </c>
      <c r="P82" s="166">
        <f>'[9]Обращ V и фин ПР 10'!V81</f>
        <v>0</v>
      </c>
      <c r="Q82" s="166">
        <f>'[9]Обращ V и фин ПР 10'!W81</f>
        <v>0</v>
      </c>
      <c r="R82" s="166">
        <v>0</v>
      </c>
      <c r="S82" s="166">
        <v>0</v>
      </c>
      <c r="T82" s="166">
        <v>0</v>
      </c>
      <c r="U82" s="166">
        <v>0</v>
      </c>
      <c r="V82" s="166">
        <f>'[9]Обращ V и фин ПР 10'!Y81</f>
        <v>0</v>
      </c>
      <c r="W82" s="166">
        <f>'[9]Обращ V и фин ПР 10'!Z81</f>
        <v>0</v>
      </c>
      <c r="X82" s="167">
        <f t="shared" si="8"/>
        <v>120671</v>
      </c>
      <c r="Y82" s="166">
        <v>28622</v>
      </c>
      <c r="Z82" s="166">
        <v>0</v>
      </c>
      <c r="AA82" s="166">
        <v>0</v>
      </c>
      <c r="AB82" s="166">
        <v>0</v>
      </c>
      <c r="AC82" s="166">
        <v>0</v>
      </c>
      <c r="AD82" s="166">
        <v>0</v>
      </c>
      <c r="AE82" s="166">
        <v>0</v>
      </c>
      <c r="AF82" s="166">
        <v>0</v>
      </c>
      <c r="AG82" s="166">
        <v>92049</v>
      </c>
      <c r="AH82" s="166">
        <v>0</v>
      </c>
    </row>
    <row r="83" spans="1:34" ht="13.5" customHeight="1" x14ac:dyDescent="0.2">
      <c r="A83" s="163">
        <v>70</v>
      </c>
      <c r="B83" s="164" t="s">
        <v>119</v>
      </c>
      <c r="C83" s="172" t="s">
        <v>345</v>
      </c>
      <c r="D83" s="166">
        <f t="shared" si="6"/>
        <v>46200</v>
      </c>
      <c r="E83" s="166">
        <f t="shared" si="9"/>
        <v>46200</v>
      </c>
      <c r="F83" s="166">
        <f t="shared" si="7"/>
        <v>0</v>
      </c>
      <c r="G83" s="166">
        <v>0</v>
      </c>
      <c r="H83" s="166">
        <v>0</v>
      </c>
      <c r="I83" s="166">
        <v>0</v>
      </c>
      <c r="J83" s="166">
        <v>0</v>
      </c>
      <c r="K83" s="166">
        <f>'[9]Обращ V и фин ПР 10'!O82</f>
        <v>0</v>
      </c>
      <c r="L83" s="166">
        <f>'[9]Обращ V и фин ПР 10'!P82</f>
        <v>0</v>
      </c>
      <c r="M83" s="166">
        <f>'[9]Обращ V и фин ПР 10'!Q82</f>
        <v>0</v>
      </c>
      <c r="N83" s="166">
        <f>'[9]Обращ V и фин ПР 10'!S82</f>
        <v>0</v>
      </c>
      <c r="O83" s="166">
        <f>'[9]Обращ V и фин ПР 10'!T82</f>
        <v>0</v>
      </c>
      <c r="P83" s="166">
        <f>'[9]Обращ V и фин ПР 10'!V82</f>
        <v>0</v>
      </c>
      <c r="Q83" s="166">
        <f>'[9]Обращ V и фин ПР 10'!W82</f>
        <v>0</v>
      </c>
      <c r="R83" s="166">
        <v>0</v>
      </c>
      <c r="S83" s="166">
        <v>0</v>
      </c>
      <c r="T83" s="166">
        <v>0</v>
      </c>
      <c r="U83" s="166">
        <v>0</v>
      </c>
      <c r="V83" s="166">
        <f>'[9]Обращ V и фин ПР 10'!Y82</f>
        <v>0</v>
      </c>
      <c r="W83" s="166">
        <f>'[9]Обращ V и фин ПР 10'!Z82</f>
        <v>0</v>
      </c>
      <c r="X83" s="167">
        <f t="shared" si="8"/>
        <v>46200</v>
      </c>
      <c r="Y83" s="166">
        <v>12727</v>
      </c>
      <c r="Z83" s="166">
        <v>0</v>
      </c>
      <c r="AA83" s="166">
        <v>0</v>
      </c>
      <c r="AB83" s="166">
        <v>0</v>
      </c>
      <c r="AC83" s="166">
        <v>0</v>
      </c>
      <c r="AD83" s="166">
        <v>0</v>
      </c>
      <c r="AE83" s="166">
        <v>0</v>
      </c>
      <c r="AF83" s="166">
        <v>0</v>
      </c>
      <c r="AG83" s="166">
        <v>33473</v>
      </c>
      <c r="AH83" s="166">
        <v>0</v>
      </c>
    </row>
    <row r="84" spans="1:34" ht="13.5" customHeight="1" x14ac:dyDescent="0.2">
      <c r="A84" s="163">
        <v>71</v>
      </c>
      <c r="B84" s="164" t="s">
        <v>121</v>
      </c>
      <c r="C84" s="172" t="s">
        <v>346</v>
      </c>
      <c r="D84" s="166">
        <f t="shared" si="6"/>
        <v>46456</v>
      </c>
      <c r="E84" s="166">
        <f t="shared" si="9"/>
        <v>46456</v>
      </c>
      <c r="F84" s="166">
        <f t="shared" si="7"/>
        <v>0</v>
      </c>
      <c r="G84" s="166">
        <v>0</v>
      </c>
      <c r="H84" s="166">
        <v>0</v>
      </c>
      <c r="I84" s="166">
        <v>0</v>
      </c>
      <c r="J84" s="166">
        <v>0</v>
      </c>
      <c r="K84" s="166">
        <f>'[9]Обращ V и фин ПР 10'!O83</f>
        <v>0</v>
      </c>
      <c r="L84" s="166">
        <f>'[9]Обращ V и фин ПР 10'!P83</f>
        <v>0</v>
      </c>
      <c r="M84" s="166">
        <f>'[9]Обращ V и фин ПР 10'!Q83</f>
        <v>0</v>
      </c>
      <c r="N84" s="166">
        <f>'[9]Обращ V и фин ПР 10'!S83</f>
        <v>0</v>
      </c>
      <c r="O84" s="166">
        <f>'[9]Обращ V и фин ПР 10'!T83</f>
        <v>0</v>
      </c>
      <c r="P84" s="166">
        <f>'[9]Обращ V и фин ПР 10'!V83</f>
        <v>0</v>
      </c>
      <c r="Q84" s="166">
        <f>'[9]Обращ V и фин ПР 10'!W83</f>
        <v>0</v>
      </c>
      <c r="R84" s="166">
        <v>0</v>
      </c>
      <c r="S84" s="166">
        <v>0</v>
      </c>
      <c r="T84" s="166">
        <v>0</v>
      </c>
      <c r="U84" s="166">
        <v>0</v>
      </c>
      <c r="V84" s="166">
        <f>'[9]Обращ V и фин ПР 10'!Y83</f>
        <v>0</v>
      </c>
      <c r="W84" s="166">
        <f>'[9]Обращ V и фин ПР 10'!Z83</f>
        <v>0</v>
      </c>
      <c r="X84" s="167">
        <f t="shared" si="8"/>
        <v>46456</v>
      </c>
      <c r="Y84" s="166">
        <v>18202</v>
      </c>
      <c r="Z84" s="166">
        <v>0</v>
      </c>
      <c r="AA84" s="166">
        <v>0</v>
      </c>
      <c r="AB84" s="166">
        <v>0</v>
      </c>
      <c r="AC84" s="166">
        <v>0</v>
      </c>
      <c r="AD84" s="166">
        <v>0</v>
      </c>
      <c r="AE84" s="166">
        <v>0</v>
      </c>
      <c r="AF84" s="166">
        <v>0</v>
      </c>
      <c r="AG84" s="166">
        <v>28254</v>
      </c>
      <c r="AH84" s="166">
        <v>0</v>
      </c>
    </row>
    <row r="85" spans="1:34" ht="13.5" customHeight="1" x14ac:dyDescent="0.2">
      <c r="A85" s="163">
        <v>72</v>
      </c>
      <c r="B85" s="164" t="s">
        <v>347</v>
      </c>
      <c r="C85" s="172" t="s">
        <v>348</v>
      </c>
      <c r="D85" s="166">
        <f t="shared" si="6"/>
        <v>18553</v>
      </c>
      <c r="E85" s="166">
        <f t="shared" si="9"/>
        <v>18553</v>
      </c>
      <c r="F85" s="166">
        <f t="shared" si="7"/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f>'[9]Обращ V и фин ПР 10'!O84</f>
        <v>0</v>
      </c>
      <c r="L85" s="166">
        <f>'[9]Обращ V и фин ПР 10'!P84</f>
        <v>0</v>
      </c>
      <c r="M85" s="166">
        <f>'[9]Обращ V и фин ПР 10'!Q84</f>
        <v>0</v>
      </c>
      <c r="N85" s="166">
        <f>'[9]Обращ V и фин ПР 10'!S84</f>
        <v>0</v>
      </c>
      <c r="O85" s="166">
        <f>'[9]Обращ V и фин ПР 10'!T84</f>
        <v>0</v>
      </c>
      <c r="P85" s="166">
        <f>'[9]Обращ V и фин ПР 10'!V84</f>
        <v>18553</v>
      </c>
      <c r="Q85" s="166">
        <f>'[9]Обращ V и фин ПР 10'!W84</f>
        <v>0</v>
      </c>
      <c r="R85" s="166">
        <v>8318</v>
      </c>
      <c r="S85" s="166">
        <v>0</v>
      </c>
      <c r="T85" s="166">
        <v>959</v>
      </c>
      <c r="U85" s="166">
        <v>0</v>
      </c>
      <c r="V85" s="166">
        <f>'[9]Обращ V и фин ПР 10'!Y84</f>
        <v>0</v>
      </c>
      <c r="W85" s="166">
        <f>'[9]Обращ V и фин ПР 10'!Z84</f>
        <v>0</v>
      </c>
      <c r="X85" s="167">
        <f t="shared" si="8"/>
        <v>0</v>
      </c>
      <c r="Y85" s="166">
        <v>0</v>
      </c>
      <c r="Z85" s="166">
        <v>0</v>
      </c>
      <c r="AA85" s="166">
        <v>0</v>
      </c>
      <c r="AB85" s="166">
        <v>0</v>
      </c>
      <c r="AC85" s="166">
        <v>0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</row>
    <row r="86" spans="1:34" ht="13.5" customHeight="1" x14ac:dyDescent="0.2">
      <c r="A86" s="163">
        <v>73</v>
      </c>
      <c r="B86" s="164" t="s">
        <v>349</v>
      </c>
      <c r="C86" s="172" t="s">
        <v>350</v>
      </c>
      <c r="D86" s="166">
        <f t="shared" si="6"/>
        <v>21147</v>
      </c>
      <c r="E86" s="166">
        <f t="shared" si="9"/>
        <v>21147</v>
      </c>
      <c r="F86" s="166">
        <f t="shared" si="7"/>
        <v>0</v>
      </c>
      <c r="G86" s="166">
        <v>0</v>
      </c>
      <c r="H86" s="166">
        <v>0</v>
      </c>
      <c r="I86" s="166">
        <v>0</v>
      </c>
      <c r="J86" s="166">
        <v>0</v>
      </c>
      <c r="K86" s="166">
        <f>'[9]Обращ V и фин ПР 10'!O85</f>
        <v>0</v>
      </c>
      <c r="L86" s="166">
        <f>'[9]Обращ V и фин ПР 10'!P85</f>
        <v>0</v>
      </c>
      <c r="M86" s="166">
        <f>'[9]Обращ V и фин ПР 10'!Q85</f>
        <v>0</v>
      </c>
      <c r="N86" s="166">
        <f>'[9]Обращ V и фин ПР 10'!S85</f>
        <v>0</v>
      </c>
      <c r="O86" s="166">
        <f>'[9]Обращ V и фин ПР 10'!T85</f>
        <v>0</v>
      </c>
      <c r="P86" s="166">
        <f>'[9]Обращ V и фин ПР 10'!V85</f>
        <v>21147</v>
      </c>
      <c r="Q86" s="166">
        <f>'[9]Обращ V и фин ПР 10'!W85</f>
        <v>0</v>
      </c>
      <c r="R86" s="175">
        <f>10426</f>
        <v>10426</v>
      </c>
      <c r="S86" s="166">
        <v>0</v>
      </c>
      <c r="T86" s="166">
        <v>148</v>
      </c>
      <c r="U86" s="166">
        <v>0</v>
      </c>
      <c r="V86" s="166">
        <f>'[9]Обращ V и фин ПР 10'!Y85</f>
        <v>0</v>
      </c>
      <c r="W86" s="166">
        <f>'[9]Обращ V и фин ПР 10'!Z85</f>
        <v>0</v>
      </c>
      <c r="X86" s="167">
        <f t="shared" si="8"/>
        <v>0</v>
      </c>
      <c r="Y86" s="166">
        <v>0</v>
      </c>
      <c r="Z86" s="166">
        <v>0</v>
      </c>
      <c r="AA86" s="166">
        <v>0</v>
      </c>
      <c r="AB86" s="166">
        <v>0</v>
      </c>
      <c r="AC86" s="166">
        <v>0</v>
      </c>
      <c r="AD86" s="166">
        <v>0</v>
      </c>
      <c r="AE86" s="166">
        <v>0</v>
      </c>
      <c r="AF86" s="166">
        <v>0</v>
      </c>
      <c r="AG86" s="166">
        <v>0</v>
      </c>
      <c r="AH86" s="166">
        <v>0</v>
      </c>
    </row>
    <row r="87" spans="1:34" ht="13.5" customHeight="1" x14ac:dyDescent="0.2">
      <c r="A87" s="163">
        <v>74</v>
      </c>
      <c r="B87" s="164" t="s">
        <v>351</v>
      </c>
      <c r="C87" s="172" t="s">
        <v>352</v>
      </c>
      <c r="D87" s="166">
        <f t="shared" si="6"/>
        <v>25161</v>
      </c>
      <c r="E87" s="166">
        <f t="shared" si="9"/>
        <v>25161</v>
      </c>
      <c r="F87" s="166">
        <f t="shared" si="7"/>
        <v>0</v>
      </c>
      <c r="G87" s="166">
        <v>0</v>
      </c>
      <c r="H87" s="166">
        <v>0</v>
      </c>
      <c r="I87" s="166">
        <v>0</v>
      </c>
      <c r="J87" s="166">
        <v>0</v>
      </c>
      <c r="K87" s="166">
        <f>'[9]Обращ V и фин ПР 10'!O86</f>
        <v>0</v>
      </c>
      <c r="L87" s="166">
        <f>'[9]Обращ V и фин ПР 10'!P86</f>
        <v>0</v>
      </c>
      <c r="M87" s="166">
        <f>'[9]Обращ V и фин ПР 10'!Q86</f>
        <v>0</v>
      </c>
      <c r="N87" s="166">
        <f>'[9]Обращ V и фин ПР 10'!S86</f>
        <v>0</v>
      </c>
      <c r="O87" s="166">
        <f>'[9]Обращ V и фин ПР 10'!T86</f>
        <v>0</v>
      </c>
      <c r="P87" s="166">
        <f>'[9]Обращ V и фин ПР 10'!V86</f>
        <v>25161</v>
      </c>
      <c r="Q87" s="166">
        <f>'[9]Обращ V и фин ПР 10'!W86</f>
        <v>0</v>
      </c>
      <c r="R87" s="166">
        <v>12322</v>
      </c>
      <c r="S87" s="166">
        <v>0</v>
      </c>
      <c r="T87" s="166">
        <v>257</v>
      </c>
      <c r="U87" s="166">
        <v>0</v>
      </c>
      <c r="V87" s="166">
        <f>'[9]Обращ V и фин ПР 10'!Y86</f>
        <v>0</v>
      </c>
      <c r="W87" s="166">
        <f>'[9]Обращ V и фин ПР 10'!Z86</f>
        <v>0</v>
      </c>
      <c r="X87" s="167">
        <f t="shared" si="8"/>
        <v>0</v>
      </c>
      <c r="Y87" s="166">
        <v>0</v>
      </c>
      <c r="Z87" s="166">
        <v>0</v>
      </c>
      <c r="AA87" s="166">
        <v>0</v>
      </c>
      <c r="AB87" s="166">
        <v>0</v>
      </c>
      <c r="AC87" s="166">
        <v>0</v>
      </c>
      <c r="AD87" s="166">
        <v>0</v>
      </c>
      <c r="AE87" s="166">
        <v>0</v>
      </c>
      <c r="AF87" s="166">
        <v>0</v>
      </c>
      <c r="AG87" s="166">
        <v>0</v>
      </c>
      <c r="AH87" s="166">
        <v>0</v>
      </c>
    </row>
    <row r="88" spans="1:34" ht="13.5" customHeight="1" x14ac:dyDescent="0.2">
      <c r="A88" s="163">
        <v>75</v>
      </c>
      <c r="B88" s="164" t="s">
        <v>353</v>
      </c>
      <c r="C88" s="172" t="s">
        <v>354</v>
      </c>
      <c r="D88" s="166">
        <f t="shared" si="6"/>
        <v>20670</v>
      </c>
      <c r="E88" s="166">
        <f t="shared" si="9"/>
        <v>20670</v>
      </c>
      <c r="F88" s="166">
        <f t="shared" si="7"/>
        <v>0</v>
      </c>
      <c r="G88" s="166">
        <v>0</v>
      </c>
      <c r="H88" s="166">
        <v>0</v>
      </c>
      <c r="I88" s="166">
        <v>0</v>
      </c>
      <c r="J88" s="166">
        <v>0</v>
      </c>
      <c r="K88" s="166">
        <f>'[9]Обращ V и фин ПР 10'!O87</f>
        <v>0</v>
      </c>
      <c r="L88" s="166">
        <f>'[9]Обращ V и фин ПР 10'!P87</f>
        <v>0</v>
      </c>
      <c r="M88" s="166">
        <f>'[9]Обращ V и фин ПР 10'!Q87</f>
        <v>0</v>
      </c>
      <c r="N88" s="166">
        <f>'[9]Обращ V и фин ПР 10'!S87</f>
        <v>0</v>
      </c>
      <c r="O88" s="166">
        <f>'[9]Обращ V и фин ПР 10'!T87</f>
        <v>0</v>
      </c>
      <c r="P88" s="166">
        <f>'[9]Обращ V и фин ПР 10'!V87</f>
        <v>20670</v>
      </c>
      <c r="Q88" s="166">
        <f>'[9]Обращ V и фин ПР 10'!W87</f>
        <v>0</v>
      </c>
      <c r="R88" s="166">
        <v>10083</v>
      </c>
      <c r="S88" s="166">
        <v>0</v>
      </c>
      <c r="T88" s="166">
        <v>252</v>
      </c>
      <c r="U88" s="166">
        <v>0</v>
      </c>
      <c r="V88" s="166">
        <f>'[9]Обращ V и фин ПР 10'!Y87</f>
        <v>0</v>
      </c>
      <c r="W88" s="166">
        <f>'[9]Обращ V и фин ПР 10'!Z87</f>
        <v>0</v>
      </c>
      <c r="X88" s="167">
        <f t="shared" si="8"/>
        <v>0</v>
      </c>
      <c r="Y88" s="166">
        <v>0</v>
      </c>
      <c r="Z88" s="166">
        <v>0</v>
      </c>
      <c r="AA88" s="166">
        <v>0</v>
      </c>
      <c r="AB88" s="166">
        <v>0</v>
      </c>
      <c r="AC88" s="166">
        <v>0</v>
      </c>
      <c r="AD88" s="166">
        <v>0</v>
      </c>
      <c r="AE88" s="166">
        <v>0</v>
      </c>
      <c r="AF88" s="166">
        <v>0</v>
      </c>
      <c r="AG88" s="166">
        <v>0</v>
      </c>
      <c r="AH88" s="166">
        <v>0</v>
      </c>
    </row>
    <row r="89" spans="1:34" ht="13.5" customHeight="1" x14ac:dyDescent="0.2">
      <c r="A89" s="163">
        <v>76</v>
      </c>
      <c r="B89" s="164" t="s">
        <v>355</v>
      </c>
      <c r="C89" s="172" t="s">
        <v>356</v>
      </c>
      <c r="D89" s="166">
        <f t="shared" si="6"/>
        <v>29480</v>
      </c>
      <c r="E89" s="166">
        <f t="shared" si="9"/>
        <v>15830</v>
      </c>
      <c r="F89" s="166">
        <f t="shared" si="7"/>
        <v>13650</v>
      </c>
      <c r="G89" s="166">
        <v>0</v>
      </c>
      <c r="H89" s="166">
        <v>0</v>
      </c>
      <c r="I89" s="166">
        <v>0</v>
      </c>
      <c r="J89" s="166">
        <v>0</v>
      </c>
      <c r="K89" s="166">
        <f>'[9]Обращ V и фин ПР 10'!O88</f>
        <v>0</v>
      </c>
      <c r="L89" s="166">
        <f>'[9]Обращ V и фин ПР 10'!P88</f>
        <v>0</v>
      </c>
      <c r="M89" s="166">
        <f>'[9]Обращ V и фин ПР 10'!Q88</f>
        <v>0</v>
      </c>
      <c r="N89" s="166">
        <f>'[9]Обращ V и фин ПР 10'!S88</f>
        <v>0</v>
      </c>
      <c r="O89" s="166">
        <f>'[9]Обращ V и фин ПР 10'!T88</f>
        <v>0</v>
      </c>
      <c r="P89" s="166">
        <f>'[9]Обращ V и фин ПР 10'!V88</f>
        <v>15830</v>
      </c>
      <c r="Q89" s="166">
        <f>'[9]Обращ V и фин ПР 10'!W88</f>
        <v>13650</v>
      </c>
      <c r="R89" s="175">
        <f>6421</f>
        <v>6421</v>
      </c>
      <c r="S89" s="166">
        <v>5537</v>
      </c>
      <c r="T89" s="166">
        <v>1494</v>
      </c>
      <c r="U89" s="166">
        <v>1288</v>
      </c>
      <c r="V89" s="166">
        <f>'[9]Обращ V и фин ПР 10'!Y88</f>
        <v>0</v>
      </c>
      <c r="W89" s="166">
        <f>'[9]Обращ V и фин ПР 10'!Z88</f>
        <v>0</v>
      </c>
      <c r="X89" s="167">
        <f t="shared" si="8"/>
        <v>0</v>
      </c>
      <c r="Y89" s="166">
        <v>0</v>
      </c>
      <c r="Z89" s="166">
        <v>0</v>
      </c>
      <c r="AA89" s="166">
        <v>0</v>
      </c>
      <c r="AB89" s="166">
        <v>0</v>
      </c>
      <c r="AC89" s="166">
        <v>0</v>
      </c>
      <c r="AD89" s="166">
        <v>0</v>
      </c>
      <c r="AE89" s="166">
        <v>0</v>
      </c>
      <c r="AF89" s="166">
        <v>0</v>
      </c>
      <c r="AG89" s="166">
        <v>0</v>
      </c>
      <c r="AH89" s="166">
        <v>0</v>
      </c>
    </row>
    <row r="90" spans="1:34" ht="13.5" customHeight="1" x14ac:dyDescent="0.2">
      <c r="A90" s="163">
        <v>77</v>
      </c>
      <c r="B90" s="164" t="s">
        <v>357</v>
      </c>
      <c r="C90" s="170" t="s">
        <v>358</v>
      </c>
      <c r="D90" s="166">
        <f t="shared" si="6"/>
        <v>18938</v>
      </c>
      <c r="E90" s="166">
        <f t="shared" si="9"/>
        <v>18938</v>
      </c>
      <c r="F90" s="166">
        <f t="shared" si="7"/>
        <v>0</v>
      </c>
      <c r="G90" s="166">
        <v>0</v>
      </c>
      <c r="H90" s="166">
        <v>0</v>
      </c>
      <c r="I90" s="166">
        <v>0</v>
      </c>
      <c r="J90" s="166">
        <v>0</v>
      </c>
      <c r="K90" s="166">
        <f>'[9]Обращ V и фин ПР 10'!O89</f>
        <v>0</v>
      </c>
      <c r="L90" s="166">
        <f>'[9]Обращ V и фин ПР 10'!P89</f>
        <v>0</v>
      </c>
      <c r="M90" s="166">
        <f>'[9]Обращ V и фин ПР 10'!Q89</f>
        <v>0</v>
      </c>
      <c r="N90" s="166">
        <f>'[9]Обращ V и фин ПР 10'!S89</f>
        <v>0</v>
      </c>
      <c r="O90" s="166">
        <f>'[9]Обращ V и фин ПР 10'!T89</f>
        <v>0</v>
      </c>
      <c r="P90" s="166">
        <f>'[9]Обращ V и фин ПР 10'!V89</f>
        <v>18938</v>
      </c>
      <c r="Q90" s="166">
        <f>'[9]Обращ V и фин ПР 10'!W89</f>
        <v>0</v>
      </c>
      <c r="R90" s="166">
        <v>9049</v>
      </c>
      <c r="S90" s="166">
        <v>0</v>
      </c>
      <c r="T90" s="166">
        <v>420</v>
      </c>
      <c r="U90" s="166">
        <v>0</v>
      </c>
      <c r="V90" s="166">
        <f>'[9]Обращ V и фин ПР 10'!Y89</f>
        <v>0</v>
      </c>
      <c r="W90" s="166">
        <f>'[9]Обращ V и фин ПР 10'!Z89</f>
        <v>0</v>
      </c>
      <c r="X90" s="167">
        <f t="shared" si="8"/>
        <v>0</v>
      </c>
      <c r="Y90" s="166">
        <v>0</v>
      </c>
      <c r="Z90" s="166">
        <v>0</v>
      </c>
      <c r="AA90" s="166">
        <v>0</v>
      </c>
      <c r="AB90" s="166">
        <v>0</v>
      </c>
      <c r="AC90" s="166">
        <v>0</v>
      </c>
      <c r="AD90" s="166">
        <v>0</v>
      </c>
      <c r="AE90" s="166">
        <v>0</v>
      </c>
      <c r="AF90" s="166">
        <v>0</v>
      </c>
      <c r="AG90" s="166">
        <v>0</v>
      </c>
      <c r="AH90" s="166">
        <v>0</v>
      </c>
    </row>
    <row r="91" spans="1:34" ht="13.5" customHeight="1" x14ac:dyDescent="0.2">
      <c r="A91" s="163">
        <v>78</v>
      </c>
      <c r="B91" s="164" t="s">
        <v>359</v>
      </c>
      <c r="C91" s="165" t="s">
        <v>360</v>
      </c>
      <c r="D91" s="166">
        <f t="shared" si="6"/>
        <v>15556</v>
      </c>
      <c r="E91" s="166">
        <f t="shared" si="9"/>
        <v>15556</v>
      </c>
      <c r="F91" s="166">
        <f t="shared" si="7"/>
        <v>0</v>
      </c>
      <c r="G91" s="166">
        <v>0</v>
      </c>
      <c r="H91" s="166">
        <v>0</v>
      </c>
      <c r="I91" s="166">
        <v>0</v>
      </c>
      <c r="J91" s="166">
        <v>0</v>
      </c>
      <c r="K91" s="166">
        <f>'[9]Обращ V и фин ПР 10'!O90</f>
        <v>0</v>
      </c>
      <c r="L91" s="166">
        <f>'[9]Обращ V и фин ПР 10'!P90</f>
        <v>0</v>
      </c>
      <c r="M91" s="166">
        <f>'[9]Обращ V и фин ПР 10'!Q90</f>
        <v>0</v>
      </c>
      <c r="N91" s="166">
        <f>'[9]Обращ V и фин ПР 10'!S90</f>
        <v>0</v>
      </c>
      <c r="O91" s="166">
        <f>'[9]Обращ V и фин ПР 10'!T90</f>
        <v>0</v>
      </c>
      <c r="P91" s="166">
        <f>'[9]Обращ V и фин ПР 10'!V90</f>
        <v>15556</v>
      </c>
      <c r="Q91" s="166">
        <f>'[9]Обращ V и фин ПР 10'!W90</f>
        <v>0</v>
      </c>
      <c r="R91" s="175">
        <f>7527</f>
        <v>7527</v>
      </c>
      <c r="S91" s="166">
        <v>0</v>
      </c>
      <c r="T91" s="166">
        <v>251</v>
      </c>
      <c r="U91" s="166">
        <v>0</v>
      </c>
      <c r="V91" s="166">
        <f>'[9]Обращ V и фин ПР 10'!Y90</f>
        <v>0</v>
      </c>
      <c r="W91" s="166">
        <f>'[9]Обращ V и фин ПР 10'!Z90</f>
        <v>0</v>
      </c>
      <c r="X91" s="167">
        <f t="shared" si="8"/>
        <v>0</v>
      </c>
      <c r="Y91" s="166">
        <v>0</v>
      </c>
      <c r="Z91" s="166">
        <v>0</v>
      </c>
      <c r="AA91" s="166">
        <v>0</v>
      </c>
      <c r="AB91" s="166">
        <v>0</v>
      </c>
      <c r="AC91" s="166">
        <v>0</v>
      </c>
      <c r="AD91" s="166">
        <v>0</v>
      </c>
      <c r="AE91" s="166">
        <v>0</v>
      </c>
      <c r="AF91" s="166">
        <v>0</v>
      </c>
      <c r="AG91" s="166">
        <v>0</v>
      </c>
      <c r="AH91" s="166">
        <v>0</v>
      </c>
    </row>
    <row r="92" spans="1:34" ht="28.5" customHeight="1" x14ac:dyDescent="0.2">
      <c r="A92" s="163">
        <v>79</v>
      </c>
      <c r="B92" s="164" t="s">
        <v>123</v>
      </c>
      <c r="C92" s="165" t="s">
        <v>124</v>
      </c>
      <c r="D92" s="166">
        <f t="shared" si="6"/>
        <v>119794</v>
      </c>
      <c r="E92" s="166">
        <f t="shared" si="9"/>
        <v>91224</v>
      </c>
      <c r="F92" s="166">
        <f t="shared" si="7"/>
        <v>28570</v>
      </c>
      <c r="G92" s="166">
        <v>0</v>
      </c>
      <c r="H92" s="166">
        <v>0</v>
      </c>
      <c r="I92" s="166">
        <v>0</v>
      </c>
      <c r="J92" s="166">
        <v>0</v>
      </c>
      <c r="K92" s="166">
        <f>'[9]Обращ V и фин ПР 10'!O91</f>
        <v>0</v>
      </c>
      <c r="L92" s="166">
        <f>'[9]Обращ V и фин ПР 10'!P91</f>
        <v>0</v>
      </c>
      <c r="M92" s="166">
        <f>'[9]Обращ V и фин ПР 10'!Q91</f>
        <v>0</v>
      </c>
      <c r="N92" s="166">
        <f>'[9]Обращ V и фин ПР 10'!S91</f>
        <v>0</v>
      </c>
      <c r="O92" s="166">
        <f>'[9]Обращ V и фин ПР 10'!T91</f>
        <v>0</v>
      </c>
      <c r="P92" s="166">
        <f>'[9]Обращ V и фин ПР 10'!V91</f>
        <v>0</v>
      </c>
      <c r="Q92" s="166">
        <f>'[9]Обращ V и фин ПР 10'!W91</f>
        <v>0</v>
      </c>
      <c r="R92" s="166">
        <v>0</v>
      </c>
      <c r="S92" s="166">
        <v>0</v>
      </c>
      <c r="T92" s="166">
        <v>0</v>
      </c>
      <c r="U92" s="166">
        <v>0</v>
      </c>
      <c r="V92" s="166">
        <f>'[9]Обращ V и фин ПР 10'!Y91</f>
        <v>1999</v>
      </c>
      <c r="W92" s="166">
        <f>'[9]Обращ V и фин ПР 10'!Z91</f>
        <v>0</v>
      </c>
      <c r="X92" s="167">
        <f t="shared" si="8"/>
        <v>117795</v>
      </c>
      <c r="Y92" s="166">
        <v>18721</v>
      </c>
      <c r="Z92" s="166">
        <v>420</v>
      </c>
      <c r="AA92" s="166">
        <v>4260</v>
      </c>
      <c r="AB92" s="166">
        <v>2500</v>
      </c>
      <c r="AC92" s="166">
        <v>1420</v>
      </c>
      <c r="AD92" s="166">
        <v>833</v>
      </c>
      <c r="AE92" s="166">
        <v>710</v>
      </c>
      <c r="AF92" s="166">
        <v>417</v>
      </c>
      <c r="AG92" s="166">
        <v>66244</v>
      </c>
      <c r="AH92" s="166">
        <v>25650</v>
      </c>
    </row>
    <row r="93" spans="1:34" s="178" customFormat="1" ht="13.5" customHeight="1" x14ac:dyDescent="0.25">
      <c r="A93" s="163">
        <v>80</v>
      </c>
      <c r="B93" s="164" t="s">
        <v>125</v>
      </c>
      <c r="C93" s="165" t="s">
        <v>361</v>
      </c>
      <c r="D93" s="166">
        <f t="shared" si="6"/>
        <v>79661</v>
      </c>
      <c r="E93" s="166">
        <f t="shared" si="9"/>
        <v>79661</v>
      </c>
      <c r="F93" s="166">
        <f t="shared" si="7"/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f>'[9]Обращ V и фин ПР 10'!O92</f>
        <v>0</v>
      </c>
      <c r="L93" s="166">
        <f>'[9]Обращ V и фин ПР 10'!P92</f>
        <v>0</v>
      </c>
      <c r="M93" s="166">
        <f>'[9]Обращ V и фин ПР 10'!Q92</f>
        <v>0</v>
      </c>
      <c r="N93" s="166">
        <f>'[9]Обращ V и фин ПР 10'!S92</f>
        <v>0</v>
      </c>
      <c r="O93" s="166">
        <f>'[9]Обращ V и фин ПР 10'!T92</f>
        <v>0</v>
      </c>
      <c r="P93" s="166">
        <f>'[9]Обращ V и фин ПР 10'!V92</f>
        <v>0</v>
      </c>
      <c r="Q93" s="166">
        <f>'[9]Обращ V и фин ПР 10'!W92</f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f>'[9]Обращ V и фин ПР 10'!Y92</f>
        <v>5285</v>
      </c>
      <c r="W93" s="166">
        <f>'[9]Обращ V и фин ПР 10'!Z92</f>
        <v>0</v>
      </c>
      <c r="X93" s="167">
        <f t="shared" si="8"/>
        <v>74376</v>
      </c>
      <c r="Y93" s="166">
        <v>24603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49773</v>
      </c>
      <c r="AH93" s="166">
        <v>0</v>
      </c>
    </row>
    <row r="94" spans="1:34" ht="13.5" customHeight="1" x14ac:dyDescent="0.2">
      <c r="A94" s="163">
        <v>81</v>
      </c>
      <c r="B94" s="164" t="s">
        <v>126</v>
      </c>
      <c r="C94" s="165" t="s">
        <v>362</v>
      </c>
      <c r="D94" s="166">
        <f t="shared" si="6"/>
        <v>65527</v>
      </c>
      <c r="E94" s="166">
        <f t="shared" si="9"/>
        <v>65527</v>
      </c>
      <c r="F94" s="166">
        <f t="shared" si="7"/>
        <v>0</v>
      </c>
      <c r="G94" s="166">
        <v>0</v>
      </c>
      <c r="H94" s="166">
        <v>0</v>
      </c>
      <c r="I94" s="166">
        <v>0</v>
      </c>
      <c r="J94" s="166">
        <v>0</v>
      </c>
      <c r="K94" s="166">
        <f>'[9]Обращ V и фин ПР 10'!O93</f>
        <v>0</v>
      </c>
      <c r="L94" s="166">
        <f>'[9]Обращ V и фин ПР 10'!P93</f>
        <v>0</v>
      </c>
      <c r="M94" s="166">
        <f>'[9]Обращ V и фин ПР 10'!Q93</f>
        <v>0</v>
      </c>
      <c r="N94" s="166">
        <f>'[9]Обращ V и фин ПР 10'!S93</f>
        <v>0</v>
      </c>
      <c r="O94" s="166">
        <f>'[9]Обращ V и фин ПР 10'!T93</f>
        <v>0</v>
      </c>
      <c r="P94" s="166">
        <f>'[9]Обращ V и фин ПР 10'!V93</f>
        <v>0</v>
      </c>
      <c r="Q94" s="166">
        <f>'[9]Обращ V и фин ПР 10'!W93</f>
        <v>0</v>
      </c>
      <c r="R94" s="166">
        <v>0</v>
      </c>
      <c r="S94" s="166">
        <v>0</v>
      </c>
      <c r="T94" s="166">
        <v>0</v>
      </c>
      <c r="U94" s="166">
        <v>0</v>
      </c>
      <c r="V94" s="166">
        <f>'[9]Обращ V и фин ПР 10'!Y93</f>
        <v>0</v>
      </c>
      <c r="W94" s="166">
        <f>'[9]Обращ V и фин ПР 10'!Z93</f>
        <v>0</v>
      </c>
      <c r="X94" s="167">
        <f t="shared" si="8"/>
        <v>65527</v>
      </c>
      <c r="Y94" s="166">
        <v>9712</v>
      </c>
      <c r="Z94" s="166">
        <v>0</v>
      </c>
      <c r="AA94" s="166">
        <v>3200</v>
      </c>
      <c r="AB94" s="166">
        <v>0</v>
      </c>
      <c r="AC94" s="166">
        <v>640</v>
      </c>
      <c r="AD94" s="166">
        <v>0</v>
      </c>
      <c r="AE94" s="166">
        <v>960</v>
      </c>
      <c r="AF94" s="166">
        <v>0</v>
      </c>
      <c r="AG94" s="166">
        <v>52615</v>
      </c>
      <c r="AH94" s="166">
        <v>0</v>
      </c>
    </row>
    <row r="95" spans="1:34" ht="13.5" customHeight="1" x14ac:dyDescent="0.2">
      <c r="A95" s="163">
        <v>82</v>
      </c>
      <c r="B95" s="164" t="s">
        <v>128</v>
      </c>
      <c r="C95" s="165" t="s">
        <v>363</v>
      </c>
      <c r="D95" s="166">
        <f t="shared" si="6"/>
        <v>40043</v>
      </c>
      <c r="E95" s="166">
        <f t="shared" si="9"/>
        <v>40043</v>
      </c>
      <c r="F95" s="166">
        <f t="shared" si="7"/>
        <v>0</v>
      </c>
      <c r="G95" s="166">
        <v>0</v>
      </c>
      <c r="H95" s="166">
        <v>0</v>
      </c>
      <c r="I95" s="166">
        <v>0</v>
      </c>
      <c r="J95" s="166">
        <v>0</v>
      </c>
      <c r="K95" s="166">
        <f>'[9]Обращ V и фин ПР 10'!O94</f>
        <v>0</v>
      </c>
      <c r="L95" s="166">
        <f>'[9]Обращ V и фин ПР 10'!P94</f>
        <v>0</v>
      </c>
      <c r="M95" s="166">
        <f>'[9]Обращ V и фин ПР 10'!Q94</f>
        <v>0</v>
      </c>
      <c r="N95" s="166">
        <f>'[9]Обращ V и фин ПР 10'!S94</f>
        <v>0</v>
      </c>
      <c r="O95" s="166">
        <f>'[9]Обращ V и фин ПР 10'!T94</f>
        <v>0</v>
      </c>
      <c r="P95" s="166">
        <f>'[9]Обращ V и фин ПР 10'!V94</f>
        <v>0</v>
      </c>
      <c r="Q95" s="166">
        <f>'[9]Обращ V и фин ПР 10'!W94</f>
        <v>0</v>
      </c>
      <c r="R95" s="166">
        <v>0</v>
      </c>
      <c r="S95" s="166">
        <v>0</v>
      </c>
      <c r="T95" s="166">
        <v>0</v>
      </c>
      <c r="U95" s="166">
        <v>0</v>
      </c>
      <c r="V95" s="166">
        <f>'[9]Обращ V и фин ПР 10'!Y94</f>
        <v>0</v>
      </c>
      <c r="W95" s="166">
        <f>'[9]Обращ V и фин ПР 10'!Z94</f>
        <v>0</v>
      </c>
      <c r="X95" s="167">
        <f t="shared" si="8"/>
        <v>40043</v>
      </c>
      <c r="Y95" s="166">
        <v>9415</v>
      </c>
      <c r="Z95" s="166">
        <v>0</v>
      </c>
      <c r="AA95" s="166">
        <v>1681</v>
      </c>
      <c r="AB95" s="166">
        <v>0</v>
      </c>
      <c r="AC95" s="166">
        <v>281</v>
      </c>
      <c r="AD95" s="166">
        <v>0</v>
      </c>
      <c r="AE95" s="166">
        <v>560</v>
      </c>
      <c r="AF95" s="166">
        <v>0</v>
      </c>
      <c r="AG95" s="166">
        <v>28947</v>
      </c>
      <c r="AH95" s="166">
        <v>0</v>
      </c>
    </row>
    <row r="96" spans="1:34" s="178" customFormat="1" ht="13.5" customHeight="1" x14ac:dyDescent="0.25">
      <c r="A96" s="163">
        <v>83</v>
      </c>
      <c r="B96" s="164" t="s">
        <v>130</v>
      </c>
      <c r="C96" s="165" t="s">
        <v>364</v>
      </c>
      <c r="D96" s="166">
        <f t="shared" si="6"/>
        <v>19390</v>
      </c>
      <c r="E96" s="166">
        <f t="shared" si="9"/>
        <v>19390</v>
      </c>
      <c r="F96" s="166">
        <f t="shared" si="7"/>
        <v>0</v>
      </c>
      <c r="G96" s="166">
        <v>0</v>
      </c>
      <c r="H96" s="166">
        <v>0</v>
      </c>
      <c r="I96" s="166">
        <v>0</v>
      </c>
      <c r="J96" s="166">
        <v>0</v>
      </c>
      <c r="K96" s="166">
        <f>'[9]Обращ V и фин ПР 10'!O95</f>
        <v>0</v>
      </c>
      <c r="L96" s="166">
        <f>'[9]Обращ V и фин ПР 10'!P95</f>
        <v>0</v>
      </c>
      <c r="M96" s="166">
        <f>'[9]Обращ V и фин ПР 10'!Q95</f>
        <v>0</v>
      </c>
      <c r="N96" s="166">
        <f>'[9]Обращ V и фин ПР 10'!S95</f>
        <v>0</v>
      </c>
      <c r="O96" s="166">
        <f>'[9]Обращ V и фин ПР 10'!T95</f>
        <v>0</v>
      </c>
      <c r="P96" s="166">
        <f>'[9]Обращ V и фин ПР 10'!V95</f>
        <v>0</v>
      </c>
      <c r="Q96" s="166">
        <f>'[9]Обращ V и фин ПР 10'!W95</f>
        <v>0</v>
      </c>
      <c r="R96" s="166">
        <v>0</v>
      </c>
      <c r="S96" s="166">
        <v>0</v>
      </c>
      <c r="T96" s="166">
        <v>0</v>
      </c>
      <c r="U96" s="166">
        <v>0</v>
      </c>
      <c r="V96" s="166">
        <f>'[9]Обращ V и фин ПР 10'!Y95</f>
        <v>5718</v>
      </c>
      <c r="W96" s="166">
        <f>'[9]Обращ V и фин ПР 10'!Z95</f>
        <v>0</v>
      </c>
      <c r="X96" s="167">
        <f t="shared" si="8"/>
        <v>13672</v>
      </c>
      <c r="Y96" s="166">
        <v>2000</v>
      </c>
      <c r="Z96" s="166">
        <v>0</v>
      </c>
      <c r="AA96" s="166">
        <v>0</v>
      </c>
      <c r="AB96" s="166">
        <v>0</v>
      </c>
      <c r="AC96" s="166">
        <v>0</v>
      </c>
      <c r="AD96" s="166">
        <v>0</v>
      </c>
      <c r="AE96" s="166">
        <v>0</v>
      </c>
      <c r="AF96" s="166">
        <v>0</v>
      </c>
      <c r="AG96" s="166">
        <v>11672</v>
      </c>
      <c r="AH96" s="166">
        <v>0</v>
      </c>
    </row>
    <row r="97" spans="1:34" ht="13.5" customHeight="1" x14ac:dyDescent="0.2">
      <c r="A97" s="163">
        <v>84</v>
      </c>
      <c r="B97" s="164" t="s">
        <v>131</v>
      </c>
      <c r="C97" s="165" t="s">
        <v>365</v>
      </c>
      <c r="D97" s="166">
        <f t="shared" si="6"/>
        <v>234498</v>
      </c>
      <c r="E97" s="166">
        <f t="shared" si="9"/>
        <v>234498</v>
      </c>
      <c r="F97" s="166">
        <f t="shared" si="7"/>
        <v>0</v>
      </c>
      <c r="G97" s="166">
        <v>0</v>
      </c>
      <c r="H97" s="166">
        <v>0</v>
      </c>
      <c r="I97" s="166">
        <v>6817</v>
      </c>
      <c r="J97" s="166">
        <v>0</v>
      </c>
      <c r="K97" s="166">
        <f>'[9]Обращ V и фин ПР 10'!O96</f>
        <v>0</v>
      </c>
      <c r="L97" s="166">
        <f>'[9]Обращ V и фин ПР 10'!P96</f>
        <v>0</v>
      </c>
      <c r="M97" s="166">
        <f>'[9]Обращ V и фин ПР 10'!Q96</f>
        <v>0</v>
      </c>
      <c r="N97" s="166">
        <f>'[9]Обращ V и фин ПР 10'!S96</f>
        <v>0</v>
      </c>
      <c r="O97" s="166">
        <f>'[9]Обращ V и фин ПР 10'!T96</f>
        <v>0</v>
      </c>
      <c r="P97" s="166">
        <f>'[9]Обращ V и фин ПР 10'!V96</f>
        <v>0</v>
      </c>
      <c r="Q97" s="166">
        <f>'[9]Обращ V и фин ПР 10'!W96</f>
        <v>0</v>
      </c>
      <c r="R97" s="166">
        <v>0</v>
      </c>
      <c r="S97" s="166">
        <v>0</v>
      </c>
      <c r="T97" s="166">
        <v>0</v>
      </c>
      <c r="U97" s="166">
        <v>0</v>
      </c>
      <c r="V97" s="166">
        <f>'[9]Обращ V и фин ПР 10'!Y96</f>
        <v>0</v>
      </c>
      <c r="W97" s="166">
        <f>'[9]Обращ V и фин ПР 10'!Z96</f>
        <v>0</v>
      </c>
      <c r="X97" s="167">
        <f t="shared" si="8"/>
        <v>227681</v>
      </c>
      <c r="Y97" s="166">
        <v>45256</v>
      </c>
      <c r="Z97" s="166">
        <v>0</v>
      </c>
      <c r="AA97" s="166">
        <v>23655</v>
      </c>
      <c r="AB97" s="166">
        <v>0</v>
      </c>
      <c r="AC97" s="166">
        <v>9714</v>
      </c>
      <c r="AD97" s="166">
        <v>0</v>
      </c>
      <c r="AE97" s="166">
        <v>2112</v>
      </c>
      <c r="AF97" s="166">
        <v>0</v>
      </c>
      <c r="AG97" s="166">
        <v>158770</v>
      </c>
      <c r="AH97" s="166">
        <v>0</v>
      </c>
    </row>
    <row r="98" spans="1:34" ht="13.5" customHeight="1" x14ac:dyDescent="0.2">
      <c r="A98" s="163">
        <v>85</v>
      </c>
      <c r="B98" s="164" t="s">
        <v>133</v>
      </c>
      <c r="C98" s="165" t="s">
        <v>366</v>
      </c>
      <c r="D98" s="166">
        <f t="shared" si="6"/>
        <v>57453</v>
      </c>
      <c r="E98" s="166">
        <f t="shared" si="9"/>
        <v>0</v>
      </c>
      <c r="F98" s="166">
        <f t="shared" si="7"/>
        <v>57453</v>
      </c>
      <c r="G98" s="166">
        <v>0</v>
      </c>
      <c r="H98" s="166">
        <v>0</v>
      </c>
      <c r="I98" s="166">
        <v>0</v>
      </c>
      <c r="J98" s="166">
        <v>0</v>
      </c>
      <c r="K98" s="166">
        <f>'[9]Обращ V и фин ПР 10'!O97</f>
        <v>0</v>
      </c>
      <c r="L98" s="166">
        <f>'[9]Обращ V и фин ПР 10'!P97</f>
        <v>0</v>
      </c>
      <c r="M98" s="166">
        <f>'[9]Обращ V и фин ПР 10'!Q97</f>
        <v>0</v>
      </c>
      <c r="N98" s="166">
        <f>'[9]Обращ V и фин ПР 10'!S97</f>
        <v>0</v>
      </c>
      <c r="O98" s="166">
        <f>'[9]Обращ V и фин ПР 10'!T97</f>
        <v>0</v>
      </c>
      <c r="P98" s="166">
        <f>'[9]Обращ V и фин ПР 10'!V97</f>
        <v>0</v>
      </c>
      <c r="Q98" s="166">
        <f>'[9]Обращ V и фин ПР 10'!W97</f>
        <v>0</v>
      </c>
      <c r="R98" s="166">
        <v>0</v>
      </c>
      <c r="S98" s="166">
        <v>0</v>
      </c>
      <c r="T98" s="166">
        <v>0</v>
      </c>
      <c r="U98" s="166">
        <v>0</v>
      </c>
      <c r="V98" s="166">
        <f>'[9]Обращ V и фин ПР 10'!Y97</f>
        <v>0</v>
      </c>
      <c r="W98" s="166">
        <f>'[9]Обращ V и фин ПР 10'!Z97</f>
        <v>0</v>
      </c>
      <c r="X98" s="167">
        <f t="shared" si="8"/>
        <v>57453</v>
      </c>
      <c r="Y98" s="166">
        <v>0</v>
      </c>
      <c r="Z98" s="166">
        <v>11225</v>
      </c>
      <c r="AA98" s="166">
        <v>0</v>
      </c>
      <c r="AB98" s="166">
        <v>0</v>
      </c>
      <c r="AC98" s="166">
        <v>0</v>
      </c>
      <c r="AD98" s="166">
        <v>0</v>
      </c>
      <c r="AE98" s="166">
        <v>0</v>
      </c>
      <c r="AF98" s="166">
        <v>0</v>
      </c>
      <c r="AG98" s="166">
        <v>0</v>
      </c>
      <c r="AH98" s="166">
        <v>46228</v>
      </c>
    </row>
    <row r="99" spans="1:34" ht="13.5" customHeight="1" x14ac:dyDescent="0.2">
      <c r="A99" s="163">
        <v>86</v>
      </c>
      <c r="B99" s="164" t="s">
        <v>9</v>
      </c>
      <c r="C99" s="165" t="s">
        <v>367</v>
      </c>
      <c r="D99" s="166">
        <f t="shared" si="6"/>
        <v>76204</v>
      </c>
      <c r="E99" s="166">
        <f t="shared" si="9"/>
        <v>76204</v>
      </c>
      <c r="F99" s="166">
        <f t="shared" si="7"/>
        <v>0</v>
      </c>
      <c r="G99" s="166">
        <v>0</v>
      </c>
      <c r="H99" s="166">
        <v>0</v>
      </c>
      <c r="I99" s="166">
        <v>0</v>
      </c>
      <c r="J99" s="166">
        <v>0</v>
      </c>
      <c r="K99" s="166">
        <f>'[9]Обращ V и фин ПР 10'!O98</f>
        <v>0</v>
      </c>
      <c r="L99" s="166">
        <f>'[9]Обращ V и фин ПР 10'!P98</f>
        <v>0</v>
      </c>
      <c r="M99" s="166">
        <f>'[9]Обращ V и фин ПР 10'!Q98</f>
        <v>0</v>
      </c>
      <c r="N99" s="166">
        <f>'[9]Обращ V и фин ПР 10'!S98</f>
        <v>0</v>
      </c>
      <c r="O99" s="166">
        <f>'[9]Обращ V и фин ПР 10'!T98</f>
        <v>0</v>
      </c>
      <c r="P99" s="166">
        <f>'[9]Обращ V и фин ПР 10'!V98</f>
        <v>0</v>
      </c>
      <c r="Q99" s="166">
        <f>'[9]Обращ V и фин ПР 10'!W98</f>
        <v>0</v>
      </c>
      <c r="R99" s="166">
        <v>0</v>
      </c>
      <c r="S99" s="166">
        <v>0</v>
      </c>
      <c r="T99" s="166">
        <v>0</v>
      </c>
      <c r="U99" s="166">
        <v>0</v>
      </c>
      <c r="V99" s="166">
        <f>'[9]Обращ V и фин ПР 10'!Y98</f>
        <v>0</v>
      </c>
      <c r="W99" s="166">
        <f>'[9]Обращ V и фин ПР 10'!Z98</f>
        <v>0</v>
      </c>
      <c r="X99" s="167">
        <f t="shared" si="8"/>
        <v>76204</v>
      </c>
      <c r="Y99" s="166">
        <v>11089</v>
      </c>
      <c r="Z99" s="166">
        <v>0</v>
      </c>
      <c r="AA99" s="166">
        <v>9038</v>
      </c>
      <c r="AB99" s="166">
        <v>0</v>
      </c>
      <c r="AC99" s="166">
        <v>4017</v>
      </c>
      <c r="AD99" s="166">
        <v>0</v>
      </c>
      <c r="AE99" s="166">
        <v>502</v>
      </c>
      <c r="AF99" s="166">
        <v>0</v>
      </c>
      <c r="AG99" s="166">
        <v>56077</v>
      </c>
      <c r="AH99" s="166">
        <v>0</v>
      </c>
    </row>
    <row r="100" spans="1:34" ht="13.5" customHeight="1" x14ac:dyDescent="0.2">
      <c r="A100" s="163">
        <v>87</v>
      </c>
      <c r="B100" s="164" t="s">
        <v>135</v>
      </c>
      <c r="C100" s="172" t="s">
        <v>368</v>
      </c>
      <c r="D100" s="166">
        <f t="shared" si="6"/>
        <v>34571</v>
      </c>
      <c r="E100" s="166">
        <f t="shared" si="9"/>
        <v>34566</v>
      </c>
      <c r="F100" s="166">
        <f t="shared" si="7"/>
        <v>5</v>
      </c>
      <c r="G100" s="166">
        <v>0</v>
      </c>
      <c r="H100" s="166">
        <v>0</v>
      </c>
      <c r="I100" s="166">
        <v>0</v>
      </c>
      <c r="J100" s="166">
        <v>0</v>
      </c>
      <c r="K100" s="166">
        <f>'[9]Обращ V и фин ПР 10'!O99</f>
        <v>0</v>
      </c>
      <c r="L100" s="166">
        <f>'[9]Обращ V и фин ПР 10'!P99</f>
        <v>0</v>
      </c>
      <c r="M100" s="166">
        <f>'[9]Обращ V и фин ПР 10'!Q99</f>
        <v>0</v>
      </c>
      <c r="N100" s="166">
        <f>'[9]Обращ V и фин ПР 10'!S99</f>
        <v>33728</v>
      </c>
      <c r="O100" s="166">
        <f>'[9]Обращ V и фин ПР 10'!T99</f>
        <v>5</v>
      </c>
      <c r="P100" s="166">
        <f>'[9]Обращ V и фин ПР 10'!V99</f>
        <v>838</v>
      </c>
      <c r="Q100" s="166">
        <f>'[9]Обращ V и фин ПР 10'!W99</f>
        <v>0</v>
      </c>
      <c r="R100" s="166">
        <v>419</v>
      </c>
      <c r="S100" s="166">
        <v>0</v>
      </c>
      <c r="T100" s="166">
        <v>0</v>
      </c>
      <c r="U100" s="166">
        <v>0</v>
      </c>
      <c r="V100" s="166">
        <f>'[9]Обращ V и фин ПР 10'!Y99</f>
        <v>0</v>
      </c>
      <c r="W100" s="166">
        <f>'[9]Обращ V и фин ПР 10'!Z99</f>
        <v>0</v>
      </c>
      <c r="X100" s="167">
        <f t="shared" si="8"/>
        <v>0</v>
      </c>
      <c r="Y100" s="166">
        <v>0</v>
      </c>
      <c r="Z100" s="166">
        <v>0</v>
      </c>
      <c r="AA100" s="166">
        <v>0</v>
      </c>
      <c r="AB100" s="166">
        <v>0</v>
      </c>
      <c r="AC100" s="166">
        <v>0</v>
      </c>
      <c r="AD100" s="166">
        <v>0</v>
      </c>
      <c r="AE100" s="166">
        <v>0</v>
      </c>
      <c r="AF100" s="166">
        <v>0</v>
      </c>
      <c r="AG100" s="166">
        <v>0</v>
      </c>
      <c r="AH100" s="166">
        <v>0</v>
      </c>
    </row>
    <row r="101" spans="1:34" ht="24.75" customHeight="1" x14ac:dyDescent="0.2">
      <c r="A101" s="163">
        <v>88</v>
      </c>
      <c r="B101" s="164" t="s">
        <v>137</v>
      </c>
      <c r="C101" s="170" t="s">
        <v>138</v>
      </c>
      <c r="D101" s="166">
        <f t="shared" si="6"/>
        <v>17788</v>
      </c>
      <c r="E101" s="166">
        <f t="shared" si="9"/>
        <v>17788</v>
      </c>
      <c r="F101" s="166">
        <f t="shared" si="7"/>
        <v>0</v>
      </c>
      <c r="G101" s="166">
        <v>0</v>
      </c>
      <c r="H101" s="166">
        <v>0</v>
      </c>
      <c r="I101" s="166">
        <v>0</v>
      </c>
      <c r="J101" s="166">
        <v>0</v>
      </c>
      <c r="K101" s="166">
        <f>'[9]Обращ V и фин ПР 10'!O100</f>
        <v>0</v>
      </c>
      <c r="L101" s="166">
        <f>'[9]Обращ V и фин ПР 10'!P100</f>
        <v>0</v>
      </c>
      <c r="M101" s="166">
        <f>'[9]Обращ V и фин ПР 10'!Q100</f>
        <v>0</v>
      </c>
      <c r="N101" s="166">
        <f>'[9]Обращ V и фин ПР 10'!S100</f>
        <v>0</v>
      </c>
      <c r="O101" s="166">
        <f>'[9]Обращ V и фин ПР 10'!T100</f>
        <v>0</v>
      </c>
      <c r="P101" s="166">
        <f>'[9]Обращ V и фин ПР 10'!V100</f>
        <v>0</v>
      </c>
      <c r="Q101" s="166">
        <f>'[9]Обращ V и фин ПР 10'!W100</f>
        <v>0</v>
      </c>
      <c r="R101" s="166">
        <v>0</v>
      </c>
      <c r="S101" s="166">
        <v>0</v>
      </c>
      <c r="T101" s="166">
        <v>0</v>
      </c>
      <c r="U101" s="166">
        <v>0</v>
      </c>
      <c r="V101" s="166">
        <f>'[9]Обращ V и фин ПР 10'!Y100</f>
        <v>0</v>
      </c>
      <c r="W101" s="166">
        <f>'[9]Обращ V и фин ПР 10'!Z100</f>
        <v>0</v>
      </c>
      <c r="X101" s="167">
        <f t="shared" si="8"/>
        <v>17788</v>
      </c>
      <c r="Y101" s="166">
        <v>2001</v>
      </c>
      <c r="Z101" s="166">
        <v>0</v>
      </c>
      <c r="AA101" s="166">
        <v>4470</v>
      </c>
      <c r="AB101" s="166">
        <v>0</v>
      </c>
      <c r="AC101" s="166">
        <v>2235</v>
      </c>
      <c r="AD101" s="166">
        <v>0</v>
      </c>
      <c r="AE101" s="166">
        <v>0</v>
      </c>
      <c r="AF101" s="166">
        <v>0</v>
      </c>
      <c r="AG101" s="166">
        <v>11317</v>
      </c>
      <c r="AH101" s="166">
        <v>0</v>
      </c>
    </row>
    <row r="102" spans="1:34" ht="13.5" customHeight="1" x14ac:dyDescent="0.2">
      <c r="A102" s="163">
        <v>89</v>
      </c>
      <c r="B102" s="164" t="s">
        <v>369</v>
      </c>
      <c r="C102" s="172" t="s">
        <v>370</v>
      </c>
      <c r="D102" s="166">
        <f t="shared" si="6"/>
        <v>1341</v>
      </c>
      <c r="E102" s="166">
        <f t="shared" si="9"/>
        <v>1231</v>
      </c>
      <c r="F102" s="166">
        <f t="shared" si="7"/>
        <v>110</v>
      </c>
      <c r="G102" s="166">
        <v>0</v>
      </c>
      <c r="H102" s="166">
        <v>0</v>
      </c>
      <c r="I102" s="166">
        <v>0</v>
      </c>
      <c r="J102" s="166">
        <v>0</v>
      </c>
      <c r="K102" s="166">
        <f>'[9]Обращ V и фин ПР 10'!O101</f>
        <v>0</v>
      </c>
      <c r="L102" s="166">
        <f>'[9]Обращ V и фин ПР 10'!P101</f>
        <v>0</v>
      </c>
      <c r="M102" s="166">
        <f>'[9]Обращ V и фин ПР 10'!Q101</f>
        <v>0</v>
      </c>
      <c r="N102" s="166">
        <f>'[9]Обращ V и фин ПР 10'!S101</f>
        <v>720</v>
      </c>
      <c r="O102" s="166">
        <f>'[9]Обращ V и фин ПР 10'!T101</f>
        <v>110</v>
      </c>
      <c r="P102" s="166">
        <f>'[9]Обращ V и фин ПР 10'!V101</f>
        <v>511</v>
      </c>
      <c r="Q102" s="166">
        <f>'[9]Обращ V и фин ПР 10'!W101</f>
        <v>0</v>
      </c>
      <c r="R102" s="166">
        <v>256</v>
      </c>
      <c r="S102" s="166">
        <v>0</v>
      </c>
      <c r="T102" s="166">
        <v>0</v>
      </c>
      <c r="U102" s="166">
        <v>0</v>
      </c>
      <c r="V102" s="166">
        <f>'[9]Обращ V и фин ПР 10'!Y101</f>
        <v>0</v>
      </c>
      <c r="W102" s="166">
        <f>'[9]Обращ V и фин ПР 10'!Z101</f>
        <v>0</v>
      </c>
      <c r="X102" s="167">
        <f t="shared" si="8"/>
        <v>0</v>
      </c>
      <c r="Y102" s="166">
        <v>0</v>
      </c>
      <c r="Z102" s="166">
        <v>0</v>
      </c>
      <c r="AA102" s="166">
        <v>0</v>
      </c>
      <c r="AB102" s="166">
        <v>0</v>
      </c>
      <c r="AC102" s="166">
        <v>0</v>
      </c>
      <c r="AD102" s="166">
        <v>0</v>
      </c>
      <c r="AE102" s="166">
        <v>0</v>
      </c>
      <c r="AF102" s="166">
        <v>0</v>
      </c>
      <c r="AG102" s="166">
        <v>0</v>
      </c>
      <c r="AH102" s="166">
        <v>0</v>
      </c>
    </row>
    <row r="103" spans="1:34" ht="13.5" customHeight="1" x14ac:dyDescent="0.2">
      <c r="A103" s="163">
        <v>90</v>
      </c>
      <c r="B103" s="164" t="s">
        <v>139</v>
      </c>
      <c r="C103" s="165" t="s">
        <v>371</v>
      </c>
      <c r="D103" s="166">
        <f t="shared" si="6"/>
        <v>11295</v>
      </c>
      <c r="E103" s="166">
        <f t="shared" si="9"/>
        <v>11295</v>
      </c>
      <c r="F103" s="166">
        <f t="shared" si="7"/>
        <v>0</v>
      </c>
      <c r="G103" s="166">
        <v>0</v>
      </c>
      <c r="H103" s="166">
        <v>0</v>
      </c>
      <c r="I103" s="166">
        <v>0</v>
      </c>
      <c r="J103" s="166">
        <v>0</v>
      </c>
      <c r="K103" s="166">
        <f>'[9]Обращ V и фин ПР 10'!O102</f>
        <v>0</v>
      </c>
      <c r="L103" s="166">
        <f>'[9]Обращ V и фин ПР 10'!P102</f>
        <v>0</v>
      </c>
      <c r="M103" s="166">
        <f>'[9]Обращ V и фин ПР 10'!Q102</f>
        <v>0</v>
      </c>
      <c r="N103" s="166">
        <f>'[9]Обращ V и фин ПР 10'!S102</f>
        <v>0</v>
      </c>
      <c r="O103" s="166">
        <f>'[9]Обращ V и фин ПР 10'!T102</f>
        <v>0</v>
      </c>
      <c r="P103" s="166">
        <f>'[9]Обращ V и фин ПР 10'!V102</f>
        <v>0</v>
      </c>
      <c r="Q103" s="166">
        <f>'[9]Обращ V и фин ПР 10'!W102</f>
        <v>0</v>
      </c>
      <c r="R103" s="166">
        <v>0</v>
      </c>
      <c r="S103" s="166">
        <v>0</v>
      </c>
      <c r="T103" s="166">
        <v>0</v>
      </c>
      <c r="U103" s="166">
        <v>0</v>
      </c>
      <c r="V103" s="166">
        <f>'[9]Обращ V и фин ПР 10'!Y102</f>
        <v>0</v>
      </c>
      <c r="W103" s="166">
        <f>'[9]Обращ V и фин ПР 10'!Z102</f>
        <v>0</v>
      </c>
      <c r="X103" s="167">
        <f t="shared" si="8"/>
        <v>11295</v>
      </c>
      <c r="Y103" s="166">
        <v>1407</v>
      </c>
      <c r="Z103" s="166">
        <v>0</v>
      </c>
      <c r="AA103" s="166">
        <v>600</v>
      </c>
      <c r="AB103" s="166">
        <v>0</v>
      </c>
      <c r="AC103" s="166">
        <v>300</v>
      </c>
      <c r="AD103" s="166">
        <v>0</v>
      </c>
      <c r="AE103" s="166">
        <v>0</v>
      </c>
      <c r="AF103" s="166">
        <v>0</v>
      </c>
      <c r="AG103" s="166">
        <v>9288</v>
      </c>
      <c r="AH103" s="166">
        <v>0</v>
      </c>
    </row>
    <row r="104" spans="1:34" ht="13.5" customHeight="1" x14ac:dyDescent="0.2">
      <c r="A104" s="163">
        <v>91</v>
      </c>
      <c r="B104" s="179" t="s">
        <v>141</v>
      </c>
      <c r="C104" s="180" t="s">
        <v>372</v>
      </c>
      <c r="D104" s="166">
        <f t="shared" si="6"/>
        <v>37074</v>
      </c>
      <c r="E104" s="166">
        <f t="shared" si="9"/>
        <v>37074</v>
      </c>
      <c r="F104" s="166">
        <f t="shared" si="7"/>
        <v>0</v>
      </c>
      <c r="G104" s="166">
        <v>0</v>
      </c>
      <c r="H104" s="166">
        <v>0</v>
      </c>
      <c r="I104" s="166">
        <v>0</v>
      </c>
      <c r="J104" s="166">
        <v>0</v>
      </c>
      <c r="K104" s="166">
        <f>'[9]Обращ V и фин ПР 10'!O103</f>
        <v>0</v>
      </c>
      <c r="L104" s="166">
        <f>'[9]Обращ V и фин ПР 10'!P103</f>
        <v>0</v>
      </c>
      <c r="M104" s="166">
        <f>'[9]Обращ V и фин ПР 10'!Q103</f>
        <v>0</v>
      </c>
      <c r="N104" s="166">
        <f>'[9]Обращ V и фин ПР 10'!S103</f>
        <v>0</v>
      </c>
      <c r="O104" s="166">
        <f>'[9]Обращ V и фин ПР 10'!T103</f>
        <v>0</v>
      </c>
      <c r="P104" s="166">
        <f>'[9]Обращ V и фин ПР 10'!V103</f>
        <v>0</v>
      </c>
      <c r="Q104" s="166">
        <f>'[9]Обращ V и фин ПР 10'!W103</f>
        <v>0</v>
      </c>
      <c r="R104" s="166">
        <v>0</v>
      </c>
      <c r="S104" s="166">
        <v>0</v>
      </c>
      <c r="T104" s="166">
        <v>0</v>
      </c>
      <c r="U104" s="166">
        <v>0</v>
      </c>
      <c r="V104" s="166">
        <f>'[9]Обращ V и фин ПР 10'!Y103</f>
        <v>0</v>
      </c>
      <c r="W104" s="166">
        <f>'[9]Обращ V и фин ПР 10'!Z103</f>
        <v>0</v>
      </c>
      <c r="X104" s="167">
        <f t="shared" si="8"/>
        <v>37074</v>
      </c>
      <c r="Y104" s="166">
        <v>2157</v>
      </c>
      <c r="Z104" s="166">
        <v>0</v>
      </c>
      <c r="AA104" s="166">
        <v>5186</v>
      </c>
      <c r="AB104" s="166">
        <v>0</v>
      </c>
      <c r="AC104" s="166">
        <v>2593</v>
      </c>
      <c r="AD104" s="166">
        <v>0</v>
      </c>
      <c r="AE104" s="166">
        <v>0</v>
      </c>
      <c r="AF104" s="166">
        <v>0</v>
      </c>
      <c r="AG104" s="166">
        <v>29731</v>
      </c>
      <c r="AH104" s="166">
        <v>0</v>
      </c>
    </row>
    <row r="105" spans="1:34" s="178" customFormat="1" ht="13.5" customHeight="1" x14ac:dyDescent="0.25">
      <c r="A105" s="163">
        <v>92</v>
      </c>
      <c r="B105" s="164" t="s">
        <v>143</v>
      </c>
      <c r="C105" s="168" t="s">
        <v>144</v>
      </c>
      <c r="D105" s="166">
        <f t="shared" si="6"/>
        <v>29145</v>
      </c>
      <c r="E105" s="166">
        <f t="shared" si="9"/>
        <v>24025</v>
      </c>
      <c r="F105" s="166">
        <f t="shared" si="7"/>
        <v>5120</v>
      </c>
      <c r="G105" s="166">
        <v>0</v>
      </c>
      <c r="H105" s="166">
        <v>0</v>
      </c>
      <c r="I105" s="166">
        <v>0</v>
      </c>
      <c r="J105" s="166">
        <v>0</v>
      </c>
      <c r="K105" s="166">
        <f>'[9]Обращ V и фин ПР 10'!O104</f>
        <v>0</v>
      </c>
      <c r="L105" s="166">
        <f>'[9]Обращ V и фин ПР 10'!P104</f>
        <v>0</v>
      </c>
      <c r="M105" s="166">
        <f>'[9]Обращ V и фин ПР 10'!Q104</f>
        <v>0</v>
      </c>
      <c r="N105" s="166">
        <f>'[9]Обращ V и фин ПР 10'!S104</f>
        <v>0</v>
      </c>
      <c r="O105" s="166">
        <f>'[9]Обращ V и фин ПР 10'!T104</f>
        <v>0</v>
      </c>
      <c r="P105" s="166">
        <f>'[9]Обращ V и фин ПР 10'!V104</f>
        <v>0</v>
      </c>
      <c r="Q105" s="166">
        <f>'[9]Обращ V и фин ПР 10'!W104</f>
        <v>0</v>
      </c>
      <c r="R105" s="166">
        <v>0</v>
      </c>
      <c r="S105" s="166">
        <v>0</v>
      </c>
      <c r="T105" s="166">
        <v>0</v>
      </c>
      <c r="U105" s="166">
        <v>0</v>
      </c>
      <c r="V105" s="166">
        <f>'[9]Обращ V и фин ПР 10'!Y104</f>
        <v>0</v>
      </c>
      <c r="W105" s="166">
        <f>'[9]Обращ V и фин ПР 10'!Z104</f>
        <v>0</v>
      </c>
      <c r="X105" s="167">
        <f t="shared" si="8"/>
        <v>29145</v>
      </c>
      <c r="Y105" s="166">
        <v>3823</v>
      </c>
      <c r="Z105" s="166">
        <v>450</v>
      </c>
      <c r="AA105" s="166">
        <v>3300</v>
      </c>
      <c r="AB105" s="166">
        <v>2000</v>
      </c>
      <c r="AC105" s="166">
        <v>1375</v>
      </c>
      <c r="AD105" s="166">
        <v>833</v>
      </c>
      <c r="AE105" s="166">
        <v>275</v>
      </c>
      <c r="AF105" s="166">
        <v>167</v>
      </c>
      <c r="AG105" s="166">
        <v>16902</v>
      </c>
      <c r="AH105" s="166">
        <v>2670</v>
      </c>
    </row>
    <row r="106" spans="1:34" ht="13.5" customHeight="1" x14ac:dyDescent="0.2">
      <c r="A106" s="163">
        <v>93</v>
      </c>
      <c r="B106" s="164" t="s">
        <v>145</v>
      </c>
      <c r="C106" s="165" t="s">
        <v>146</v>
      </c>
      <c r="D106" s="166">
        <f t="shared" si="6"/>
        <v>30480</v>
      </c>
      <c r="E106" s="166">
        <f t="shared" si="9"/>
        <v>22634</v>
      </c>
      <c r="F106" s="166">
        <f t="shared" si="7"/>
        <v>7846</v>
      </c>
      <c r="G106" s="166">
        <v>0</v>
      </c>
      <c r="H106" s="166">
        <v>0</v>
      </c>
      <c r="I106" s="166">
        <v>0</v>
      </c>
      <c r="J106" s="166">
        <v>0</v>
      </c>
      <c r="K106" s="166">
        <f>'[9]Обращ V и фин ПР 10'!O105</f>
        <v>0</v>
      </c>
      <c r="L106" s="166">
        <f>'[9]Обращ V и фин ПР 10'!P105</f>
        <v>0</v>
      </c>
      <c r="M106" s="166">
        <f>'[9]Обращ V и фин ПР 10'!Q105</f>
        <v>0</v>
      </c>
      <c r="N106" s="166">
        <f>'[9]Обращ V и фин ПР 10'!S105</f>
        <v>0</v>
      </c>
      <c r="O106" s="166">
        <f>'[9]Обращ V и фин ПР 10'!T105</f>
        <v>0</v>
      </c>
      <c r="P106" s="166">
        <f>'[9]Обращ V и фин ПР 10'!V105</f>
        <v>0</v>
      </c>
      <c r="Q106" s="166">
        <f>'[9]Обращ V и фин ПР 10'!W105</f>
        <v>0</v>
      </c>
      <c r="R106" s="166">
        <v>0</v>
      </c>
      <c r="S106" s="166">
        <v>0</v>
      </c>
      <c r="T106" s="166">
        <v>0</v>
      </c>
      <c r="U106" s="166">
        <v>0</v>
      </c>
      <c r="V106" s="166">
        <f>'[9]Обращ V и фин ПР 10'!Y105</f>
        <v>0</v>
      </c>
      <c r="W106" s="166">
        <f>'[9]Обращ V и фин ПР 10'!Z105</f>
        <v>0</v>
      </c>
      <c r="X106" s="167">
        <f t="shared" si="8"/>
        <v>30480</v>
      </c>
      <c r="Y106" s="166">
        <v>3834</v>
      </c>
      <c r="Z106" s="166">
        <v>342</v>
      </c>
      <c r="AA106" s="166">
        <v>4448</v>
      </c>
      <c r="AB106" s="166">
        <v>660</v>
      </c>
      <c r="AC106" s="166">
        <v>1730</v>
      </c>
      <c r="AD106" s="166">
        <v>257</v>
      </c>
      <c r="AE106" s="166">
        <v>494</v>
      </c>
      <c r="AF106" s="166">
        <v>73</v>
      </c>
      <c r="AG106" s="166">
        <v>14352</v>
      </c>
      <c r="AH106" s="166">
        <v>6844</v>
      </c>
    </row>
    <row r="107" spans="1:34" ht="13.5" customHeight="1" x14ac:dyDescent="0.2">
      <c r="A107" s="163">
        <v>94</v>
      </c>
      <c r="B107" s="164" t="s">
        <v>147</v>
      </c>
      <c r="C107" s="165" t="s">
        <v>148</v>
      </c>
      <c r="D107" s="166">
        <f t="shared" si="6"/>
        <v>81913</v>
      </c>
      <c r="E107" s="166">
        <f t="shared" si="9"/>
        <v>60316</v>
      </c>
      <c r="F107" s="166">
        <f t="shared" si="7"/>
        <v>21597</v>
      </c>
      <c r="G107" s="166">
        <v>0</v>
      </c>
      <c r="H107" s="166">
        <v>0</v>
      </c>
      <c r="I107" s="166">
        <v>0</v>
      </c>
      <c r="J107" s="166">
        <v>0</v>
      </c>
      <c r="K107" s="166">
        <f>'[9]Обращ V и фин ПР 10'!O106</f>
        <v>0</v>
      </c>
      <c r="L107" s="166">
        <f>'[9]Обращ V и фин ПР 10'!P106</f>
        <v>0</v>
      </c>
      <c r="M107" s="166">
        <f>'[9]Обращ V и фин ПР 10'!Q106</f>
        <v>0</v>
      </c>
      <c r="N107" s="166">
        <f>'[9]Обращ V и фин ПР 10'!S106</f>
        <v>0</v>
      </c>
      <c r="O107" s="166">
        <f>'[9]Обращ V и фин ПР 10'!T106</f>
        <v>0</v>
      </c>
      <c r="P107" s="166">
        <f>'[9]Обращ V и фин ПР 10'!V106</f>
        <v>0</v>
      </c>
      <c r="Q107" s="166">
        <f>'[9]Обращ V и фин ПР 10'!W106</f>
        <v>0</v>
      </c>
      <c r="R107" s="166">
        <v>0</v>
      </c>
      <c r="S107" s="166">
        <v>0</v>
      </c>
      <c r="T107" s="166">
        <v>0</v>
      </c>
      <c r="U107" s="166">
        <v>0</v>
      </c>
      <c r="V107" s="166">
        <f>'[9]Обращ V и фин ПР 10'!Y106</f>
        <v>0</v>
      </c>
      <c r="W107" s="166">
        <f>'[9]Обращ V и фин ПР 10'!Z106</f>
        <v>0</v>
      </c>
      <c r="X107" s="167">
        <f t="shared" si="8"/>
        <v>81913</v>
      </c>
      <c r="Y107" s="166">
        <v>5762</v>
      </c>
      <c r="Z107" s="166">
        <v>546</v>
      </c>
      <c r="AA107" s="166">
        <v>9676</v>
      </c>
      <c r="AB107" s="166">
        <v>5448</v>
      </c>
      <c r="AC107" s="166">
        <v>3603</v>
      </c>
      <c r="AD107" s="166">
        <v>2029</v>
      </c>
      <c r="AE107" s="166">
        <v>1235</v>
      </c>
      <c r="AF107" s="166">
        <v>695</v>
      </c>
      <c r="AG107" s="166">
        <v>44878</v>
      </c>
      <c r="AH107" s="166">
        <v>15603</v>
      </c>
    </row>
    <row r="108" spans="1:34" ht="13.5" customHeight="1" x14ac:dyDescent="0.2">
      <c r="A108" s="163">
        <v>95</v>
      </c>
      <c r="B108" s="164" t="s">
        <v>149</v>
      </c>
      <c r="C108" s="165" t="s">
        <v>150</v>
      </c>
      <c r="D108" s="166">
        <f t="shared" si="6"/>
        <v>36713</v>
      </c>
      <c r="E108" s="166">
        <f t="shared" si="9"/>
        <v>26027</v>
      </c>
      <c r="F108" s="166">
        <f t="shared" si="7"/>
        <v>10686</v>
      </c>
      <c r="G108" s="166">
        <v>0</v>
      </c>
      <c r="H108" s="166">
        <v>0</v>
      </c>
      <c r="I108" s="166">
        <v>0</v>
      </c>
      <c r="J108" s="166">
        <v>0</v>
      </c>
      <c r="K108" s="166">
        <f>'[9]Обращ V и фин ПР 10'!O107</f>
        <v>0</v>
      </c>
      <c r="L108" s="166">
        <f>'[9]Обращ V и фин ПР 10'!P107</f>
        <v>0</v>
      </c>
      <c r="M108" s="166">
        <f>'[9]Обращ V и фин ПР 10'!Q107</f>
        <v>0</v>
      </c>
      <c r="N108" s="166">
        <f>'[9]Обращ V и фин ПР 10'!S107</f>
        <v>0</v>
      </c>
      <c r="O108" s="166">
        <f>'[9]Обращ V и фин ПР 10'!T107</f>
        <v>0</v>
      </c>
      <c r="P108" s="166">
        <f>'[9]Обращ V и фин ПР 10'!V107</f>
        <v>0</v>
      </c>
      <c r="Q108" s="166">
        <f>'[9]Обращ V и фин ПР 10'!W107</f>
        <v>0</v>
      </c>
      <c r="R108" s="166">
        <v>0</v>
      </c>
      <c r="S108" s="166">
        <v>0</v>
      </c>
      <c r="T108" s="166">
        <v>0</v>
      </c>
      <c r="U108" s="166">
        <v>0</v>
      </c>
      <c r="V108" s="166">
        <f>'[9]Обращ V и фин ПР 10'!Y107</f>
        <v>0</v>
      </c>
      <c r="W108" s="166">
        <f>'[9]Обращ V и фин ПР 10'!Z107</f>
        <v>0</v>
      </c>
      <c r="X108" s="167">
        <f t="shared" si="8"/>
        <v>36713</v>
      </c>
      <c r="Y108" s="166">
        <v>2585</v>
      </c>
      <c r="Z108" s="166">
        <v>450</v>
      </c>
      <c r="AA108" s="166">
        <v>5515</v>
      </c>
      <c r="AB108" s="166">
        <v>1000</v>
      </c>
      <c r="AC108" s="166">
        <v>2390</v>
      </c>
      <c r="AD108" s="166">
        <v>433</v>
      </c>
      <c r="AE108" s="166">
        <v>368</v>
      </c>
      <c r="AF108" s="166">
        <v>67</v>
      </c>
      <c r="AG108" s="166">
        <v>17927</v>
      </c>
      <c r="AH108" s="166">
        <v>9236</v>
      </c>
    </row>
    <row r="109" spans="1:34" ht="13.5" customHeight="1" x14ac:dyDescent="0.2">
      <c r="A109" s="163">
        <v>96</v>
      </c>
      <c r="B109" s="164" t="s">
        <v>151</v>
      </c>
      <c r="C109" s="168" t="s">
        <v>152</v>
      </c>
      <c r="D109" s="166">
        <f t="shared" si="6"/>
        <v>44739</v>
      </c>
      <c r="E109" s="166">
        <f t="shared" si="9"/>
        <v>34490</v>
      </c>
      <c r="F109" s="166">
        <f t="shared" si="7"/>
        <v>10249</v>
      </c>
      <c r="G109" s="166">
        <v>0</v>
      </c>
      <c r="H109" s="166">
        <v>0</v>
      </c>
      <c r="I109" s="166">
        <v>0</v>
      </c>
      <c r="J109" s="166">
        <v>0</v>
      </c>
      <c r="K109" s="166">
        <f>'[9]Обращ V и фин ПР 10'!O108</f>
        <v>0</v>
      </c>
      <c r="L109" s="166">
        <f>'[9]Обращ V и фин ПР 10'!P108</f>
        <v>0</v>
      </c>
      <c r="M109" s="166">
        <f>'[9]Обращ V и фин ПР 10'!Q108</f>
        <v>0</v>
      </c>
      <c r="N109" s="166">
        <f>'[9]Обращ V и фин ПР 10'!S108</f>
        <v>0</v>
      </c>
      <c r="O109" s="166">
        <f>'[9]Обращ V и фин ПР 10'!T108</f>
        <v>0</v>
      </c>
      <c r="P109" s="166">
        <f>'[9]Обращ V и фин ПР 10'!V108</f>
        <v>0</v>
      </c>
      <c r="Q109" s="166">
        <f>'[9]Обращ V и фин ПР 10'!W108</f>
        <v>0</v>
      </c>
      <c r="R109" s="166">
        <v>0</v>
      </c>
      <c r="S109" s="166">
        <v>0</v>
      </c>
      <c r="T109" s="166">
        <v>0</v>
      </c>
      <c r="U109" s="166">
        <v>0</v>
      </c>
      <c r="V109" s="166">
        <f>'[9]Обращ V и фин ПР 10'!Y108</f>
        <v>0</v>
      </c>
      <c r="W109" s="166">
        <f>'[9]Обращ V и фин ПР 10'!Z108</f>
        <v>0</v>
      </c>
      <c r="X109" s="167">
        <f t="shared" si="8"/>
        <v>44739</v>
      </c>
      <c r="Y109" s="166">
        <v>3680</v>
      </c>
      <c r="Z109" s="166">
        <v>308</v>
      </c>
      <c r="AA109" s="166">
        <v>6200</v>
      </c>
      <c r="AB109" s="166">
        <v>1519</v>
      </c>
      <c r="AC109" s="166">
        <v>2067</v>
      </c>
      <c r="AD109" s="166">
        <v>507</v>
      </c>
      <c r="AE109" s="166">
        <v>1033</v>
      </c>
      <c r="AF109" s="166">
        <v>253</v>
      </c>
      <c r="AG109" s="166">
        <v>24610</v>
      </c>
      <c r="AH109" s="166">
        <v>8422</v>
      </c>
    </row>
    <row r="110" spans="1:34" s="173" customFormat="1" ht="13.5" customHeight="1" x14ac:dyDescent="0.2">
      <c r="A110" s="163">
        <v>97</v>
      </c>
      <c r="B110" s="164" t="s">
        <v>153</v>
      </c>
      <c r="C110" s="174" t="s">
        <v>154</v>
      </c>
      <c r="D110" s="166">
        <f t="shared" si="6"/>
        <v>89982</v>
      </c>
      <c r="E110" s="166">
        <f t="shared" si="9"/>
        <v>69242</v>
      </c>
      <c r="F110" s="166">
        <f t="shared" si="7"/>
        <v>20740</v>
      </c>
      <c r="G110" s="166">
        <v>0</v>
      </c>
      <c r="H110" s="166">
        <v>0</v>
      </c>
      <c r="I110" s="166">
        <v>0</v>
      </c>
      <c r="J110" s="166">
        <v>0</v>
      </c>
      <c r="K110" s="166">
        <f>'[9]Обращ V и фин ПР 10'!O109</f>
        <v>0</v>
      </c>
      <c r="L110" s="166">
        <f>'[9]Обращ V и фин ПР 10'!P109</f>
        <v>0</v>
      </c>
      <c r="M110" s="166">
        <f>'[9]Обращ V и фин ПР 10'!Q109</f>
        <v>0</v>
      </c>
      <c r="N110" s="166">
        <f>'[9]Обращ V и фин ПР 10'!S109</f>
        <v>0</v>
      </c>
      <c r="O110" s="166">
        <f>'[9]Обращ V и фин ПР 10'!T109</f>
        <v>0</v>
      </c>
      <c r="P110" s="166">
        <f>'[9]Обращ V и фин ПР 10'!V109</f>
        <v>0</v>
      </c>
      <c r="Q110" s="166">
        <f>'[9]Обращ V и фин ПР 10'!W109</f>
        <v>0</v>
      </c>
      <c r="R110" s="166">
        <v>0</v>
      </c>
      <c r="S110" s="166">
        <v>0</v>
      </c>
      <c r="T110" s="166">
        <v>0</v>
      </c>
      <c r="U110" s="166">
        <v>0</v>
      </c>
      <c r="V110" s="166">
        <f>'[9]Обращ V и фин ПР 10'!Y109</f>
        <v>0</v>
      </c>
      <c r="W110" s="166">
        <f>'[9]Обращ V и фин ПР 10'!Z109</f>
        <v>0</v>
      </c>
      <c r="X110" s="167">
        <f t="shared" si="8"/>
        <v>89982</v>
      </c>
      <c r="Y110" s="175">
        <v>18418</v>
      </c>
      <c r="Z110" s="175">
        <v>1420</v>
      </c>
      <c r="AA110" s="166">
        <v>6000</v>
      </c>
      <c r="AB110" s="166">
        <v>2000</v>
      </c>
      <c r="AC110" s="166">
        <v>2294</v>
      </c>
      <c r="AD110" s="166">
        <v>765</v>
      </c>
      <c r="AE110" s="166">
        <v>706</v>
      </c>
      <c r="AF110" s="166">
        <v>235</v>
      </c>
      <c r="AG110" s="166">
        <v>44824</v>
      </c>
      <c r="AH110" s="166">
        <v>17320</v>
      </c>
    </row>
    <row r="111" spans="1:34" ht="13.5" customHeight="1" x14ac:dyDescent="0.2">
      <c r="A111" s="163">
        <v>98</v>
      </c>
      <c r="B111" s="164" t="s">
        <v>155</v>
      </c>
      <c r="C111" s="165" t="s">
        <v>156</v>
      </c>
      <c r="D111" s="166">
        <f t="shared" si="6"/>
        <v>76943</v>
      </c>
      <c r="E111" s="166">
        <f t="shared" si="9"/>
        <v>50962</v>
      </c>
      <c r="F111" s="166">
        <f t="shared" si="7"/>
        <v>25981</v>
      </c>
      <c r="G111" s="166">
        <v>0</v>
      </c>
      <c r="H111" s="166">
        <v>0</v>
      </c>
      <c r="I111" s="166">
        <v>0</v>
      </c>
      <c r="J111" s="166">
        <v>0</v>
      </c>
      <c r="K111" s="166">
        <f>'[9]Обращ V и фин ПР 10'!O110</f>
        <v>0</v>
      </c>
      <c r="L111" s="166">
        <f>'[9]Обращ V и фин ПР 10'!P110</f>
        <v>0</v>
      </c>
      <c r="M111" s="166">
        <f>'[9]Обращ V и фин ПР 10'!Q110</f>
        <v>0</v>
      </c>
      <c r="N111" s="166">
        <f>'[9]Обращ V и фин ПР 10'!S110</f>
        <v>0</v>
      </c>
      <c r="O111" s="166">
        <f>'[9]Обращ V и фин ПР 10'!T110</f>
        <v>0</v>
      </c>
      <c r="P111" s="166">
        <f>'[9]Обращ V и фин ПР 10'!V110</f>
        <v>0</v>
      </c>
      <c r="Q111" s="166">
        <f>'[9]Обращ V и фин ПР 10'!W110</f>
        <v>0</v>
      </c>
      <c r="R111" s="166">
        <v>0</v>
      </c>
      <c r="S111" s="166">
        <v>0</v>
      </c>
      <c r="T111" s="166">
        <v>0</v>
      </c>
      <c r="U111" s="166">
        <v>0</v>
      </c>
      <c r="V111" s="166">
        <f>'[9]Обращ V и фин ПР 10'!Y110</f>
        <v>0</v>
      </c>
      <c r="W111" s="166">
        <f>'[9]Обращ V и фин ПР 10'!Z110</f>
        <v>0</v>
      </c>
      <c r="X111" s="167">
        <f t="shared" si="8"/>
        <v>76943</v>
      </c>
      <c r="Y111" s="166">
        <v>2853</v>
      </c>
      <c r="Z111" s="166">
        <v>142</v>
      </c>
      <c r="AA111" s="166">
        <v>9028</v>
      </c>
      <c r="AB111" s="166">
        <v>4611</v>
      </c>
      <c r="AC111" s="166">
        <v>2431</v>
      </c>
      <c r="AD111" s="166">
        <v>1242</v>
      </c>
      <c r="AE111" s="166">
        <v>2083</v>
      </c>
      <c r="AF111" s="166">
        <v>1064</v>
      </c>
      <c r="AG111" s="166">
        <v>39081</v>
      </c>
      <c r="AH111" s="166">
        <v>21228</v>
      </c>
    </row>
    <row r="112" spans="1:34" ht="13.5" customHeight="1" x14ac:dyDescent="0.2">
      <c r="A112" s="163">
        <v>99</v>
      </c>
      <c r="B112" s="164" t="s">
        <v>157</v>
      </c>
      <c r="C112" s="170" t="s">
        <v>158</v>
      </c>
      <c r="D112" s="166">
        <f t="shared" si="6"/>
        <v>27212</v>
      </c>
      <c r="E112" s="166">
        <f t="shared" si="9"/>
        <v>20281</v>
      </c>
      <c r="F112" s="166">
        <f t="shared" si="7"/>
        <v>6931</v>
      </c>
      <c r="G112" s="166">
        <v>0</v>
      </c>
      <c r="H112" s="166">
        <v>0</v>
      </c>
      <c r="I112" s="166">
        <v>0</v>
      </c>
      <c r="J112" s="166">
        <v>0</v>
      </c>
      <c r="K112" s="166">
        <f>'[9]Обращ V и фин ПР 10'!O111</f>
        <v>0</v>
      </c>
      <c r="L112" s="166">
        <f>'[9]Обращ V и фин ПР 10'!P111</f>
        <v>0</v>
      </c>
      <c r="M112" s="166">
        <f>'[9]Обращ V и фин ПР 10'!Q111</f>
        <v>0</v>
      </c>
      <c r="N112" s="166">
        <f>'[9]Обращ V и фин ПР 10'!S111</f>
        <v>0</v>
      </c>
      <c r="O112" s="166">
        <f>'[9]Обращ V и фин ПР 10'!T111</f>
        <v>0</v>
      </c>
      <c r="P112" s="166">
        <f>'[9]Обращ V и фин ПР 10'!V111</f>
        <v>0</v>
      </c>
      <c r="Q112" s="166">
        <f>'[9]Обращ V и фин ПР 10'!W111</f>
        <v>0</v>
      </c>
      <c r="R112" s="166">
        <v>0</v>
      </c>
      <c r="S112" s="166">
        <v>0</v>
      </c>
      <c r="T112" s="166">
        <v>0</v>
      </c>
      <c r="U112" s="166">
        <v>0</v>
      </c>
      <c r="V112" s="166">
        <f>'[9]Обращ V и фин ПР 10'!Y111</f>
        <v>0</v>
      </c>
      <c r="W112" s="166">
        <f>'[9]Обращ V и фин ПР 10'!Z111</f>
        <v>0</v>
      </c>
      <c r="X112" s="167">
        <f t="shared" si="8"/>
        <v>27212</v>
      </c>
      <c r="Y112" s="166">
        <v>2080</v>
      </c>
      <c r="Z112" s="166">
        <v>562</v>
      </c>
      <c r="AA112" s="166">
        <v>4181</v>
      </c>
      <c r="AB112" s="166">
        <v>920</v>
      </c>
      <c r="AC112" s="166">
        <v>84</v>
      </c>
      <c r="AD112" s="166">
        <v>18</v>
      </c>
      <c r="AE112" s="166">
        <v>2007</v>
      </c>
      <c r="AF112" s="166">
        <v>442</v>
      </c>
      <c r="AG112" s="166">
        <v>14020</v>
      </c>
      <c r="AH112" s="166">
        <v>5449</v>
      </c>
    </row>
    <row r="113" spans="1:34" ht="13.5" customHeight="1" x14ac:dyDescent="0.2">
      <c r="A113" s="163">
        <v>100</v>
      </c>
      <c r="B113" s="164" t="s">
        <v>159</v>
      </c>
      <c r="C113" s="165" t="s">
        <v>160</v>
      </c>
      <c r="D113" s="166">
        <f t="shared" si="6"/>
        <v>42270</v>
      </c>
      <c r="E113" s="166">
        <f t="shared" si="9"/>
        <v>32510</v>
      </c>
      <c r="F113" s="166">
        <f t="shared" si="7"/>
        <v>9760</v>
      </c>
      <c r="G113" s="166">
        <v>0</v>
      </c>
      <c r="H113" s="166">
        <v>0</v>
      </c>
      <c r="I113" s="166">
        <v>0</v>
      </c>
      <c r="J113" s="166">
        <v>0</v>
      </c>
      <c r="K113" s="166">
        <f>'[9]Обращ V и фин ПР 10'!O112</f>
        <v>0</v>
      </c>
      <c r="L113" s="166">
        <f>'[9]Обращ V и фин ПР 10'!P112</f>
        <v>0</v>
      </c>
      <c r="M113" s="166">
        <f>'[9]Обращ V и фин ПР 10'!Q112</f>
        <v>0</v>
      </c>
      <c r="N113" s="166">
        <f>'[9]Обращ V и фин ПР 10'!S112</f>
        <v>0</v>
      </c>
      <c r="O113" s="166">
        <f>'[9]Обращ V и фин ПР 10'!T112</f>
        <v>0</v>
      </c>
      <c r="P113" s="166">
        <f>'[9]Обращ V и фин ПР 10'!V112</f>
        <v>0</v>
      </c>
      <c r="Q113" s="166">
        <f>'[9]Обращ V и фин ПР 10'!W112</f>
        <v>0</v>
      </c>
      <c r="R113" s="166">
        <v>0</v>
      </c>
      <c r="S113" s="166">
        <v>0</v>
      </c>
      <c r="T113" s="166">
        <v>0</v>
      </c>
      <c r="U113" s="166">
        <v>0</v>
      </c>
      <c r="V113" s="166">
        <f>'[9]Обращ V и фин ПР 10'!Y112</f>
        <v>0</v>
      </c>
      <c r="W113" s="166">
        <f>'[9]Обращ V и фин ПР 10'!Z112</f>
        <v>0</v>
      </c>
      <c r="X113" s="167">
        <f t="shared" si="8"/>
        <v>42270</v>
      </c>
      <c r="Y113" s="166">
        <v>4389</v>
      </c>
      <c r="Z113" s="166">
        <v>820</v>
      </c>
      <c r="AA113" s="166">
        <v>2665</v>
      </c>
      <c r="AB113" s="166">
        <v>720</v>
      </c>
      <c r="AC113" s="166">
        <v>849</v>
      </c>
      <c r="AD113" s="166">
        <v>229</v>
      </c>
      <c r="AE113" s="166">
        <v>484</v>
      </c>
      <c r="AF113" s="166">
        <v>131</v>
      </c>
      <c r="AG113" s="166">
        <v>25456</v>
      </c>
      <c r="AH113" s="166">
        <v>8220</v>
      </c>
    </row>
    <row r="114" spans="1:34" ht="13.5" customHeight="1" x14ac:dyDescent="0.2">
      <c r="A114" s="163">
        <v>101</v>
      </c>
      <c r="B114" s="164" t="s">
        <v>161</v>
      </c>
      <c r="C114" s="170" t="s">
        <v>162</v>
      </c>
      <c r="D114" s="166">
        <f t="shared" si="6"/>
        <v>41540</v>
      </c>
      <c r="E114" s="166">
        <f t="shared" si="9"/>
        <v>27777</v>
      </c>
      <c r="F114" s="166">
        <f t="shared" si="7"/>
        <v>13763</v>
      </c>
      <c r="G114" s="166">
        <v>0</v>
      </c>
      <c r="H114" s="166">
        <v>0</v>
      </c>
      <c r="I114" s="166">
        <v>0</v>
      </c>
      <c r="J114" s="166">
        <v>0</v>
      </c>
      <c r="K114" s="166">
        <f>'[9]Обращ V и фин ПР 10'!O113</f>
        <v>0</v>
      </c>
      <c r="L114" s="166">
        <f>'[9]Обращ V и фин ПР 10'!P113</f>
        <v>0</v>
      </c>
      <c r="M114" s="166">
        <f>'[9]Обращ V и фин ПР 10'!Q113</f>
        <v>0</v>
      </c>
      <c r="N114" s="166">
        <f>'[9]Обращ V и фин ПР 10'!S113</f>
        <v>0</v>
      </c>
      <c r="O114" s="166">
        <f>'[9]Обращ V и фин ПР 10'!T113</f>
        <v>0</v>
      </c>
      <c r="P114" s="166">
        <f>'[9]Обращ V и фин ПР 10'!V113</f>
        <v>0</v>
      </c>
      <c r="Q114" s="166">
        <f>'[9]Обращ V и фин ПР 10'!W113</f>
        <v>0</v>
      </c>
      <c r="R114" s="166">
        <v>0</v>
      </c>
      <c r="S114" s="166">
        <v>0</v>
      </c>
      <c r="T114" s="166">
        <v>0</v>
      </c>
      <c r="U114" s="166">
        <v>0</v>
      </c>
      <c r="V114" s="166">
        <f>'[9]Обращ V и фин ПР 10'!Y113</f>
        <v>0</v>
      </c>
      <c r="W114" s="166">
        <f>'[9]Обращ V и фин ПР 10'!Z113</f>
        <v>0</v>
      </c>
      <c r="X114" s="167">
        <f t="shared" si="8"/>
        <v>41540</v>
      </c>
      <c r="Y114" s="166">
        <v>4037</v>
      </c>
      <c r="Z114" s="166">
        <v>952</v>
      </c>
      <c r="AA114" s="166">
        <v>5900</v>
      </c>
      <c r="AB114" s="166">
        <v>1350</v>
      </c>
      <c r="AC114" s="166">
        <v>1967</v>
      </c>
      <c r="AD114" s="166">
        <v>450</v>
      </c>
      <c r="AE114" s="166">
        <v>983</v>
      </c>
      <c r="AF114" s="166">
        <v>225</v>
      </c>
      <c r="AG114" s="166">
        <v>17840</v>
      </c>
      <c r="AH114" s="166">
        <v>11461</v>
      </c>
    </row>
    <row r="115" spans="1:34" ht="13.5" customHeight="1" x14ac:dyDescent="0.2">
      <c r="A115" s="163">
        <v>102</v>
      </c>
      <c r="B115" s="164" t="s">
        <v>163</v>
      </c>
      <c r="C115" s="165" t="s">
        <v>164</v>
      </c>
      <c r="D115" s="166">
        <f t="shared" si="6"/>
        <v>50206</v>
      </c>
      <c r="E115" s="166">
        <f t="shared" si="9"/>
        <v>35453</v>
      </c>
      <c r="F115" s="166">
        <f t="shared" si="7"/>
        <v>14753</v>
      </c>
      <c r="G115" s="166">
        <v>205</v>
      </c>
      <c r="H115" s="166">
        <v>0</v>
      </c>
      <c r="I115" s="166">
        <v>2253</v>
      </c>
      <c r="J115" s="166">
        <v>0</v>
      </c>
      <c r="K115" s="166">
        <f>'[9]Обращ V и фин ПР 10'!O114</f>
        <v>0</v>
      </c>
      <c r="L115" s="166">
        <f>'[9]Обращ V и фин ПР 10'!P114</f>
        <v>0</v>
      </c>
      <c r="M115" s="166">
        <f>'[9]Обращ V и фин ПР 10'!Q114</f>
        <v>0</v>
      </c>
      <c r="N115" s="166">
        <f>'[9]Обращ V и фин ПР 10'!S114</f>
        <v>0</v>
      </c>
      <c r="O115" s="166">
        <f>'[9]Обращ V и фин ПР 10'!T114</f>
        <v>0</v>
      </c>
      <c r="P115" s="166">
        <f>'[9]Обращ V и фин ПР 10'!V114</f>
        <v>0</v>
      </c>
      <c r="Q115" s="166">
        <f>'[9]Обращ V и фин ПР 10'!W114</f>
        <v>0</v>
      </c>
      <c r="R115" s="166">
        <v>0</v>
      </c>
      <c r="S115" s="166">
        <v>0</v>
      </c>
      <c r="T115" s="166">
        <v>0</v>
      </c>
      <c r="U115" s="166">
        <v>0</v>
      </c>
      <c r="V115" s="166">
        <f>'[9]Обращ V и фин ПР 10'!Y114</f>
        <v>0</v>
      </c>
      <c r="W115" s="166">
        <f>'[9]Обращ V и фин ПР 10'!Z114</f>
        <v>0</v>
      </c>
      <c r="X115" s="167">
        <f t="shared" si="8"/>
        <v>47748</v>
      </c>
      <c r="Y115" s="166">
        <v>4500</v>
      </c>
      <c r="Z115" s="166">
        <v>600</v>
      </c>
      <c r="AA115" s="166">
        <v>3649</v>
      </c>
      <c r="AB115" s="166">
        <v>1500</v>
      </c>
      <c r="AC115" s="166">
        <v>1173</v>
      </c>
      <c r="AD115" s="166">
        <v>482</v>
      </c>
      <c r="AE115" s="166">
        <v>652</v>
      </c>
      <c r="AF115" s="166">
        <v>268</v>
      </c>
      <c r="AG115" s="166">
        <v>24846</v>
      </c>
      <c r="AH115" s="166">
        <v>12653</v>
      </c>
    </row>
    <row r="116" spans="1:34" ht="13.5" customHeight="1" x14ac:dyDescent="0.2">
      <c r="A116" s="163">
        <v>103</v>
      </c>
      <c r="B116" s="163" t="s">
        <v>165</v>
      </c>
      <c r="C116" s="181" t="s">
        <v>166</v>
      </c>
      <c r="D116" s="166">
        <f t="shared" si="6"/>
        <v>31534</v>
      </c>
      <c r="E116" s="166">
        <f t="shared" si="9"/>
        <v>21510</v>
      </c>
      <c r="F116" s="166">
        <f t="shared" si="7"/>
        <v>10024</v>
      </c>
      <c r="G116" s="166">
        <v>0</v>
      </c>
      <c r="H116" s="166">
        <v>0</v>
      </c>
      <c r="I116" s="166">
        <v>0</v>
      </c>
      <c r="J116" s="166">
        <v>0</v>
      </c>
      <c r="K116" s="166">
        <f>'[9]Обращ V и фин ПР 10'!O115</f>
        <v>0</v>
      </c>
      <c r="L116" s="166">
        <f>'[9]Обращ V и фин ПР 10'!P115</f>
        <v>0</v>
      </c>
      <c r="M116" s="166">
        <f>'[9]Обращ V и фин ПР 10'!Q115</f>
        <v>0</v>
      </c>
      <c r="N116" s="166">
        <f>'[9]Обращ V и фин ПР 10'!S115</f>
        <v>0</v>
      </c>
      <c r="O116" s="166">
        <f>'[9]Обращ V и фин ПР 10'!T115</f>
        <v>0</v>
      </c>
      <c r="P116" s="166">
        <f>'[9]Обращ V и фин ПР 10'!V115</f>
        <v>0</v>
      </c>
      <c r="Q116" s="166">
        <f>'[9]Обращ V и фин ПР 10'!W115</f>
        <v>0</v>
      </c>
      <c r="R116" s="166">
        <v>0</v>
      </c>
      <c r="S116" s="166">
        <v>0</v>
      </c>
      <c r="T116" s="166">
        <v>0</v>
      </c>
      <c r="U116" s="166">
        <v>0</v>
      </c>
      <c r="V116" s="166">
        <f>'[9]Обращ V и фин ПР 10'!Y115</f>
        <v>0</v>
      </c>
      <c r="W116" s="166">
        <f>'[9]Обращ V и фин ПР 10'!Z115</f>
        <v>0</v>
      </c>
      <c r="X116" s="167">
        <f t="shared" si="8"/>
        <v>31534</v>
      </c>
      <c r="Y116" s="166">
        <v>4356</v>
      </c>
      <c r="Z116" s="166">
        <v>2524</v>
      </c>
      <c r="AA116" s="166">
        <v>1200</v>
      </c>
      <c r="AB116" s="166">
        <v>800</v>
      </c>
      <c r="AC116" s="166">
        <v>450</v>
      </c>
      <c r="AD116" s="166">
        <v>300</v>
      </c>
      <c r="AE116" s="166">
        <v>150</v>
      </c>
      <c r="AF116" s="166">
        <v>100</v>
      </c>
      <c r="AG116" s="166">
        <v>15954</v>
      </c>
      <c r="AH116" s="166">
        <v>6700</v>
      </c>
    </row>
    <row r="117" spans="1:34" ht="13.5" customHeight="1" x14ac:dyDescent="0.2">
      <c r="A117" s="163">
        <v>104</v>
      </c>
      <c r="B117" s="164" t="s">
        <v>167</v>
      </c>
      <c r="C117" s="172" t="s">
        <v>168</v>
      </c>
      <c r="D117" s="166">
        <f t="shared" si="6"/>
        <v>46792</v>
      </c>
      <c r="E117" s="166">
        <f t="shared" si="9"/>
        <v>34986</v>
      </c>
      <c r="F117" s="166">
        <f t="shared" si="7"/>
        <v>11806</v>
      </c>
      <c r="G117" s="166">
        <v>0</v>
      </c>
      <c r="H117" s="166">
        <v>0</v>
      </c>
      <c r="I117" s="166">
        <v>0</v>
      </c>
      <c r="J117" s="166">
        <v>0</v>
      </c>
      <c r="K117" s="166">
        <f>'[9]Обращ V и фин ПР 10'!O116</f>
        <v>0</v>
      </c>
      <c r="L117" s="166">
        <f>'[9]Обращ V и фин ПР 10'!P116</f>
        <v>0</v>
      </c>
      <c r="M117" s="166">
        <f>'[9]Обращ V и фин ПР 10'!Q116</f>
        <v>0</v>
      </c>
      <c r="N117" s="166">
        <f>'[9]Обращ V и фин ПР 10'!S116</f>
        <v>0</v>
      </c>
      <c r="O117" s="166">
        <f>'[9]Обращ V и фин ПР 10'!T116</f>
        <v>0</v>
      </c>
      <c r="P117" s="166">
        <f>'[9]Обращ V и фин ПР 10'!V116</f>
        <v>0</v>
      </c>
      <c r="Q117" s="166">
        <f>'[9]Обращ V и фин ПР 10'!W116</f>
        <v>0</v>
      </c>
      <c r="R117" s="166">
        <v>0</v>
      </c>
      <c r="S117" s="166">
        <v>0</v>
      </c>
      <c r="T117" s="166">
        <v>0</v>
      </c>
      <c r="U117" s="166">
        <v>0</v>
      </c>
      <c r="V117" s="166">
        <f>'[9]Обращ V и фин ПР 10'!Y116</f>
        <v>0</v>
      </c>
      <c r="W117" s="166">
        <f>'[9]Обращ V и фин ПР 10'!Z116</f>
        <v>0</v>
      </c>
      <c r="X117" s="167">
        <f t="shared" si="8"/>
        <v>46792</v>
      </c>
      <c r="Y117" s="166">
        <v>4760</v>
      </c>
      <c r="Z117" s="166">
        <v>496</v>
      </c>
      <c r="AA117" s="166">
        <v>3840</v>
      </c>
      <c r="AB117" s="166">
        <v>1200</v>
      </c>
      <c r="AC117" s="166">
        <v>1280</v>
      </c>
      <c r="AD117" s="166">
        <v>400</v>
      </c>
      <c r="AE117" s="166">
        <v>640</v>
      </c>
      <c r="AF117" s="166">
        <v>200</v>
      </c>
      <c r="AG117" s="166">
        <v>26386</v>
      </c>
      <c r="AH117" s="166">
        <v>10110</v>
      </c>
    </row>
    <row r="118" spans="1:34" ht="13.5" customHeight="1" x14ac:dyDescent="0.2">
      <c r="A118" s="163">
        <v>105</v>
      </c>
      <c r="B118" s="164" t="s">
        <v>169</v>
      </c>
      <c r="C118" s="172" t="s">
        <v>170</v>
      </c>
      <c r="D118" s="166">
        <f t="shared" si="6"/>
        <v>78958</v>
      </c>
      <c r="E118" s="166">
        <f t="shared" si="9"/>
        <v>61603</v>
      </c>
      <c r="F118" s="166">
        <f t="shared" si="7"/>
        <v>17355</v>
      </c>
      <c r="G118" s="166">
        <v>0</v>
      </c>
      <c r="H118" s="166">
        <v>0</v>
      </c>
      <c r="I118" s="166">
        <v>0</v>
      </c>
      <c r="J118" s="166">
        <v>0</v>
      </c>
      <c r="K118" s="166">
        <f>'[9]Обращ V и фин ПР 10'!O117</f>
        <v>0</v>
      </c>
      <c r="L118" s="166">
        <f>'[9]Обращ V и фин ПР 10'!P117</f>
        <v>0</v>
      </c>
      <c r="M118" s="166">
        <f>'[9]Обращ V и фин ПР 10'!Q117</f>
        <v>0</v>
      </c>
      <c r="N118" s="166">
        <f>'[9]Обращ V и фин ПР 10'!S117</f>
        <v>0</v>
      </c>
      <c r="O118" s="166">
        <f>'[9]Обращ V и фин ПР 10'!T117</f>
        <v>0</v>
      </c>
      <c r="P118" s="166">
        <f>'[9]Обращ V и фин ПР 10'!V117</f>
        <v>0</v>
      </c>
      <c r="Q118" s="166">
        <f>'[9]Обращ V и фин ПР 10'!W117</f>
        <v>0</v>
      </c>
      <c r="R118" s="166">
        <v>0</v>
      </c>
      <c r="S118" s="166">
        <v>0</v>
      </c>
      <c r="T118" s="166">
        <v>0</v>
      </c>
      <c r="U118" s="166">
        <v>0</v>
      </c>
      <c r="V118" s="166">
        <f>'[9]Обращ V и фин ПР 10'!Y117</f>
        <v>0</v>
      </c>
      <c r="W118" s="166">
        <f>'[9]Обращ V и фин ПР 10'!Z117</f>
        <v>0</v>
      </c>
      <c r="X118" s="167">
        <f t="shared" si="8"/>
        <v>78958</v>
      </c>
      <c r="Y118" s="166">
        <v>10345</v>
      </c>
      <c r="Z118" s="166">
        <v>418</v>
      </c>
      <c r="AA118" s="166">
        <v>8755</v>
      </c>
      <c r="AB118" s="166">
        <v>1500</v>
      </c>
      <c r="AC118" s="166">
        <v>2869</v>
      </c>
      <c r="AD118" s="166">
        <v>491</v>
      </c>
      <c r="AE118" s="166">
        <v>1509</v>
      </c>
      <c r="AF118" s="166">
        <v>259</v>
      </c>
      <c r="AG118" s="166">
        <v>42503</v>
      </c>
      <c r="AH118" s="166">
        <v>15437</v>
      </c>
    </row>
    <row r="119" spans="1:34" ht="13.5" customHeight="1" x14ac:dyDescent="0.2">
      <c r="A119" s="163">
        <v>106</v>
      </c>
      <c r="B119" s="164" t="s">
        <v>171</v>
      </c>
      <c r="C119" s="172" t="s">
        <v>216</v>
      </c>
      <c r="D119" s="166">
        <f t="shared" si="6"/>
        <v>36595</v>
      </c>
      <c r="E119" s="166">
        <f t="shared" si="9"/>
        <v>28057</v>
      </c>
      <c r="F119" s="166">
        <f t="shared" si="7"/>
        <v>8538</v>
      </c>
      <c r="G119" s="166">
        <v>0</v>
      </c>
      <c r="H119" s="166">
        <v>0</v>
      </c>
      <c r="I119" s="166">
        <v>0</v>
      </c>
      <c r="J119" s="166">
        <v>0</v>
      </c>
      <c r="K119" s="166">
        <f>'[9]Обращ V и фин ПР 10'!O118</f>
        <v>0</v>
      </c>
      <c r="L119" s="166">
        <f>'[9]Обращ V и фин ПР 10'!P118</f>
        <v>0</v>
      </c>
      <c r="M119" s="166">
        <f>'[9]Обращ V и фин ПР 10'!Q118</f>
        <v>0</v>
      </c>
      <c r="N119" s="166">
        <f>'[9]Обращ V и фин ПР 10'!S118</f>
        <v>0</v>
      </c>
      <c r="O119" s="166">
        <f>'[9]Обращ V и фин ПР 10'!T118</f>
        <v>0</v>
      </c>
      <c r="P119" s="166">
        <f>'[9]Обращ V и фин ПР 10'!V118</f>
        <v>0</v>
      </c>
      <c r="Q119" s="166">
        <f>'[9]Обращ V и фин ПР 10'!W118</f>
        <v>0</v>
      </c>
      <c r="R119" s="166">
        <v>0</v>
      </c>
      <c r="S119" s="166">
        <v>0</v>
      </c>
      <c r="T119" s="166">
        <v>0</v>
      </c>
      <c r="U119" s="166">
        <v>0</v>
      </c>
      <c r="V119" s="166">
        <f>'[9]Обращ V и фин ПР 10'!Y118</f>
        <v>0</v>
      </c>
      <c r="W119" s="166">
        <f>'[9]Обращ V и фин ПР 10'!Z118</f>
        <v>0</v>
      </c>
      <c r="X119" s="167">
        <f t="shared" si="8"/>
        <v>36595</v>
      </c>
      <c r="Y119" s="166">
        <v>3691</v>
      </c>
      <c r="Z119" s="166">
        <v>465</v>
      </c>
      <c r="AA119" s="166">
        <v>3250</v>
      </c>
      <c r="AB119" s="166">
        <v>450</v>
      </c>
      <c r="AC119" s="166">
        <v>1034</v>
      </c>
      <c r="AD119" s="166">
        <v>143</v>
      </c>
      <c r="AE119" s="166">
        <v>591</v>
      </c>
      <c r="AF119" s="166">
        <v>82</v>
      </c>
      <c r="AG119" s="166">
        <v>21116</v>
      </c>
      <c r="AH119" s="166">
        <v>7623</v>
      </c>
    </row>
    <row r="120" spans="1:34" ht="13.5" customHeight="1" x14ac:dyDescent="0.2">
      <c r="A120" s="163">
        <v>107</v>
      </c>
      <c r="B120" s="164" t="s">
        <v>373</v>
      </c>
      <c r="C120" s="170" t="s">
        <v>374</v>
      </c>
      <c r="D120" s="166">
        <f t="shared" si="6"/>
        <v>1722</v>
      </c>
      <c r="E120" s="166">
        <f t="shared" si="9"/>
        <v>1722</v>
      </c>
      <c r="F120" s="166">
        <f t="shared" si="7"/>
        <v>0</v>
      </c>
      <c r="G120" s="166">
        <v>0</v>
      </c>
      <c r="H120" s="166">
        <v>0</v>
      </c>
      <c r="I120" s="166">
        <v>0</v>
      </c>
      <c r="J120" s="166">
        <v>0</v>
      </c>
      <c r="K120" s="166">
        <f>'[9]Обращ V и фин ПР 10'!O119</f>
        <v>0</v>
      </c>
      <c r="L120" s="166">
        <f>'[9]Обращ V и фин ПР 10'!P119</f>
        <v>0</v>
      </c>
      <c r="M120" s="166">
        <f>'[9]Обращ V и фин ПР 10'!Q119</f>
        <v>0</v>
      </c>
      <c r="N120" s="166">
        <f>'[9]Обращ V и фин ПР 10'!S119</f>
        <v>1722</v>
      </c>
      <c r="O120" s="166">
        <f>'[9]Обращ V и фин ПР 10'!T119</f>
        <v>0</v>
      </c>
      <c r="P120" s="166">
        <f>'[9]Обращ V и фин ПР 10'!V119</f>
        <v>0</v>
      </c>
      <c r="Q120" s="166">
        <f>'[9]Обращ V и фин ПР 10'!W119</f>
        <v>0</v>
      </c>
      <c r="R120" s="166">
        <v>0</v>
      </c>
      <c r="S120" s="166">
        <v>0</v>
      </c>
      <c r="T120" s="166">
        <v>0</v>
      </c>
      <c r="U120" s="166">
        <v>0</v>
      </c>
      <c r="V120" s="166">
        <f>'[9]Обращ V и фин ПР 10'!Y119</f>
        <v>0</v>
      </c>
      <c r="W120" s="166">
        <f>'[9]Обращ V и фин ПР 10'!Z119</f>
        <v>0</v>
      </c>
      <c r="X120" s="167">
        <f t="shared" si="8"/>
        <v>0</v>
      </c>
      <c r="Y120" s="166">
        <v>0</v>
      </c>
      <c r="Z120" s="166">
        <v>0</v>
      </c>
      <c r="AA120" s="166">
        <v>0</v>
      </c>
      <c r="AB120" s="166">
        <v>0</v>
      </c>
      <c r="AC120" s="166">
        <v>0</v>
      </c>
      <c r="AD120" s="166">
        <v>0</v>
      </c>
      <c r="AE120" s="166">
        <v>0</v>
      </c>
      <c r="AF120" s="166">
        <v>0</v>
      </c>
      <c r="AG120" s="166">
        <v>0</v>
      </c>
      <c r="AH120" s="166">
        <v>0</v>
      </c>
    </row>
    <row r="121" spans="1:34" ht="13.5" customHeight="1" x14ac:dyDescent="0.2">
      <c r="A121" s="163">
        <v>108</v>
      </c>
      <c r="B121" s="164" t="s">
        <v>375</v>
      </c>
      <c r="C121" s="165" t="s">
        <v>376</v>
      </c>
      <c r="D121" s="166">
        <f t="shared" si="6"/>
        <v>416</v>
      </c>
      <c r="E121" s="166">
        <f t="shared" si="9"/>
        <v>416</v>
      </c>
      <c r="F121" s="166">
        <f t="shared" si="7"/>
        <v>0</v>
      </c>
      <c r="G121" s="166">
        <v>0</v>
      </c>
      <c r="H121" s="166">
        <v>0</v>
      </c>
      <c r="I121" s="166">
        <v>0</v>
      </c>
      <c r="J121" s="166">
        <v>0</v>
      </c>
      <c r="K121" s="166">
        <f>'[9]Обращ V и фин ПР 10'!O120</f>
        <v>0</v>
      </c>
      <c r="L121" s="166">
        <f>'[9]Обращ V и фин ПР 10'!P120</f>
        <v>0</v>
      </c>
      <c r="M121" s="166">
        <f>'[9]Обращ V и фин ПР 10'!Q120</f>
        <v>0</v>
      </c>
      <c r="N121" s="166">
        <f>'[9]Обращ V и фин ПР 10'!S120</f>
        <v>416</v>
      </c>
      <c r="O121" s="166">
        <f>'[9]Обращ V и фин ПР 10'!T120</f>
        <v>0</v>
      </c>
      <c r="P121" s="166">
        <f>'[9]Обращ V и фин ПР 10'!V120</f>
        <v>0</v>
      </c>
      <c r="Q121" s="166">
        <f>'[9]Обращ V и фин ПР 10'!W120</f>
        <v>0</v>
      </c>
      <c r="R121" s="166">
        <v>0</v>
      </c>
      <c r="S121" s="166">
        <v>0</v>
      </c>
      <c r="T121" s="166">
        <v>0</v>
      </c>
      <c r="U121" s="166">
        <v>0</v>
      </c>
      <c r="V121" s="166">
        <f>'[9]Обращ V и фин ПР 10'!Y120</f>
        <v>0</v>
      </c>
      <c r="W121" s="166">
        <f>'[9]Обращ V и фин ПР 10'!Z120</f>
        <v>0</v>
      </c>
      <c r="X121" s="167">
        <f t="shared" si="8"/>
        <v>0</v>
      </c>
      <c r="Y121" s="166">
        <v>0</v>
      </c>
      <c r="Z121" s="166">
        <v>0</v>
      </c>
      <c r="AA121" s="166">
        <v>0</v>
      </c>
      <c r="AB121" s="166">
        <v>0</v>
      </c>
      <c r="AC121" s="166">
        <v>0</v>
      </c>
      <c r="AD121" s="166">
        <v>0</v>
      </c>
      <c r="AE121" s="166">
        <v>0</v>
      </c>
      <c r="AF121" s="166">
        <v>0</v>
      </c>
      <c r="AG121" s="166">
        <v>0</v>
      </c>
      <c r="AH121" s="166">
        <v>0</v>
      </c>
    </row>
    <row r="122" spans="1:34" ht="13.5" customHeight="1" x14ac:dyDescent="0.2">
      <c r="A122" s="163">
        <v>109</v>
      </c>
      <c r="B122" s="164" t="s">
        <v>377</v>
      </c>
      <c r="C122" s="172" t="s">
        <v>378</v>
      </c>
      <c r="D122" s="166">
        <f t="shared" si="6"/>
        <v>29</v>
      </c>
      <c r="E122" s="166">
        <f t="shared" si="9"/>
        <v>29</v>
      </c>
      <c r="F122" s="166">
        <f t="shared" si="7"/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f>'[9]Обращ V и фин ПР 10'!O121</f>
        <v>0</v>
      </c>
      <c r="L122" s="166">
        <f>'[9]Обращ V и фин ПР 10'!P121</f>
        <v>0</v>
      </c>
      <c r="M122" s="166">
        <f>'[9]Обращ V и фин ПР 10'!Q121</f>
        <v>0</v>
      </c>
      <c r="N122" s="166">
        <f>'[9]Обращ V и фин ПР 10'!S121</f>
        <v>29</v>
      </c>
      <c r="O122" s="166">
        <f>'[9]Обращ V и фин ПР 10'!T121</f>
        <v>0</v>
      </c>
      <c r="P122" s="166">
        <f>'[9]Обращ V и фин ПР 10'!V121</f>
        <v>0</v>
      </c>
      <c r="Q122" s="166">
        <f>'[9]Обращ V и фин ПР 10'!W121</f>
        <v>0</v>
      </c>
      <c r="R122" s="166">
        <v>0</v>
      </c>
      <c r="S122" s="166">
        <v>0</v>
      </c>
      <c r="T122" s="166">
        <v>0</v>
      </c>
      <c r="U122" s="166">
        <v>0</v>
      </c>
      <c r="V122" s="166">
        <f>'[9]Обращ V и фин ПР 10'!Y121</f>
        <v>0</v>
      </c>
      <c r="W122" s="166">
        <f>'[9]Обращ V и фин ПР 10'!Z121</f>
        <v>0</v>
      </c>
      <c r="X122" s="167">
        <f t="shared" si="8"/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</row>
    <row r="123" spans="1:34" ht="25.5" customHeight="1" x14ac:dyDescent="0.2">
      <c r="A123" s="163">
        <v>110</v>
      </c>
      <c r="B123" s="164" t="s">
        <v>379</v>
      </c>
      <c r="C123" s="172" t="s">
        <v>380</v>
      </c>
      <c r="D123" s="166">
        <f t="shared" si="6"/>
        <v>13</v>
      </c>
      <c r="E123" s="166">
        <f t="shared" si="9"/>
        <v>13</v>
      </c>
      <c r="F123" s="166">
        <f t="shared" si="7"/>
        <v>0</v>
      </c>
      <c r="G123" s="166">
        <v>0</v>
      </c>
      <c r="H123" s="166">
        <v>0</v>
      </c>
      <c r="I123" s="166">
        <v>0</v>
      </c>
      <c r="J123" s="166">
        <v>0</v>
      </c>
      <c r="K123" s="166">
        <f>'[9]Обращ V и фин ПР 10'!O122</f>
        <v>0</v>
      </c>
      <c r="L123" s="166">
        <f>'[9]Обращ V и фин ПР 10'!P122</f>
        <v>0</v>
      </c>
      <c r="M123" s="166">
        <f>'[9]Обращ V и фин ПР 10'!Q122</f>
        <v>0</v>
      </c>
      <c r="N123" s="166">
        <f>'[9]Обращ V и фин ПР 10'!S122</f>
        <v>13</v>
      </c>
      <c r="O123" s="166">
        <f>'[9]Обращ V и фин ПР 10'!T122</f>
        <v>0</v>
      </c>
      <c r="P123" s="166">
        <f>'[9]Обращ V и фин ПР 10'!V122</f>
        <v>0</v>
      </c>
      <c r="Q123" s="166">
        <f>'[9]Обращ V и фин ПР 10'!W122</f>
        <v>0</v>
      </c>
      <c r="R123" s="166">
        <v>0</v>
      </c>
      <c r="S123" s="166">
        <v>0</v>
      </c>
      <c r="T123" s="166">
        <v>0</v>
      </c>
      <c r="U123" s="166">
        <v>0</v>
      </c>
      <c r="V123" s="166">
        <f>'[9]Обращ V и фин ПР 10'!Y122</f>
        <v>0</v>
      </c>
      <c r="W123" s="166">
        <f>'[9]Обращ V и фин ПР 10'!Z122</f>
        <v>0</v>
      </c>
      <c r="X123" s="167">
        <f t="shared" si="8"/>
        <v>0</v>
      </c>
      <c r="Y123" s="166">
        <v>0</v>
      </c>
      <c r="Z123" s="166">
        <v>0</v>
      </c>
      <c r="AA123" s="166">
        <v>0</v>
      </c>
      <c r="AB123" s="166">
        <v>0</v>
      </c>
      <c r="AC123" s="166">
        <v>0</v>
      </c>
      <c r="AD123" s="166">
        <v>0</v>
      </c>
      <c r="AE123" s="166">
        <v>0</v>
      </c>
      <c r="AF123" s="166">
        <v>0</v>
      </c>
      <c r="AG123" s="166">
        <v>0</v>
      </c>
      <c r="AH123" s="166">
        <v>0</v>
      </c>
    </row>
    <row r="124" spans="1:34" ht="13.5" customHeight="1" x14ac:dyDescent="0.2">
      <c r="A124" s="163">
        <v>111</v>
      </c>
      <c r="B124" s="164" t="s">
        <v>381</v>
      </c>
      <c r="C124" s="172" t="s">
        <v>382</v>
      </c>
      <c r="D124" s="166">
        <f t="shared" si="6"/>
        <v>8236</v>
      </c>
      <c r="E124" s="166">
        <f t="shared" si="9"/>
        <v>8236</v>
      </c>
      <c r="F124" s="166">
        <f t="shared" si="7"/>
        <v>0</v>
      </c>
      <c r="G124" s="166">
        <v>0</v>
      </c>
      <c r="H124" s="166">
        <v>0</v>
      </c>
      <c r="I124" s="166">
        <v>0</v>
      </c>
      <c r="J124" s="166">
        <v>0</v>
      </c>
      <c r="K124" s="166">
        <f>'[9]Обращ V и фин ПР 10'!O123</f>
        <v>0</v>
      </c>
      <c r="L124" s="166">
        <f>'[9]Обращ V и фин ПР 10'!P123</f>
        <v>0</v>
      </c>
      <c r="M124" s="166">
        <f>'[9]Обращ V и фин ПР 10'!Q123</f>
        <v>0</v>
      </c>
      <c r="N124" s="166">
        <f>'[9]Обращ V и фин ПР 10'!S123</f>
        <v>8236</v>
      </c>
      <c r="O124" s="166">
        <f>'[9]Обращ V и фин ПР 10'!T123</f>
        <v>0</v>
      </c>
      <c r="P124" s="166">
        <f>'[9]Обращ V и фин ПР 10'!V123</f>
        <v>0</v>
      </c>
      <c r="Q124" s="166">
        <f>'[9]Обращ V и фин ПР 10'!W123</f>
        <v>0</v>
      </c>
      <c r="R124" s="166">
        <v>0</v>
      </c>
      <c r="S124" s="166">
        <v>0</v>
      </c>
      <c r="T124" s="166">
        <v>0</v>
      </c>
      <c r="U124" s="166">
        <v>0</v>
      </c>
      <c r="V124" s="166">
        <f>'[9]Обращ V и фин ПР 10'!Y123</f>
        <v>0</v>
      </c>
      <c r="W124" s="166">
        <f>'[9]Обращ V и фин ПР 10'!Z123</f>
        <v>0</v>
      </c>
      <c r="X124" s="167">
        <f t="shared" si="8"/>
        <v>0</v>
      </c>
      <c r="Y124" s="166">
        <v>0</v>
      </c>
      <c r="Z124" s="166">
        <v>0</v>
      </c>
      <c r="AA124" s="166">
        <v>0</v>
      </c>
      <c r="AB124" s="166">
        <v>0</v>
      </c>
      <c r="AC124" s="166">
        <v>0</v>
      </c>
      <c r="AD124" s="166">
        <v>0</v>
      </c>
      <c r="AE124" s="166">
        <v>0</v>
      </c>
      <c r="AF124" s="166">
        <v>0</v>
      </c>
      <c r="AG124" s="166">
        <v>0</v>
      </c>
      <c r="AH124" s="166">
        <v>0</v>
      </c>
    </row>
    <row r="125" spans="1:34" ht="13.5" customHeight="1" x14ac:dyDescent="0.2">
      <c r="A125" s="163">
        <v>112</v>
      </c>
      <c r="B125" s="164" t="s">
        <v>383</v>
      </c>
      <c r="C125" s="165" t="s">
        <v>384</v>
      </c>
      <c r="D125" s="166">
        <f t="shared" si="6"/>
        <v>16</v>
      </c>
      <c r="E125" s="166">
        <f t="shared" si="9"/>
        <v>16</v>
      </c>
      <c r="F125" s="166">
        <f t="shared" si="7"/>
        <v>0</v>
      </c>
      <c r="G125" s="166">
        <v>0</v>
      </c>
      <c r="H125" s="166">
        <v>0</v>
      </c>
      <c r="I125" s="166">
        <v>0</v>
      </c>
      <c r="J125" s="166">
        <v>0</v>
      </c>
      <c r="K125" s="166">
        <f>'[9]Обращ V и фин ПР 10'!O124</f>
        <v>0</v>
      </c>
      <c r="L125" s="166">
        <f>'[9]Обращ V и фин ПР 10'!P124</f>
        <v>0</v>
      </c>
      <c r="M125" s="166">
        <f>'[9]Обращ V и фин ПР 10'!Q124</f>
        <v>0</v>
      </c>
      <c r="N125" s="166">
        <f>'[9]Обращ V и фин ПР 10'!S124</f>
        <v>16</v>
      </c>
      <c r="O125" s="166">
        <f>'[9]Обращ V и фин ПР 10'!T124</f>
        <v>0</v>
      </c>
      <c r="P125" s="166">
        <f>'[9]Обращ V и фин ПР 10'!V124</f>
        <v>0</v>
      </c>
      <c r="Q125" s="166">
        <f>'[9]Обращ V и фин ПР 10'!W124</f>
        <v>0</v>
      </c>
      <c r="R125" s="166">
        <v>0</v>
      </c>
      <c r="S125" s="166">
        <v>0</v>
      </c>
      <c r="T125" s="166">
        <v>0</v>
      </c>
      <c r="U125" s="166">
        <v>0</v>
      </c>
      <c r="V125" s="166">
        <f>'[9]Обращ V и фин ПР 10'!Y124</f>
        <v>0</v>
      </c>
      <c r="W125" s="166">
        <f>'[9]Обращ V и фин ПР 10'!Z124</f>
        <v>0</v>
      </c>
      <c r="X125" s="167">
        <f t="shared" si="8"/>
        <v>0</v>
      </c>
      <c r="Y125" s="166">
        <v>0</v>
      </c>
      <c r="Z125" s="166">
        <v>0</v>
      </c>
      <c r="AA125" s="166">
        <v>0</v>
      </c>
      <c r="AB125" s="166">
        <v>0</v>
      </c>
      <c r="AC125" s="166">
        <v>0</v>
      </c>
      <c r="AD125" s="166">
        <v>0</v>
      </c>
      <c r="AE125" s="166">
        <v>0</v>
      </c>
      <c r="AF125" s="166">
        <v>0</v>
      </c>
      <c r="AG125" s="166">
        <v>0</v>
      </c>
      <c r="AH125" s="166">
        <v>0</v>
      </c>
    </row>
    <row r="126" spans="1:34" ht="13.5" customHeight="1" x14ac:dyDescent="0.2">
      <c r="A126" s="163">
        <v>113</v>
      </c>
      <c r="B126" s="164" t="s">
        <v>179</v>
      </c>
      <c r="C126" s="165" t="s">
        <v>385</v>
      </c>
      <c r="D126" s="166">
        <f t="shared" si="6"/>
        <v>74</v>
      </c>
      <c r="E126" s="166">
        <f t="shared" si="9"/>
        <v>74</v>
      </c>
      <c r="F126" s="166">
        <f t="shared" si="7"/>
        <v>0</v>
      </c>
      <c r="G126" s="166">
        <v>0</v>
      </c>
      <c r="H126" s="166">
        <v>0</v>
      </c>
      <c r="I126" s="166">
        <v>0</v>
      </c>
      <c r="J126" s="166">
        <v>0</v>
      </c>
      <c r="K126" s="166">
        <f>'[9]Обращ V и фин ПР 10'!O125</f>
        <v>0</v>
      </c>
      <c r="L126" s="166">
        <f>'[9]Обращ V и фин ПР 10'!P125</f>
        <v>0</v>
      </c>
      <c r="M126" s="166">
        <f>'[9]Обращ V и фин ПР 10'!Q125</f>
        <v>0</v>
      </c>
      <c r="N126" s="166">
        <f>'[9]Обращ V и фин ПР 10'!S125</f>
        <v>60</v>
      </c>
      <c r="O126" s="166">
        <f>'[9]Обращ V и фин ПР 10'!T125</f>
        <v>0</v>
      </c>
      <c r="P126" s="166">
        <f>'[9]Обращ V и фин ПР 10'!V125</f>
        <v>14</v>
      </c>
      <c r="Q126" s="166">
        <f>'[9]Обращ V и фин ПР 10'!W125</f>
        <v>0</v>
      </c>
      <c r="R126" s="166">
        <v>7</v>
      </c>
      <c r="S126" s="166">
        <v>0</v>
      </c>
      <c r="T126" s="166">
        <v>0</v>
      </c>
      <c r="U126" s="166">
        <v>0</v>
      </c>
      <c r="V126" s="166">
        <f>'[9]Обращ V и фин ПР 10'!Y125</f>
        <v>0</v>
      </c>
      <c r="W126" s="166">
        <f>'[9]Обращ V и фин ПР 10'!Z125</f>
        <v>0</v>
      </c>
      <c r="X126" s="167">
        <f t="shared" si="8"/>
        <v>0</v>
      </c>
      <c r="Y126" s="166">
        <v>0</v>
      </c>
      <c r="Z126" s="166">
        <v>0</v>
      </c>
      <c r="AA126" s="166">
        <v>0</v>
      </c>
      <c r="AB126" s="166">
        <v>0</v>
      </c>
      <c r="AC126" s="166">
        <v>0</v>
      </c>
      <c r="AD126" s="166">
        <v>0</v>
      </c>
      <c r="AE126" s="166">
        <v>0</v>
      </c>
      <c r="AF126" s="166">
        <v>0</v>
      </c>
      <c r="AG126" s="166">
        <v>0</v>
      </c>
      <c r="AH126" s="166">
        <v>0</v>
      </c>
    </row>
    <row r="127" spans="1:34" ht="13.5" customHeight="1" x14ac:dyDescent="0.2">
      <c r="A127" s="163">
        <v>114</v>
      </c>
      <c r="B127" s="164" t="s">
        <v>386</v>
      </c>
      <c r="C127" s="170" t="s">
        <v>387</v>
      </c>
      <c r="D127" s="166">
        <f t="shared" si="6"/>
        <v>760</v>
      </c>
      <c r="E127" s="166">
        <f t="shared" si="9"/>
        <v>760</v>
      </c>
      <c r="F127" s="166">
        <f t="shared" si="7"/>
        <v>0</v>
      </c>
      <c r="G127" s="166">
        <v>0</v>
      </c>
      <c r="H127" s="166">
        <v>0</v>
      </c>
      <c r="I127" s="166">
        <v>0</v>
      </c>
      <c r="J127" s="166">
        <v>0</v>
      </c>
      <c r="K127" s="166">
        <f>'[9]Обращ V и фин ПР 10'!O126</f>
        <v>0</v>
      </c>
      <c r="L127" s="166">
        <f>'[9]Обращ V и фин ПР 10'!P126</f>
        <v>0</v>
      </c>
      <c r="M127" s="166">
        <f>'[9]Обращ V и фин ПР 10'!Q126</f>
        <v>0</v>
      </c>
      <c r="N127" s="166">
        <f>'[9]Обращ V и фин ПР 10'!S126</f>
        <v>760</v>
      </c>
      <c r="O127" s="166">
        <f>'[9]Обращ V и фин ПР 10'!T126</f>
        <v>0</v>
      </c>
      <c r="P127" s="166">
        <f>'[9]Обращ V и фин ПР 10'!V126</f>
        <v>0</v>
      </c>
      <c r="Q127" s="166">
        <f>'[9]Обращ V и фин ПР 10'!W126</f>
        <v>0</v>
      </c>
      <c r="R127" s="166">
        <v>0</v>
      </c>
      <c r="S127" s="166">
        <v>0</v>
      </c>
      <c r="T127" s="166">
        <v>0</v>
      </c>
      <c r="U127" s="166">
        <v>0</v>
      </c>
      <c r="V127" s="166">
        <f>'[9]Обращ V и фин ПР 10'!Y126</f>
        <v>0</v>
      </c>
      <c r="W127" s="166">
        <f>'[9]Обращ V и фин ПР 10'!Z126</f>
        <v>0</v>
      </c>
      <c r="X127" s="167">
        <f t="shared" si="8"/>
        <v>0</v>
      </c>
      <c r="Y127" s="166">
        <v>0</v>
      </c>
      <c r="Z127" s="166">
        <v>0</v>
      </c>
      <c r="AA127" s="166">
        <v>0</v>
      </c>
      <c r="AB127" s="166">
        <v>0</v>
      </c>
      <c r="AC127" s="166">
        <v>0</v>
      </c>
      <c r="AD127" s="166">
        <v>0</v>
      </c>
      <c r="AE127" s="166">
        <v>0</v>
      </c>
      <c r="AF127" s="166">
        <v>0</v>
      </c>
      <c r="AG127" s="166">
        <v>0</v>
      </c>
      <c r="AH127" s="166">
        <v>0</v>
      </c>
    </row>
    <row r="128" spans="1:34" ht="13.5" customHeight="1" x14ac:dyDescent="0.2">
      <c r="A128" s="163">
        <v>115</v>
      </c>
      <c r="B128" s="164" t="s">
        <v>388</v>
      </c>
      <c r="C128" s="165" t="s">
        <v>389</v>
      </c>
      <c r="D128" s="166">
        <f t="shared" si="6"/>
        <v>16</v>
      </c>
      <c r="E128" s="166">
        <f t="shared" si="9"/>
        <v>16</v>
      </c>
      <c r="F128" s="166">
        <f t="shared" si="7"/>
        <v>0</v>
      </c>
      <c r="G128" s="166">
        <v>0</v>
      </c>
      <c r="H128" s="166">
        <v>0</v>
      </c>
      <c r="I128" s="166">
        <v>0</v>
      </c>
      <c r="J128" s="166">
        <v>0</v>
      </c>
      <c r="K128" s="166">
        <f>'[9]Обращ V и фин ПР 10'!O127</f>
        <v>0</v>
      </c>
      <c r="L128" s="166">
        <f>'[9]Обращ V и фин ПР 10'!P127</f>
        <v>0</v>
      </c>
      <c r="M128" s="166">
        <f>'[9]Обращ V и фин ПР 10'!Q127</f>
        <v>0</v>
      </c>
      <c r="N128" s="166">
        <f>'[9]Обращ V и фин ПР 10'!S127</f>
        <v>16</v>
      </c>
      <c r="O128" s="166">
        <f>'[9]Обращ V и фин ПР 10'!T127</f>
        <v>0</v>
      </c>
      <c r="P128" s="166">
        <f>'[9]Обращ V и фин ПР 10'!V127</f>
        <v>0</v>
      </c>
      <c r="Q128" s="166">
        <f>'[9]Обращ V и фин ПР 10'!W127</f>
        <v>0</v>
      </c>
      <c r="R128" s="166">
        <v>0</v>
      </c>
      <c r="S128" s="166">
        <v>0</v>
      </c>
      <c r="T128" s="166">
        <v>0</v>
      </c>
      <c r="U128" s="166">
        <v>0</v>
      </c>
      <c r="V128" s="166">
        <f>'[9]Обращ V и фин ПР 10'!Y127</f>
        <v>0</v>
      </c>
      <c r="W128" s="166">
        <f>'[9]Обращ V и фин ПР 10'!Z127</f>
        <v>0</v>
      </c>
      <c r="X128" s="167">
        <f t="shared" si="8"/>
        <v>0</v>
      </c>
      <c r="Y128" s="166">
        <v>0</v>
      </c>
      <c r="Z128" s="166">
        <v>0</v>
      </c>
      <c r="AA128" s="166">
        <v>0</v>
      </c>
      <c r="AB128" s="166">
        <v>0</v>
      </c>
      <c r="AC128" s="166">
        <v>0</v>
      </c>
      <c r="AD128" s="166">
        <v>0</v>
      </c>
      <c r="AE128" s="166">
        <v>0</v>
      </c>
      <c r="AF128" s="166">
        <v>0</v>
      </c>
      <c r="AG128" s="166">
        <v>0</v>
      </c>
      <c r="AH128" s="166">
        <v>0</v>
      </c>
    </row>
    <row r="129" spans="1:34" ht="13.5" customHeight="1" x14ac:dyDescent="0.2">
      <c r="A129" s="163">
        <v>116</v>
      </c>
      <c r="B129" s="164" t="s">
        <v>390</v>
      </c>
      <c r="C129" s="170" t="s">
        <v>391</v>
      </c>
      <c r="D129" s="166">
        <f t="shared" si="6"/>
        <v>2934</v>
      </c>
      <c r="E129" s="166">
        <f t="shared" si="9"/>
        <v>2934</v>
      </c>
      <c r="F129" s="166">
        <f t="shared" si="7"/>
        <v>0</v>
      </c>
      <c r="G129" s="166">
        <v>0</v>
      </c>
      <c r="H129" s="166">
        <v>0</v>
      </c>
      <c r="I129" s="166">
        <v>0</v>
      </c>
      <c r="J129" s="166">
        <v>0</v>
      </c>
      <c r="K129" s="166">
        <f>'[9]Обращ V и фин ПР 10'!O128</f>
        <v>0</v>
      </c>
      <c r="L129" s="166">
        <f>'[9]Обращ V и фин ПР 10'!P128</f>
        <v>0</v>
      </c>
      <c r="M129" s="166">
        <f>'[9]Обращ V и фин ПР 10'!Q128</f>
        <v>0</v>
      </c>
      <c r="N129" s="166">
        <f>'[9]Обращ V и фин ПР 10'!S128</f>
        <v>2934</v>
      </c>
      <c r="O129" s="166">
        <f>'[9]Обращ V и фин ПР 10'!T128</f>
        <v>0</v>
      </c>
      <c r="P129" s="166">
        <f>'[9]Обращ V и фин ПР 10'!V128</f>
        <v>0</v>
      </c>
      <c r="Q129" s="166">
        <f>'[9]Обращ V и фин ПР 10'!W128</f>
        <v>0</v>
      </c>
      <c r="R129" s="166">
        <v>0</v>
      </c>
      <c r="S129" s="166">
        <v>0</v>
      </c>
      <c r="T129" s="166">
        <v>0</v>
      </c>
      <c r="U129" s="166">
        <v>0</v>
      </c>
      <c r="V129" s="166">
        <f>'[9]Обращ V и фин ПР 10'!Y128</f>
        <v>0</v>
      </c>
      <c r="W129" s="166">
        <f>'[9]Обращ V и фин ПР 10'!Z128</f>
        <v>0</v>
      </c>
      <c r="X129" s="167">
        <f t="shared" si="8"/>
        <v>0</v>
      </c>
      <c r="Y129" s="166">
        <v>0</v>
      </c>
      <c r="Z129" s="166">
        <v>0</v>
      </c>
      <c r="AA129" s="166">
        <v>0</v>
      </c>
      <c r="AB129" s="166">
        <v>0</v>
      </c>
      <c r="AC129" s="166">
        <v>0</v>
      </c>
      <c r="AD129" s="166">
        <v>0</v>
      </c>
      <c r="AE129" s="166">
        <v>0</v>
      </c>
      <c r="AF129" s="166">
        <v>0</v>
      </c>
      <c r="AG129" s="166">
        <v>0</v>
      </c>
      <c r="AH129" s="166">
        <v>0</v>
      </c>
    </row>
    <row r="130" spans="1:34" ht="13.5" customHeight="1" x14ac:dyDescent="0.2">
      <c r="A130" s="163">
        <v>117</v>
      </c>
      <c r="B130" s="164" t="s">
        <v>15</v>
      </c>
      <c r="C130" s="172" t="s">
        <v>392</v>
      </c>
      <c r="D130" s="166">
        <f t="shared" si="6"/>
        <v>297</v>
      </c>
      <c r="E130" s="166">
        <f t="shared" si="9"/>
        <v>297</v>
      </c>
      <c r="F130" s="166">
        <f t="shared" si="7"/>
        <v>0</v>
      </c>
      <c r="G130" s="166">
        <v>0</v>
      </c>
      <c r="H130" s="166">
        <v>0</v>
      </c>
      <c r="I130" s="166">
        <v>0</v>
      </c>
      <c r="J130" s="166">
        <v>0</v>
      </c>
      <c r="K130" s="166">
        <f>'[9]Обращ V и фин ПР 10'!O129</f>
        <v>0</v>
      </c>
      <c r="L130" s="166">
        <f>'[9]Обращ V и фин ПР 10'!P129</f>
        <v>0</v>
      </c>
      <c r="M130" s="166">
        <f>'[9]Обращ V и фин ПР 10'!Q129</f>
        <v>0</v>
      </c>
      <c r="N130" s="166">
        <f>'[9]Обращ V и фин ПР 10'!S129</f>
        <v>297</v>
      </c>
      <c r="O130" s="166">
        <f>'[9]Обращ V и фин ПР 10'!T129</f>
        <v>0</v>
      </c>
      <c r="P130" s="166">
        <f>'[9]Обращ V и фин ПР 10'!V129</f>
        <v>0</v>
      </c>
      <c r="Q130" s="166">
        <f>'[9]Обращ V и фин ПР 10'!W129</f>
        <v>0</v>
      </c>
      <c r="R130" s="166">
        <v>0</v>
      </c>
      <c r="S130" s="166">
        <v>0</v>
      </c>
      <c r="T130" s="166">
        <v>0</v>
      </c>
      <c r="U130" s="166">
        <v>0</v>
      </c>
      <c r="V130" s="166">
        <f>'[9]Обращ V и фин ПР 10'!Y129</f>
        <v>0</v>
      </c>
      <c r="W130" s="166">
        <f>'[9]Обращ V и фин ПР 10'!Z129</f>
        <v>0</v>
      </c>
      <c r="X130" s="167">
        <f t="shared" si="8"/>
        <v>0</v>
      </c>
      <c r="Y130" s="166">
        <v>0</v>
      </c>
      <c r="Z130" s="166">
        <v>0</v>
      </c>
      <c r="AA130" s="166">
        <v>0</v>
      </c>
      <c r="AB130" s="166">
        <v>0</v>
      </c>
      <c r="AC130" s="166">
        <v>0</v>
      </c>
      <c r="AD130" s="166">
        <v>0</v>
      </c>
      <c r="AE130" s="166">
        <v>0</v>
      </c>
      <c r="AF130" s="166">
        <v>0</v>
      </c>
      <c r="AG130" s="166">
        <v>0</v>
      </c>
      <c r="AH130" s="166">
        <v>0</v>
      </c>
    </row>
    <row r="131" spans="1:34" ht="13.5" customHeight="1" x14ac:dyDescent="0.2">
      <c r="A131" s="163">
        <v>118</v>
      </c>
      <c r="B131" s="164" t="s">
        <v>10</v>
      </c>
      <c r="C131" s="172" t="s">
        <v>7</v>
      </c>
      <c r="D131" s="166">
        <f t="shared" si="6"/>
        <v>6309</v>
      </c>
      <c r="E131" s="166">
        <f t="shared" si="9"/>
        <v>0</v>
      </c>
      <c r="F131" s="166">
        <f t="shared" si="7"/>
        <v>6309</v>
      </c>
      <c r="G131" s="166">
        <v>0</v>
      </c>
      <c r="H131" s="166">
        <v>0</v>
      </c>
      <c r="I131" s="166">
        <v>0</v>
      </c>
      <c r="J131" s="166">
        <v>0</v>
      </c>
      <c r="K131" s="166">
        <f>'[9]Обращ V и фин ПР 10'!O130</f>
        <v>0</v>
      </c>
      <c r="L131" s="166">
        <f>'[9]Обращ V и фин ПР 10'!P130</f>
        <v>0</v>
      </c>
      <c r="M131" s="166">
        <f>'[9]Обращ V и фин ПР 10'!Q130</f>
        <v>0</v>
      </c>
      <c r="N131" s="166">
        <f>'[9]Обращ V и фин ПР 10'!S130</f>
        <v>0</v>
      </c>
      <c r="O131" s="166">
        <f>'[9]Обращ V и фин ПР 10'!T130</f>
        <v>250</v>
      </c>
      <c r="P131" s="166">
        <f>'[9]Обращ V и фин ПР 10'!V130</f>
        <v>0</v>
      </c>
      <c r="Q131" s="166">
        <f>'[9]Обращ V и фин ПР 10'!W130</f>
        <v>0</v>
      </c>
      <c r="R131" s="166">
        <v>0</v>
      </c>
      <c r="S131" s="166">
        <v>0</v>
      </c>
      <c r="T131" s="166">
        <v>0</v>
      </c>
      <c r="U131" s="166">
        <v>0</v>
      </c>
      <c r="V131" s="166">
        <f>'[9]Обращ V и фин ПР 10'!Y130</f>
        <v>0</v>
      </c>
      <c r="W131" s="166">
        <f>'[9]Обращ V и фин ПР 10'!Z130</f>
        <v>6059</v>
      </c>
      <c r="X131" s="167">
        <f t="shared" si="8"/>
        <v>0</v>
      </c>
      <c r="Y131" s="166">
        <v>0</v>
      </c>
      <c r="Z131" s="166">
        <v>0</v>
      </c>
      <c r="AA131" s="166">
        <v>0</v>
      </c>
      <c r="AB131" s="166">
        <v>0</v>
      </c>
      <c r="AC131" s="166">
        <v>0</v>
      </c>
      <c r="AD131" s="166">
        <v>0</v>
      </c>
      <c r="AE131" s="166">
        <v>0</v>
      </c>
      <c r="AF131" s="166">
        <v>0</v>
      </c>
      <c r="AG131" s="166">
        <v>0</v>
      </c>
      <c r="AH131" s="166">
        <v>0</v>
      </c>
    </row>
    <row r="132" spans="1:34" ht="26.25" customHeight="1" x14ac:dyDescent="0.2">
      <c r="A132" s="163">
        <v>119</v>
      </c>
      <c r="B132" s="164" t="s">
        <v>393</v>
      </c>
      <c r="C132" s="165" t="s">
        <v>394</v>
      </c>
      <c r="D132" s="166">
        <f t="shared" si="6"/>
        <v>23691</v>
      </c>
      <c r="E132" s="166">
        <f t="shared" si="9"/>
        <v>20800</v>
      </c>
      <c r="F132" s="166">
        <f t="shared" si="7"/>
        <v>2891</v>
      </c>
      <c r="G132" s="166">
        <v>0</v>
      </c>
      <c r="H132" s="166">
        <v>0</v>
      </c>
      <c r="I132" s="166">
        <v>0</v>
      </c>
      <c r="J132" s="166">
        <v>0</v>
      </c>
      <c r="K132" s="166">
        <f>'[9]Обращ V и фин ПР 10'!O131</f>
        <v>0</v>
      </c>
      <c r="L132" s="166">
        <f>'[9]Обращ V и фин ПР 10'!P131</f>
        <v>0</v>
      </c>
      <c r="M132" s="166">
        <f>'[9]Обращ V и фин ПР 10'!Q131</f>
        <v>0</v>
      </c>
      <c r="N132" s="166">
        <f>'[9]Обращ V и фин ПР 10'!S131</f>
        <v>20800</v>
      </c>
      <c r="O132" s="166">
        <f>'[9]Обращ V и фин ПР 10'!T131</f>
        <v>2891</v>
      </c>
      <c r="P132" s="166">
        <f>'[9]Обращ V и фин ПР 10'!V131</f>
        <v>0</v>
      </c>
      <c r="Q132" s="166">
        <f>'[9]Обращ V и фин ПР 10'!W131</f>
        <v>0</v>
      </c>
      <c r="R132" s="166">
        <v>0</v>
      </c>
      <c r="S132" s="166">
        <v>0</v>
      </c>
      <c r="T132" s="166">
        <v>0</v>
      </c>
      <c r="U132" s="166">
        <v>0</v>
      </c>
      <c r="V132" s="166">
        <f>'[9]Обращ V и фин ПР 10'!Y131</f>
        <v>0</v>
      </c>
      <c r="W132" s="166">
        <f>'[9]Обращ V и фин ПР 10'!Z131</f>
        <v>0</v>
      </c>
      <c r="X132" s="167">
        <f t="shared" si="8"/>
        <v>0</v>
      </c>
      <c r="Y132" s="166">
        <v>0</v>
      </c>
      <c r="Z132" s="166">
        <v>0</v>
      </c>
      <c r="AA132" s="166">
        <v>0</v>
      </c>
      <c r="AB132" s="166">
        <v>0</v>
      </c>
      <c r="AC132" s="166">
        <v>0</v>
      </c>
      <c r="AD132" s="166">
        <v>0</v>
      </c>
      <c r="AE132" s="166">
        <v>0</v>
      </c>
      <c r="AF132" s="166">
        <v>0</v>
      </c>
      <c r="AG132" s="166">
        <v>0</v>
      </c>
      <c r="AH132" s="166">
        <v>0</v>
      </c>
    </row>
    <row r="133" spans="1:34" ht="13.5" customHeight="1" x14ac:dyDescent="0.2">
      <c r="A133" s="163">
        <v>120</v>
      </c>
      <c r="B133" s="164" t="s">
        <v>183</v>
      </c>
      <c r="C133" s="172" t="s">
        <v>184</v>
      </c>
      <c r="D133" s="166">
        <f t="shared" si="6"/>
        <v>35562</v>
      </c>
      <c r="E133" s="166">
        <f t="shared" si="9"/>
        <v>24951</v>
      </c>
      <c r="F133" s="166">
        <f t="shared" si="7"/>
        <v>10611</v>
      </c>
      <c r="G133" s="166">
        <v>0</v>
      </c>
      <c r="H133" s="166">
        <v>0</v>
      </c>
      <c r="I133" s="166">
        <v>0</v>
      </c>
      <c r="J133" s="166">
        <v>0</v>
      </c>
      <c r="K133" s="166">
        <f>'[9]Обращ V и фин ПР 10'!O132</f>
        <v>0</v>
      </c>
      <c r="L133" s="166">
        <f>'[9]Обращ V и фин ПР 10'!P132</f>
        <v>0</v>
      </c>
      <c r="M133" s="166">
        <f>'[9]Обращ V и фин ПР 10'!Q132</f>
        <v>0</v>
      </c>
      <c r="N133" s="166">
        <f>'[9]Обращ V и фин ПР 10'!S132</f>
        <v>24951</v>
      </c>
      <c r="O133" s="166">
        <f>'[9]Обращ V и фин ПР 10'!T132</f>
        <v>10611</v>
      </c>
      <c r="P133" s="166">
        <f>'[9]Обращ V и фин ПР 10'!V132</f>
        <v>0</v>
      </c>
      <c r="Q133" s="166">
        <f>'[9]Обращ V и фин ПР 10'!W132</f>
        <v>0</v>
      </c>
      <c r="R133" s="166">
        <v>0</v>
      </c>
      <c r="S133" s="166">
        <v>0</v>
      </c>
      <c r="T133" s="166">
        <v>0</v>
      </c>
      <c r="U133" s="166">
        <v>0</v>
      </c>
      <c r="V133" s="166">
        <f>'[9]Обращ V и фин ПР 10'!Y132</f>
        <v>0</v>
      </c>
      <c r="W133" s="166">
        <f>'[9]Обращ V и фин ПР 10'!Z132</f>
        <v>0</v>
      </c>
      <c r="X133" s="167">
        <f t="shared" si="8"/>
        <v>0</v>
      </c>
      <c r="Y133" s="166">
        <v>0</v>
      </c>
      <c r="Z133" s="166">
        <v>0</v>
      </c>
      <c r="AA133" s="166">
        <v>0</v>
      </c>
      <c r="AB133" s="166">
        <v>0</v>
      </c>
      <c r="AC133" s="166">
        <v>0</v>
      </c>
      <c r="AD133" s="166">
        <v>0</v>
      </c>
      <c r="AE133" s="166">
        <v>0</v>
      </c>
      <c r="AF133" s="166">
        <v>0</v>
      </c>
      <c r="AG133" s="166">
        <v>0</v>
      </c>
      <c r="AH133" s="166">
        <v>0</v>
      </c>
    </row>
    <row r="134" spans="1:34" ht="13.5" customHeight="1" x14ac:dyDescent="0.2">
      <c r="A134" s="163">
        <v>121</v>
      </c>
      <c r="B134" s="164" t="s">
        <v>185</v>
      </c>
      <c r="C134" s="172" t="s">
        <v>186</v>
      </c>
      <c r="D134" s="166">
        <f t="shared" si="6"/>
        <v>35683</v>
      </c>
      <c r="E134" s="166">
        <f t="shared" si="9"/>
        <v>35083</v>
      </c>
      <c r="F134" s="166">
        <f t="shared" si="7"/>
        <v>600</v>
      </c>
      <c r="G134" s="166">
        <v>0</v>
      </c>
      <c r="H134" s="166">
        <v>0</v>
      </c>
      <c r="I134" s="166">
        <v>0</v>
      </c>
      <c r="J134" s="166">
        <v>0</v>
      </c>
      <c r="K134" s="166">
        <f>'[9]Обращ V и фин ПР 10'!O133</f>
        <v>0</v>
      </c>
      <c r="L134" s="166">
        <f>'[9]Обращ V и фин ПР 10'!P133</f>
        <v>0</v>
      </c>
      <c r="M134" s="166">
        <f>'[9]Обращ V и фин ПР 10'!Q133</f>
        <v>0</v>
      </c>
      <c r="N134" s="166">
        <f>'[9]Обращ V и фин ПР 10'!S133</f>
        <v>35083</v>
      </c>
      <c r="O134" s="166">
        <f>'[9]Обращ V и фин ПР 10'!T133</f>
        <v>600</v>
      </c>
      <c r="P134" s="166">
        <f>'[9]Обращ V и фин ПР 10'!V133</f>
        <v>0</v>
      </c>
      <c r="Q134" s="166">
        <f>'[9]Обращ V и фин ПР 10'!W133</f>
        <v>0</v>
      </c>
      <c r="R134" s="166">
        <v>0</v>
      </c>
      <c r="S134" s="166">
        <v>0</v>
      </c>
      <c r="T134" s="166">
        <v>0</v>
      </c>
      <c r="U134" s="166">
        <v>0</v>
      </c>
      <c r="V134" s="166">
        <f>'[9]Обращ V и фин ПР 10'!Y133</f>
        <v>0</v>
      </c>
      <c r="W134" s="166">
        <f>'[9]Обращ V и фин ПР 10'!Z133</f>
        <v>0</v>
      </c>
      <c r="X134" s="167">
        <f t="shared" si="8"/>
        <v>0</v>
      </c>
      <c r="Y134" s="166">
        <v>0</v>
      </c>
      <c r="Z134" s="166">
        <v>0</v>
      </c>
      <c r="AA134" s="166">
        <v>0</v>
      </c>
      <c r="AB134" s="166">
        <v>0</v>
      </c>
      <c r="AC134" s="166">
        <v>0</v>
      </c>
      <c r="AD134" s="166">
        <v>0</v>
      </c>
      <c r="AE134" s="166">
        <v>0</v>
      </c>
      <c r="AF134" s="166">
        <v>0</v>
      </c>
      <c r="AG134" s="166">
        <v>0</v>
      </c>
      <c r="AH134" s="166">
        <v>0</v>
      </c>
    </row>
    <row r="135" spans="1:34" ht="13.5" customHeight="1" x14ac:dyDescent="0.2">
      <c r="A135" s="163">
        <v>122</v>
      </c>
      <c r="B135" s="164" t="s">
        <v>395</v>
      </c>
      <c r="C135" s="172" t="s">
        <v>396</v>
      </c>
      <c r="D135" s="166">
        <f t="shared" si="6"/>
        <v>5000</v>
      </c>
      <c r="E135" s="166">
        <f t="shared" si="9"/>
        <v>5000</v>
      </c>
      <c r="F135" s="166">
        <f t="shared" si="7"/>
        <v>0</v>
      </c>
      <c r="G135" s="166">
        <v>0</v>
      </c>
      <c r="H135" s="166">
        <v>0</v>
      </c>
      <c r="I135" s="166">
        <v>0</v>
      </c>
      <c r="J135" s="166">
        <v>0</v>
      </c>
      <c r="K135" s="166">
        <f>'[9]Обращ V и фин ПР 10'!O134</f>
        <v>832</v>
      </c>
      <c r="L135" s="166">
        <f>'[9]Обращ V и фин ПР 10'!P134</f>
        <v>832</v>
      </c>
      <c r="M135" s="166">
        <f>'[9]Обращ V и фин ПР 10'!Q134</f>
        <v>3336</v>
      </c>
      <c r="N135" s="166">
        <f>'[9]Обращ V и фин ПР 10'!S134</f>
        <v>0</v>
      </c>
      <c r="O135" s="166">
        <f>'[9]Обращ V и фин ПР 10'!T134</f>
        <v>0</v>
      </c>
      <c r="P135" s="166">
        <f>'[9]Обращ V и фин ПР 10'!V134</f>
        <v>0</v>
      </c>
      <c r="Q135" s="166">
        <f>'[9]Обращ V и фин ПР 10'!W134</f>
        <v>0</v>
      </c>
      <c r="R135" s="166">
        <v>0</v>
      </c>
      <c r="S135" s="166">
        <v>0</v>
      </c>
      <c r="T135" s="166">
        <v>0</v>
      </c>
      <c r="U135" s="166">
        <v>0</v>
      </c>
      <c r="V135" s="166">
        <f>'[9]Обращ V и фин ПР 10'!Y134</f>
        <v>0</v>
      </c>
      <c r="W135" s="166">
        <f>'[9]Обращ V и фин ПР 10'!Z134</f>
        <v>0</v>
      </c>
      <c r="X135" s="167">
        <f t="shared" si="8"/>
        <v>0</v>
      </c>
      <c r="Y135" s="166">
        <v>0</v>
      </c>
      <c r="Z135" s="166">
        <v>0</v>
      </c>
      <c r="AA135" s="166">
        <v>0</v>
      </c>
      <c r="AB135" s="166">
        <v>0</v>
      </c>
      <c r="AC135" s="166">
        <v>0</v>
      </c>
      <c r="AD135" s="166">
        <v>0</v>
      </c>
      <c r="AE135" s="166">
        <v>0</v>
      </c>
      <c r="AF135" s="166">
        <v>0</v>
      </c>
      <c r="AG135" s="166">
        <v>0</v>
      </c>
      <c r="AH135" s="166">
        <v>0</v>
      </c>
    </row>
    <row r="136" spans="1:34" ht="13.5" customHeight="1" x14ac:dyDescent="0.2">
      <c r="A136" s="163">
        <v>123</v>
      </c>
      <c r="B136" s="164" t="s">
        <v>3</v>
      </c>
      <c r="C136" s="165" t="s">
        <v>397</v>
      </c>
      <c r="D136" s="166">
        <f t="shared" si="6"/>
        <v>212991</v>
      </c>
      <c r="E136" s="166">
        <f t="shared" si="9"/>
        <v>175601</v>
      </c>
      <c r="F136" s="166">
        <f t="shared" si="7"/>
        <v>37390</v>
      </c>
      <c r="G136" s="166">
        <v>0</v>
      </c>
      <c r="H136" s="166">
        <v>0</v>
      </c>
      <c r="I136" s="166">
        <v>7540</v>
      </c>
      <c r="J136" s="166">
        <v>0</v>
      </c>
      <c r="K136" s="166">
        <f>'[9]Обращ V и фин ПР 10'!O135</f>
        <v>0</v>
      </c>
      <c r="L136" s="166">
        <f>'[9]Обращ V и фин ПР 10'!P135</f>
        <v>0</v>
      </c>
      <c r="M136" s="166">
        <f>'[9]Обращ V и фин ПР 10'!Q135</f>
        <v>0</v>
      </c>
      <c r="N136" s="166">
        <f>'[9]Обращ V и фин ПР 10'!S135</f>
        <v>0</v>
      </c>
      <c r="O136" s="166">
        <f>'[9]Обращ V и фин ПР 10'!T135</f>
        <v>0</v>
      </c>
      <c r="P136" s="166">
        <f>'[9]Обращ V и фин ПР 10'!V135</f>
        <v>0</v>
      </c>
      <c r="Q136" s="166">
        <f>'[9]Обращ V и фин ПР 10'!W135</f>
        <v>0</v>
      </c>
      <c r="R136" s="166">
        <v>0</v>
      </c>
      <c r="S136" s="166">
        <v>0</v>
      </c>
      <c r="T136" s="166">
        <v>0</v>
      </c>
      <c r="U136" s="166">
        <v>0</v>
      </c>
      <c r="V136" s="166">
        <f>'[9]Обращ V и фин ПР 10'!Y135</f>
        <v>7774</v>
      </c>
      <c r="W136" s="166">
        <f>'[9]Обращ V и фин ПР 10'!Z135</f>
        <v>0</v>
      </c>
      <c r="X136" s="167">
        <f t="shared" si="8"/>
        <v>197677</v>
      </c>
      <c r="Y136" s="166">
        <v>27468</v>
      </c>
      <c r="Z136" s="166">
        <v>650</v>
      </c>
      <c r="AA136" s="166">
        <v>9355</v>
      </c>
      <c r="AB136" s="166">
        <v>4555</v>
      </c>
      <c r="AC136" s="166">
        <v>4678</v>
      </c>
      <c r="AD136" s="166">
        <v>2278</v>
      </c>
      <c r="AE136" s="166">
        <v>0</v>
      </c>
      <c r="AF136" s="166">
        <v>0</v>
      </c>
      <c r="AG136" s="166">
        <v>123464</v>
      </c>
      <c r="AH136" s="166">
        <v>32185</v>
      </c>
    </row>
    <row r="137" spans="1:34" ht="13.5" customHeight="1" x14ac:dyDescent="0.2">
      <c r="A137" s="163">
        <v>124</v>
      </c>
      <c r="B137" s="164" t="s">
        <v>398</v>
      </c>
      <c r="C137" s="170" t="s">
        <v>399</v>
      </c>
      <c r="D137" s="166">
        <f t="shared" si="6"/>
        <v>13553</v>
      </c>
      <c r="E137" s="166">
        <f t="shared" si="9"/>
        <v>10490</v>
      </c>
      <c r="F137" s="166">
        <f t="shared" si="7"/>
        <v>3063</v>
      </c>
      <c r="G137" s="166">
        <v>0</v>
      </c>
      <c r="H137" s="166">
        <v>0</v>
      </c>
      <c r="I137" s="166">
        <v>0</v>
      </c>
      <c r="J137" s="166">
        <v>0</v>
      </c>
      <c r="K137" s="166">
        <f>'[9]Обращ V и фин ПР 10'!O136</f>
        <v>0</v>
      </c>
      <c r="L137" s="166">
        <f>'[9]Обращ V и фин ПР 10'!P136</f>
        <v>0</v>
      </c>
      <c r="M137" s="166">
        <f>'[9]Обращ V и фин ПР 10'!Q136</f>
        <v>0</v>
      </c>
      <c r="N137" s="166">
        <f>'[9]Обращ V и фин ПР 10'!S136</f>
        <v>0</v>
      </c>
      <c r="O137" s="166">
        <f>'[9]Обращ V и фин ПР 10'!T136</f>
        <v>0</v>
      </c>
      <c r="P137" s="166">
        <f>'[9]Обращ V и фин ПР 10'!V136</f>
        <v>10490</v>
      </c>
      <c r="Q137" s="166">
        <f>'[9]Обращ V и фин ПР 10'!W136</f>
        <v>3063</v>
      </c>
      <c r="R137" s="166">
        <v>5202</v>
      </c>
      <c r="S137" s="166">
        <v>1504</v>
      </c>
      <c r="T137" s="166">
        <v>0</v>
      </c>
      <c r="U137" s="166">
        <v>0</v>
      </c>
      <c r="V137" s="166">
        <f>'[9]Обращ V и фин ПР 10'!Y136</f>
        <v>0</v>
      </c>
      <c r="W137" s="166">
        <f>'[9]Обращ V и фин ПР 10'!Z136</f>
        <v>0</v>
      </c>
      <c r="X137" s="167">
        <f t="shared" si="8"/>
        <v>0</v>
      </c>
      <c r="Y137" s="166">
        <v>0</v>
      </c>
      <c r="Z137" s="166">
        <v>0</v>
      </c>
      <c r="AA137" s="166">
        <v>0</v>
      </c>
      <c r="AB137" s="166">
        <v>0</v>
      </c>
      <c r="AC137" s="166">
        <v>0</v>
      </c>
      <c r="AD137" s="166">
        <v>0</v>
      </c>
      <c r="AE137" s="166">
        <v>0</v>
      </c>
      <c r="AF137" s="166">
        <v>0</v>
      </c>
      <c r="AG137" s="166">
        <v>0</v>
      </c>
      <c r="AH137" s="166">
        <v>0</v>
      </c>
    </row>
    <row r="138" spans="1:34" ht="13.5" customHeight="1" x14ac:dyDescent="0.2">
      <c r="A138" s="182">
        <v>125</v>
      </c>
      <c r="B138" s="179" t="s">
        <v>400</v>
      </c>
      <c r="C138" s="180" t="s">
        <v>401</v>
      </c>
      <c r="D138" s="183">
        <f t="shared" si="6"/>
        <v>894</v>
      </c>
      <c r="E138" s="183">
        <f t="shared" si="9"/>
        <v>694</v>
      </c>
      <c r="F138" s="183">
        <f t="shared" si="7"/>
        <v>200</v>
      </c>
      <c r="G138" s="183">
        <v>0</v>
      </c>
      <c r="H138" s="183">
        <v>0</v>
      </c>
      <c r="I138" s="183">
        <v>0</v>
      </c>
      <c r="J138" s="183">
        <v>0</v>
      </c>
      <c r="K138" s="183">
        <f>'[9]Обращ V и фин ПР 10'!O137</f>
        <v>0</v>
      </c>
      <c r="L138" s="183">
        <f>'[9]Обращ V и фин ПР 10'!P137</f>
        <v>0</v>
      </c>
      <c r="M138" s="183">
        <f>'[9]Обращ V и фин ПР 10'!Q137</f>
        <v>0</v>
      </c>
      <c r="N138" s="183">
        <f>'[9]Обращ V и фин ПР 10'!S137</f>
        <v>694</v>
      </c>
      <c r="O138" s="183">
        <f>'[9]Обращ V и фин ПР 10'!T137</f>
        <v>200</v>
      </c>
      <c r="P138" s="183">
        <f>'[9]Обращ V и фин ПР 10'!V137</f>
        <v>0</v>
      </c>
      <c r="Q138" s="183">
        <f>'[9]Обращ V и фин ПР 10'!W137</f>
        <v>0</v>
      </c>
      <c r="R138" s="183">
        <v>0</v>
      </c>
      <c r="S138" s="183">
        <v>0</v>
      </c>
      <c r="T138" s="183">
        <v>0</v>
      </c>
      <c r="U138" s="183">
        <v>0</v>
      </c>
      <c r="V138" s="183">
        <f>'[9]Обращ V и фин ПР 10'!Y137</f>
        <v>0</v>
      </c>
      <c r="W138" s="183">
        <f>'[9]Обращ V и фин ПР 10'!Z137</f>
        <v>0</v>
      </c>
      <c r="X138" s="184">
        <f t="shared" si="8"/>
        <v>0</v>
      </c>
      <c r="Y138" s="183">
        <v>0</v>
      </c>
      <c r="Z138" s="183">
        <v>0</v>
      </c>
      <c r="AA138" s="183">
        <v>0</v>
      </c>
      <c r="AB138" s="183">
        <v>0</v>
      </c>
      <c r="AC138" s="183">
        <v>0</v>
      </c>
      <c r="AD138" s="183">
        <v>0</v>
      </c>
      <c r="AE138" s="183">
        <v>0</v>
      </c>
      <c r="AF138" s="183">
        <v>0</v>
      </c>
      <c r="AG138" s="183">
        <v>0</v>
      </c>
      <c r="AH138" s="183">
        <v>0</v>
      </c>
    </row>
    <row r="139" spans="1:34" s="188" customFormat="1" ht="13.5" customHeight="1" x14ac:dyDescent="0.2">
      <c r="A139" s="185"/>
      <c r="B139" s="185"/>
      <c r="C139" s="186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</row>
  </sheetData>
  <mergeCells count="43">
    <mergeCell ref="A13:C13"/>
    <mergeCell ref="G8:H8"/>
    <mergeCell ref="I8:J8"/>
    <mergeCell ref="K8:M8"/>
    <mergeCell ref="N8:O8"/>
    <mergeCell ref="AE8:AF8"/>
    <mergeCell ref="AG8:AH8"/>
    <mergeCell ref="A10:C10"/>
    <mergeCell ref="A11:C11"/>
    <mergeCell ref="A12:C12"/>
    <mergeCell ref="V8:W8"/>
    <mergeCell ref="R5:U5"/>
    <mergeCell ref="X5:X6"/>
    <mergeCell ref="Y5:AH5"/>
    <mergeCell ref="K6:K7"/>
    <mergeCell ref="L6:L7"/>
    <mergeCell ref="M6:M7"/>
    <mergeCell ref="R6:S8"/>
    <mergeCell ref="T6:U8"/>
    <mergeCell ref="Y6:Z6"/>
    <mergeCell ref="AG6:AH7"/>
    <mergeCell ref="X7:X9"/>
    <mergeCell ref="Y7:Z8"/>
    <mergeCell ref="AA7:AB8"/>
    <mergeCell ref="AC7:AF7"/>
    <mergeCell ref="AA6:AF6"/>
    <mergeCell ref="AC8:AD8"/>
    <mergeCell ref="A1:AG1"/>
    <mergeCell ref="A3:A9"/>
    <mergeCell ref="B3:B9"/>
    <mergeCell ref="C3:C9"/>
    <mergeCell ref="D3:F3"/>
    <mergeCell ref="G3:AH3"/>
    <mergeCell ref="D4:D9"/>
    <mergeCell ref="E4:F8"/>
    <mergeCell ref="G4:H7"/>
    <mergeCell ref="I4:J7"/>
    <mergeCell ref="K4:M5"/>
    <mergeCell ref="N4:O7"/>
    <mergeCell ref="P4:U4"/>
    <mergeCell ref="V4:W7"/>
    <mergeCell ref="X4:AH4"/>
    <mergeCell ref="P5:Q8"/>
  </mergeCells>
  <pageMargins left="0.19685039370078741" right="0.19685039370078741" top="0.59055118110236227" bottom="0" header="0.31496062992125984" footer="0.31496062992125984"/>
  <pageSetup paperSize="9" scale="42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S115"/>
  <sheetViews>
    <sheetView zoomScale="70" zoomScaleNormal="70" workbookViewId="0">
      <pane xSplit="3" ySplit="10" topLeftCell="G11" activePane="bottomRight" state="frozen"/>
      <selection activeCell="O35" sqref="O35"/>
      <selection pane="topRight" activeCell="O35" sqref="O35"/>
      <selection pane="bottomLeft" activeCell="O35" sqref="O35"/>
      <selection pane="bottomRight" activeCell="L43" sqref="L43"/>
    </sheetView>
  </sheetViews>
  <sheetFormatPr defaultRowHeight="18.75" outlineLevelCol="1" x14ac:dyDescent="0.25"/>
  <cols>
    <col min="1" max="1" width="7.42578125" style="195" customWidth="1"/>
    <col min="2" max="2" width="13.85546875" style="195" customWidth="1"/>
    <col min="3" max="3" width="38.5703125" style="212" customWidth="1"/>
    <col min="4" max="4" width="15.85546875" style="195" customWidth="1"/>
    <col min="5" max="5" width="14.28515625" style="195" customWidth="1"/>
    <col min="6" max="6" width="14.42578125" style="195" customWidth="1"/>
    <col min="7" max="7" width="15.28515625" style="195" customWidth="1"/>
    <col min="8" max="8" width="13.28515625" style="195" customWidth="1"/>
    <col min="9" max="9" width="13.85546875" style="195" customWidth="1"/>
    <col min="10" max="10" width="13.42578125" style="195" customWidth="1"/>
    <col min="11" max="11" width="13.5703125" style="195" customWidth="1"/>
    <col min="12" max="13" width="14.28515625" style="195" customWidth="1"/>
    <col min="14" max="14" width="17.7109375" style="195" customWidth="1" outlineLevel="1"/>
    <col min="15" max="15" width="12.5703125" style="195" customWidth="1" outlineLevel="1"/>
    <col min="16" max="16" width="13.28515625" style="195" customWidth="1" outlineLevel="1"/>
    <col min="17" max="17" width="14.28515625" style="195" customWidth="1" outlineLevel="1"/>
    <col min="18" max="18" width="12" style="195" customWidth="1" outlineLevel="1"/>
    <col min="19" max="19" width="13.28515625" style="195" customWidth="1" outlineLevel="1"/>
    <col min="20" max="16384" width="9.140625" style="195"/>
  </cols>
  <sheetData>
    <row r="1" spans="1:19" s="193" customFormat="1" ht="6" customHeight="1" x14ac:dyDescent="0.25">
      <c r="A1" s="190"/>
      <c r="B1" s="190"/>
      <c r="C1" s="191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2"/>
      <c r="R1" s="192"/>
      <c r="S1" s="192"/>
    </row>
    <row r="2" spans="1:19" ht="37.5" customHeight="1" x14ac:dyDescent="0.25">
      <c r="A2" s="632" t="s">
        <v>402</v>
      </c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194"/>
      <c r="S2" s="194"/>
    </row>
    <row r="3" spans="1:19" ht="5.25" customHeight="1" x14ac:dyDescent="0.25">
      <c r="A3" s="196"/>
      <c r="B3" s="196"/>
      <c r="C3" s="197" t="s">
        <v>403</v>
      </c>
      <c r="D3" s="198">
        <v>0.54</v>
      </c>
      <c r="E3" s="198"/>
      <c r="F3" s="198"/>
      <c r="G3" s="198"/>
      <c r="H3" s="198"/>
      <c r="I3" s="198"/>
      <c r="J3" s="198"/>
      <c r="K3" s="198"/>
      <c r="L3" s="198"/>
      <c r="M3" s="198"/>
      <c r="N3" s="196"/>
      <c r="O3" s="196"/>
      <c r="P3" s="196"/>
      <c r="Q3" s="196"/>
      <c r="R3" s="196"/>
      <c r="S3" s="196"/>
    </row>
    <row r="4" spans="1:19" ht="23.25" customHeight="1" x14ac:dyDescent="0.25">
      <c r="A4" s="633" t="s">
        <v>0</v>
      </c>
      <c r="B4" s="633" t="s">
        <v>219</v>
      </c>
      <c r="C4" s="633" t="s">
        <v>404</v>
      </c>
      <c r="D4" s="636" t="s">
        <v>405</v>
      </c>
      <c r="E4" s="637"/>
      <c r="F4" s="637"/>
      <c r="G4" s="636" t="s">
        <v>406</v>
      </c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  <c r="S4" s="637"/>
    </row>
    <row r="5" spans="1:19" ht="22.5" customHeight="1" x14ac:dyDescent="0.25">
      <c r="A5" s="634"/>
      <c r="B5" s="634"/>
      <c r="C5" s="634"/>
      <c r="D5" s="633" t="s">
        <v>407</v>
      </c>
      <c r="E5" s="638" t="s">
        <v>18</v>
      </c>
      <c r="F5" s="639"/>
      <c r="G5" s="638" t="s">
        <v>408</v>
      </c>
      <c r="H5" s="644"/>
      <c r="I5" s="644"/>
      <c r="J5" s="644"/>
      <c r="K5" s="644"/>
      <c r="L5" s="644"/>
      <c r="M5" s="639"/>
      <c r="N5" s="636" t="s">
        <v>409</v>
      </c>
      <c r="O5" s="637"/>
      <c r="P5" s="637"/>
      <c r="Q5" s="637"/>
      <c r="R5" s="637"/>
      <c r="S5" s="637"/>
    </row>
    <row r="6" spans="1:19" ht="22.5" customHeight="1" x14ac:dyDescent="0.25">
      <c r="A6" s="634"/>
      <c r="B6" s="634"/>
      <c r="C6" s="634"/>
      <c r="D6" s="634"/>
      <c r="E6" s="640"/>
      <c r="F6" s="641"/>
      <c r="G6" s="633" t="s">
        <v>407</v>
      </c>
      <c r="H6" s="638" t="s">
        <v>18</v>
      </c>
      <c r="I6" s="639"/>
      <c r="J6" s="645" t="s">
        <v>294</v>
      </c>
      <c r="K6" s="645"/>
      <c r="L6" s="645"/>
      <c r="M6" s="645"/>
      <c r="N6" s="636" t="s">
        <v>410</v>
      </c>
      <c r="O6" s="637"/>
      <c r="P6" s="637"/>
      <c r="Q6" s="645" t="s">
        <v>411</v>
      </c>
      <c r="R6" s="645"/>
      <c r="S6" s="645"/>
    </row>
    <row r="7" spans="1:19" ht="31.5" customHeight="1" x14ac:dyDescent="0.25">
      <c r="A7" s="634"/>
      <c r="B7" s="634"/>
      <c r="C7" s="634"/>
      <c r="D7" s="634"/>
      <c r="E7" s="640"/>
      <c r="F7" s="641"/>
      <c r="G7" s="634"/>
      <c r="H7" s="640"/>
      <c r="I7" s="641"/>
      <c r="J7" s="638" t="s">
        <v>298</v>
      </c>
      <c r="K7" s="639"/>
      <c r="L7" s="638" t="s">
        <v>299</v>
      </c>
      <c r="M7" s="639"/>
      <c r="N7" s="633" t="s">
        <v>407</v>
      </c>
      <c r="O7" s="638" t="s">
        <v>18</v>
      </c>
      <c r="P7" s="639"/>
      <c r="Q7" s="633" t="s">
        <v>407</v>
      </c>
      <c r="R7" s="638" t="s">
        <v>18</v>
      </c>
      <c r="S7" s="639"/>
    </row>
    <row r="8" spans="1:19" ht="18.75" customHeight="1" x14ac:dyDescent="0.25">
      <c r="A8" s="634"/>
      <c r="B8" s="634"/>
      <c r="C8" s="634"/>
      <c r="D8" s="634"/>
      <c r="E8" s="642"/>
      <c r="F8" s="643"/>
      <c r="G8" s="634"/>
      <c r="H8" s="642"/>
      <c r="I8" s="643"/>
      <c r="J8" s="642"/>
      <c r="K8" s="643"/>
      <c r="L8" s="642"/>
      <c r="M8" s="643"/>
      <c r="N8" s="634"/>
      <c r="O8" s="642"/>
      <c r="P8" s="643"/>
      <c r="Q8" s="634"/>
      <c r="R8" s="642"/>
      <c r="S8" s="643"/>
    </row>
    <row r="9" spans="1:19" ht="30" customHeight="1" x14ac:dyDescent="0.25">
      <c r="A9" s="635"/>
      <c r="B9" s="635"/>
      <c r="C9" s="635"/>
      <c r="D9" s="635"/>
      <c r="E9" s="199" t="s">
        <v>304</v>
      </c>
      <c r="F9" s="199" t="s">
        <v>305</v>
      </c>
      <c r="G9" s="635"/>
      <c r="H9" s="199" t="s">
        <v>304</v>
      </c>
      <c r="I9" s="199" t="s">
        <v>305</v>
      </c>
      <c r="J9" s="199" t="s">
        <v>304</v>
      </c>
      <c r="K9" s="199" t="s">
        <v>305</v>
      </c>
      <c r="L9" s="199" t="s">
        <v>304</v>
      </c>
      <c r="M9" s="199" t="s">
        <v>305</v>
      </c>
      <c r="N9" s="635"/>
      <c r="O9" s="199" t="s">
        <v>304</v>
      </c>
      <c r="P9" s="199" t="s">
        <v>305</v>
      </c>
      <c r="Q9" s="635"/>
      <c r="R9" s="199" t="s">
        <v>304</v>
      </c>
      <c r="S9" s="199" t="s">
        <v>305</v>
      </c>
    </row>
    <row r="10" spans="1:19" x14ac:dyDescent="0.25">
      <c r="A10" s="199">
        <v>1</v>
      </c>
      <c r="B10" s="199">
        <v>2</v>
      </c>
      <c r="C10" s="199">
        <v>2</v>
      </c>
      <c r="D10" s="200" t="s">
        <v>412</v>
      </c>
      <c r="E10" s="200" t="s">
        <v>413</v>
      </c>
      <c r="F10" s="200" t="s">
        <v>414</v>
      </c>
      <c r="G10" s="200"/>
      <c r="H10" s="200"/>
      <c r="I10" s="200"/>
      <c r="J10" s="200"/>
      <c r="K10" s="200"/>
      <c r="L10" s="200"/>
      <c r="M10" s="200"/>
      <c r="N10" s="200" t="s">
        <v>415</v>
      </c>
      <c r="O10" s="200" t="s">
        <v>416</v>
      </c>
      <c r="P10" s="200" t="s">
        <v>417</v>
      </c>
      <c r="Q10" s="200" t="s">
        <v>418</v>
      </c>
      <c r="R10" s="200" t="s">
        <v>419</v>
      </c>
      <c r="S10" s="200" t="s">
        <v>420</v>
      </c>
    </row>
    <row r="11" spans="1:19" x14ac:dyDescent="0.25">
      <c r="A11" s="649" t="s">
        <v>1</v>
      </c>
      <c r="B11" s="649"/>
      <c r="C11" s="649"/>
      <c r="D11" s="201">
        <f>D12+D13</f>
        <v>2160730</v>
      </c>
      <c r="E11" s="201">
        <f t="shared" ref="E11:S11" si="0">E12+E13</f>
        <v>1551319</v>
      </c>
      <c r="F11" s="201">
        <f t="shared" si="0"/>
        <v>600207</v>
      </c>
      <c r="G11" s="201">
        <f t="shared" si="0"/>
        <v>198036</v>
      </c>
      <c r="H11" s="201">
        <f t="shared" si="0"/>
        <v>145890</v>
      </c>
      <c r="I11" s="201">
        <f t="shared" si="0"/>
        <v>52146</v>
      </c>
      <c r="J11" s="201">
        <f t="shared" si="0"/>
        <v>58577</v>
      </c>
      <c r="K11" s="201">
        <f t="shared" si="0"/>
        <v>20250</v>
      </c>
      <c r="L11" s="201">
        <f t="shared" si="0"/>
        <v>15907</v>
      </c>
      <c r="M11" s="201">
        <f t="shared" si="0"/>
        <v>5832</v>
      </c>
      <c r="N11" s="201">
        <f t="shared" si="0"/>
        <v>179575</v>
      </c>
      <c r="O11" s="201">
        <f t="shared" si="0"/>
        <v>107853</v>
      </c>
      <c r="P11" s="201">
        <f t="shared" si="0"/>
        <v>71722</v>
      </c>
      <c r="Q11" s="201">
        <f t="shared" si="0"/>
        <v>27145</v>
      </c>
      <c r="R11" s="201">
        <f t="shared" si="0"/>
        <v>24668</v>
      </c>
      <c r="S11" s="201">
        <f t="shared" si="0"/>
        <v>2477</v>
      </c>
    </row>
    <row r="12" spans="1:19" x14ac:dyDescent="0.25">
      <c r="A12" s="646" t="s">
        <v>19</v>
      </c>
      <c r="B12" s="647"/>
      <c r="C12" s="648"/>
      <c r="D12" s="201">
        <v>9204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</row>
    <row r="13" spans="1:19" x14ac:dyDescent="0.25">
      <c r="A13" s="646" t="s">
        <v>20</v>
      </c>
      <c r="B13" s="647"/>
      <c r="C13" s="648"/>
      <c r="D13" s="201">
        <f>SUM(D14:D111)</f>
        <v>2151526</v>
      </c>
      <c r="E13" s="201">
        <f t="shared" ref="E13:S13" si="1">SUM(E14:E111)</f>
        <v>1551319</v>
      </c>
      <c r="F13" s="201">
        <f t="shared" si="1"/>
        <v>600207</v>
      </c>
      <c r="G13" s="201">
        <f t="shared" si="1"/>
        <v>198036</v>
      </c>
      <c r="H13" s="201">
        <f t="shared" si="1"/>
        <v>145890</v>
      </c>
      <c r="I13" s="201">
        <f t="shared" si="1"/>
        <v>52146</v>
      </c>
      <c r="J13" s="201">
        <f t="shared" si="1"/>
        <v>58577</v>
      </c>
      <c r="K13" s="201">
        <f t="shared" si="1"/>
        <v>20250</v>
      </c>
      <c r="L13" s="201">
        <f t="shared" si="1"/>
        <v>15907</v>
      </c>
      <c r="M13" s="201">
        <f t="shared" si="1"/>
        <v>5832</v>
      </c>
      <c r="N13" s="201">
        <f t="shared" si="1"/>
        <v>179575</v>
      </c>
      <c r="O13" s="201">
        <f t="shared" si="1"/>
        <v>107853</v>
      </c>
      <c r="P13" s="201">
        <f t="shared" si="1"/>
        <v>71722</v>
      </c>
      <c r="Q13" s="201">
        <f t="shared" si="1"/>
        <v>27145</v>
      </c>
      <c r="R13" s="201">
        <f t="shared" si="1"/>
        <v>24668</v>
      </c>
      <c r="S13" s="201">
        <f t="shared" si="1"/>
        <v>2477</v>
      </c>
    </row>
    <row r="14" spans="1:19" ht="27" customHeight="1" x14ac:dyDescent="0.25">
      <c r="A14" s="199">
        <v>1</v>
      </c>
      <c r="B14" s="199" t="s">
        <v>21</v>
      </c>
      <c r="C14" s="203" t="s">
        <v>22</v>
      </c>
      <c r="D14" s="199">
        <f t="shared" ref="D14:D77" si="2">E14+F14</f>
        <v>9918</v>
      </c>
      <c r="E14" s="199">
        <v>5881</v>
      </c>
      <c r="F14" s="199">
        <v>4037</v>
      </c>
      <c r="G14" s="199">
        <f t="shared" ref="G14:G34" si="3">H14+I14</f>
        <v>50</v>
      </c>
      <c r="H14" s="199">
        <v>50</v>
      </c>
      <c r="I14" s="199">
        <v>0</v>
      </c>
      <c r="J14" s="199">
        <v>25</v>
      </c>
      <c r="K14" s="199">
        <v>0</v>
      </c>
      <c r="L14" s="199">
        <v>0</v>
      </c>
      <c r="M14" s="199">
        <v>0</v>
      </c>
      <c r="N14" s="199"/>
      <c r="O14" s="199"/>
      <c r="P14" s="199"/>
      <c r="Q14" s="199"/>
      <c r="R14" s="199"/>
      <c r="S14" s="199"/>
    </row>
    <row r="15" spans="1:19" ht="27" customHeight="1" x14ac:dyDescent="0.25">
      <c r="A15" s="199">
        <v>2</v>
      </c>
      <c r="B15" s="199" t="s">
        <v>23</v>
      </c>
      <c r="C15" s="203" t="s">
        <v>195</v>
      </c>
      <c r="D15" s="199">
        <f t="shared" si="2"/>
        <v>10140</v>
      </c>
      <c r="E15" s="199">
        <v>7701</v>
      </c>
      <c r="F15" s="199">
        <v>2439</v>
      </c>
      <c r="G15" s="199">
        <f t="shared" si="3"/>
        <v>1935</v>
      </c>
      <c r="H15" s="199">
        <v>1550</v>
      </c>
      <c r="I15" s="199">
        <v>385</v>
      </c>
      <c r="J15" s="199">
        <v>775</v>
      </c>
      <c r="K15" s="199">
        <v>193</v>
      </c>
      <c r="L15" s="199">
        <v>0</v>
      </c>
      <c r="M15" s="199">
        <v>0</v>
      </c>
      <c r="N15" s="199"/>
      <c r="O15" s="199"/>
      <c r="P15" s="199"/>
      <c r="Q15" s="199"/>
      <c r="R15" s="199"/>
      <c r="S15" s="199"/>
    </row>
    <row r="16" spans="1:19" ht="27" customHeight="1" x14ac:dyDescent="0.25">
      <c r="A16" s="199">
        <v>3</v>
      </c>
      <c r="B16" s="199" t="s">
        <v>24</v>
      </c>
      <c r="C16" s="203" t="s">
        <v>25</v>
      </c>
      <c r="D16" s="199">
        <f t="shared" si="2"/>
        <v>30198</v>
      </c>
      <c r="E16" s="199">
        <v>18887</v>
      </c>
      <c r="F16" s="199">
        <v>11311</v>
      </c>
      <c r="G16" s="199">
        <f t="shared" si="3"/>
        <v>1040</v>
      </c>
      <c r="H16" s="199">
        <v>1010</v>
      </c>
      <c r="I16" s="199">
        <v>30</v>
      </c>
      <c r="J16" s="199">
        <v>481</v>
      </c>
      <c r="K16" s="199">
        <v>15</v>
      </c>
      <c r="L16" s="199">
        <v>24</v>
      </c>
      <c r="M16" s="199">
        <v>0</v>
      </c>
      <c r="N16" s="199"/>
      <c r="O16" s="199"/>
      <c r="P16" s="199"/>
      <c r="Q16" s="199"/>
      <c r="R16" s="199"/>
      <c r="S16" s="199"/>
    </row>
    <row r="17" spans="1:19" ht="27" customHeight="1" x14ac:dyDescent="0.25">
      <c r="A17" s="199">
        <v>4</v>
      </c>
      <c r="B17" s="199" t="s">
        <v>26</v>
      </c>
      <c r="C17" s="203" t="s">
        <v>196</v>
      </c>
      <c r="D17" s="199">
        <f t="shared" si="2"/>
        <v>11179</v>
      </c>
      <c r="E17" s="199">
        <v>7981</v>
      </c>
      <c r="F17" s="199">
        <v>3198</v>
      </c>
      <c r="G17" s="199">
        <f t="shared" si="3"/>
        <v>1984</v>
      </c>
      <c r="H17" s="199">
        <v>1599</v>
      </c>
      <c r="I17" s="199">
        <v>385</v>
      </c>
      <c r="J17" s="199">
        <v>586</v>
      </c>
      <c r="K17" s="199">
        <v>142</v>
      </c>
      <c r="L17" s="199">
        <v>213</v>
      </c>
      <c r="M17" s="199">
        <v>51</v>
      </c>
      <c r="N17" s="199"/>
      <c r="O17" s="199"/>
      <c r="P17" s="199"/>
      <c r="Q17" s="199"/>
      <c r="R17" s="199"/>
      <c r="S17" s="199"/>
    </row>
    <row r="18" spans="1:19" ht="27" customHeight="1" x14ac:dyDescent="0.25">
      <c r="A18" s="199">
        <v>5</v>
      </c>
      <c r="B18" s="199" t="s">
        <v>27</v>
      </c>
      <c r="C18" s="203" t="s">
        <v>28</v>
      </c>
      <c r="D18" s="199">
        <f t="shared" si="2"/>
        <v>11992</v>
      </c>
      <c r="E18" s="199">
        <v>8885</v>
      </c>
      <c r="F18" s="199">
        <v>3107</v>
      </c>
      <c r="G18" s="199">
        <f t="shared" si="3"/>
        <v>1551</v>
      </c>
      <c r="H18" s="199">
        <v>1214</v>
      </c>
      <c r="I18" s="199">
        <v>337</v>
      </c>
      <c r="J18" s="199">
        <v>496</v>
      </c>
      <c r="K18" s="199">
        <v>138</v>
      </c>
      <c r="L18" s="199">
        <v>110</v>
      </c>
      <c r="M18" s="199">
        <v>31</v>
      </c>
      <c r="N18" s="199"/>
      <c r="O18" s="199"/>
      <c r="P18" s="199"/>
      <c r="Q18" s="199"/>
      <c r="R18" s="199"/>
      <c r="S18" s="199"/>
    </row>
    <row r="19" spans="1:19" ht="27" customHeight="1" x14ac:dyDescent="0.25">
      <c r="A19" s="199">
        <v>6</v>
      </c>
      <c r="B19" s="199" t="s">
        <v>4</v>
      </c>
      <c r="C19" s="203" t="s">
        <v>29</v>
      </c>
      <c r="D19" s="199">
        <f t="shared" si="2"/>
        <v>82987</v>
      </c>
      <c r="E19" s="199">
        <v>65678</v>
      </c>
      <c r="F19" s="199">
        <v>17309</v>
      </c>
      <c r="G19" s="199">
        <f t="shared" si="3"/>
        <v>17520</v>
      </c>
      <c r="H19" s="199">
        <v>13130</v>
      </c>
      <c r="I19" s="199">
        <v>4390</v>
      </c>
      <c r="J19" s="199">
        <v>5238</v>
      </c>
      <c r="K19" s="199">
        <v>1751</v>
      </c>
      <c r="L19" s="199">
        <v>1327</v>
      </c>
      <c r="M19" s="199">
        <v>444</v>
      </c>
      <c r="N19" s="199"/>
      <c r="O19" s="199"/>
      <c r="P19" s="199"/>
      <c r="Q19" s="199"/>
      <c r="R19" s="199"/>
      <c r="S19" s="199"/>
    </row>
    <row r="20" spans="1:19" ht="27" customHeight="1" x14ac:dyDescent="0.25">
      <c r="A20" s="199">
        <v>7</v>
      </c>
      <c r="B20" s="199" t="s">
        <v>30</v>
      </c>
      <c r="C20" s="203" t="s">
        <v>197</v>
      </c>
      <c r="D20" s="199">
        <f t="shared" si="2"/>
        <v>30281</v>
      </c>
      <c r="E20" s="199">
        <v>19498</v>
      </c>
      <c r="F20" s="199">
        <v>10783</v>
      </c>
      <c r="G20" s="199">
        <f t="shared" si="3"/>
        <v>2280</v>
      </c>
      <c r="H20" s="199">
        <v>2160</v>
      </c>
      <c r="I20" s="199">
        <v>120</v>
      </c>
      <c r="J20" s="199">
        <v>864</v>
      </c>
      <c r="K20" s="199">
        <v>48</v>
      </c>
      <c r="L20" s="199">
        <v>216</v>
      </c>
      <c r="M20" s="199">
        <v>12</v>
      </c>
      <c r="N20" s="199"/>
      <c r="O20" s="199"/>
      <c r="P20" s="199"/>
      <c r="Q20" s="199"/>
      <c r="R20" s="199"/>
      <c r="S20" s="199"/>
    </row>
    <row r="21" spans="1:19" ht="27" customHeight="1" x14ac:dyDescent="0.25">
      <c r="A21" s="199">
        <v>8</v>
      </c>
      <c r="B21" s="199" t="s">
        <v>31</v>
      </c>
      <c r="C21" s="203" t="s">
        <v>32</v>
      </c>
      <c r="D21" s="199">
        <f t="shared" si="2"/>
        <v>12666</v>
      </c>
      <c r="E21" s="199">
        <v>7845</v>
      </c>
      <c r="F21" s="199">
        <v>4821</v>
      </c>
      <c r="G21" s="199">
        <f t="shared" si="3"/>
        <v>1157</v>
      </c>
      <c r="H21" s="199">
        <v>939</v>
      </c>
      <c r="I21" s="199">
        <v>218</v>
      </c>
      <c r="J21" s="199">
        <v>470</v>
      </c>
      <c r="K21" s="199">
        <v>109</v>
      </c>
      <c r="L21" s="199">
        <v>0</v>
      </c>
      <c r="M21" s="199">
        <v>0</v>
      </c>
      <c r="N21" s="199"/>
      <c r="O21" s="199"/>
      <c r="P21" s="199"/>
      <c r="Q21" s="199"/>
      <c r="R21" s="199"/>
      <c r="S21" s="199"/>
    </row>
    <row r="22" spans="1:19" ht="27" customHeight="1" x14ac:dyDescent="0.25">
      <c r="A22" s="199">
        <v>9</v>
      </c>
      <c r="B22" s="199" t="s">
        <v>33</v>
      </c>
      <c r="C22" s="203" t="s">
        <v>34</v>
      </c>
      <c r="D22" s="199">
        <f t="shared" si="2"/>
        <v>11491</v>
      </c>
      <c r="E22" s="199">
        <v>9026</v>
      </c>
      <c r="F22" s="199">
        <v>2465</v>
      </c>
      <c r="G22" s="199">
        <f t="shared" si="3"/>
        <v>2170</v>
      </c>
      <c r="H22" s="199">
        <v>1370</v>
      </c>
      <c r="I22" s="199">
        <v>800</v>
      </c>
      <c r="J22" s="199">
        <v>517</v>
      </c>
      <c r="K22" s="199">
        <v>302</v>
      </c>
      <c r="L22" s="199">
        <v>168</v>
      </c>
      <c r="M22" s="199">
        <v>98</v>
      </c>
      <c r="N22" s="199"/>
      <c r="O22" s="199"/>
      <c r="P22" s="199"/>
      <c r="Q22" s="199"/>
      <c r="R22" s="199"/>
      <c r="S22" s="199"/>
    </row>
    <row r="23" spans="1:19" ht="27" customHeight="1" x14ac:dyDescent="0.25">
      <c r="A23" s="199">
        <v>10</v>
      </c>
      <c r="B23" s="199" t="s">
        <v>35</v>
      </c>
      <c r="C23" s="203" t="s">
        <v>36</v>
      </c>
      <c r="D23" s="199">
        <f t="shared" si="2"/>
        <v>14086</v>
      </c>
      <c r="E23" s="199">
        <v>8856</v>
      </c>
      <c r="F23" s="199">
        <v>5230</v>
      </c>
      <c r="G23" s="199">
        <f t="shared" si="3"/>
        <v>600</v>
      </c>
      <c r="H23" s="199">
        <v>500</v>
      </c>
      <c r="I23" s="199">
        <v>100</v>
      </c>
      <c r="J23" s="199">
        <v>227</v>
      </c>
      <c r="K23" s="199">
        <v>45</v>
      </c>
      <c r="L23" s="199">
        <v>23</v>
      </c>
      <c r="M23" s="199">
        <v>5</v>
      </c>
      <c r="N23" s="199"/>
      <c r="O23" s="199"/>
      <c r="P23" s="199"/>
      <c r="Q23" s="199"/>
      <c r="R23" s="199"/>
      <c r="S23" s="199"/>
    </row>
    <row r="24" spans="1:19" ht="27" customHeight="1" x14ac:dyDescent="0.25">
      <c r="A24" s="199">
        <v>11</v>
      </c>
      <c r="B24" s="199" t="s">
        <v>37</v>
      </c>
      <c r="C24" s="203" t="s">
        <v>38</v>
      </c>
      <c r="D24" s="199">
        <f t="shared" si="2"/>
        <v>11495</v>
      </c>
      <c r="E24" s="199">
        <v>9026</v>
      </c>
      <c r="F24" s="199">
        <v>2469</v>
      </c>
      <c r="G24" s="199">
        <f t="shared" si="3"/>
        <v>1100</v>
      </c>
      <c r="H24" s="199">
        <v>1100</v>
      </c>
      <c r="I24" s="199">
        <v>0</v>
      </c>
      <c r="J24" s="199">
        <v>485</v>
      </c>
      <c r="K24" s="199">
        <v>0</v>
      </c>
      <c r="L24" s="199">
        <v>65</v>
      </c>
      <c r="M24" s="199">
        <v>0</v>
      </c>
      <c r="N24" s="199"/>
      <c r="O24" s="199"/>
      <c r="P24" s="199"/>
      <c r="Q24" s="199"/>
      <c r="R24" s="199"/>
      <c r="S24" s="199"/>
    </row>
    <row r="25" spans="1:19" ht="27" customHeight="1" x14ac:dyDescent="0.25">
      <c r="A25" s="199">
        <v>12</v>
      </c>
      <c r="B25" s="199" t="s">
        <v>39</v>
      </c>
      <c r="C25" s="203" t="s">
        <v>40</v>
      </c>
      <c r="D25" s="199">
        <f t="shared" si="2"/>
        <v>22895</v>
      </c>
      <c r="E25" s="199">
        <v>17397</v>
      </c>
      <c r="F25" s="199">
        <v>5498</v>
      </c>
      <c r="G25" s="199">
        <f t="shared" si="3"/>
        <v>728</v>
      </c>
      <c r="H25" s="199">
        <v>530</v>
      </c>
      <c r="I25" s="199">
        <v>198</v>
      </c>
      <c r="J25" s="199">
        <v>132</v>
      </c>
      <c r="K25" s="199">
        <v>49</v>
      </c>
      <c r="L25" s="199">
        <v>133</v>
      </c>
      <c r="M25" s="199">
        <v>50</v>
      </c>
      <c r="N25" s="199"/>
      <c r="O25" s="199"/>
      <c r="P25" s="199"/>
      <c r="Q25" s="199"/>
      <c r="R25" s="199"/>
      <c r="S25" s="199"/>
    </row>
    <row r="26" spans="1:19" ht="27" customHeight="1" x14ac:dyDescent="0.25">
      <c r="A26" s="199">
        <v>13</v>
      </c>
      <c r="B26" s="199" t="s">
        <v>41</v>
      </c>
      <c r="C26" s="203" t="s">
        <v>42</v>
      </c>
      <c r="D26" s="199">
        <f t="shared" si="2"/>
        <v>15163</v>
      </c>
      <c r="E26" s="199">
        <v>12192</v>
      </c>
      <c r="F26" s="199">
        <v>2971</v>
      </c>
      <c r="G26" s="199">
        <f t="shared" si="3"/>
        <v>3139</v>
      </c>
      <c r="H26" s="199">
        <v>2282</v>
      </c>
      <c r="I26" s="199">
        <v>857</v>
      </c>
      <c r="J26" s="199">
        <v>780</v>
      </c>
      <c r="K26" s="199">
        <v>294</v>
      </c>
      <c r="L26" s="199">
        <v>360</v>
      </c>
      <c r="M26" s="199">
        <v>135</v>
      </c>
      <c r="N26" s="199"/>
      <c r="O26" s="199"/>
      <c r="P26" s="199"/>
      <c r="Q26" s="199"/>
      <c r="R26" s="199"/>
      <c r="S26" s="199"/>
    </row>
    <row r="27" spans="1:19" ht="27" customHeight="1" x14ac:dyDescent="0.25">
      <c r="A27" s="199">
        <v>14</v>
      </c>
      <c r="B27" s="199" t="s">
        <v>43</v>
      </c>
      <c r="C27" s="204" t="s">
        <v>44</v>
      </c>
      <c r="D27" s="199">
        <f t="shared" si="2"/>
        <v>20525</v>
      </c>
      <c r="E27" s="199">
        <v>11645</v>
      </c>
      <c r="F27" s="205">
        <f>9880-1000</f>
        <v>8880</v>
      </c>
      <c r="G27" s="199">
        <f t="shared" si="3"/>
        <v>2447</v>
      </c>
      <c r="H27" s="199">
        <v>1950</v>
      </c>
      <c r="I27" s="199">
        <v>497</v>
      </c>
      <c r="J27" s="199">
        <v>904</v>
      </c>
      <c r="K27" s="199">
        <v>231</v>
      </c>
      <c r="L27" s="199">
        <v>70</v>
      </c>
      <c r="M27" s="199">
        <v>18</v>
      </c>
      <c r="N27" s="199"/>
      <c r="O27" s="199"/>
      <c r="P27" s="199"/>
      <c r="Q27" s="199"/>
      <c r="R27" s="199"/>
      <c r="S27" s="199"/>
    </row>
    <row r="28" spans="1:19" ht="27" customHeight="1" x14ac:dyDescent="0.25">
      <c r="A28" s="199">
        <v>15</v>
      </c>
      <c r="B28" s="199" t="s">
        <v>45</v>
      </c>
      <c r="C28" s="203" t="s">
        <v>198</v>
      </c>
      <c r="D28" s="199">
        <f t="shared" si="2"/>
        <v>28582</v>
      </c>
      <c r="E28" s="199">
        <v>21676</v>
      </c>
      <c r="F28" s="199">
        <v>6906</v>
      </c>
      <c r="G28" s="199">
        <f t="shared" si="3"/>
        <v>3050</v>
      </c>
      <c r="H28" s="199">
        <v>1950</v>
      </c>
      <c r="I28" s="199">
        <v>1100</v>
      </c>
      <c r="J28" s="199">
        <v>845</v>
      </c>
      <c r="K28" s="199">
        <v>477</v>
      </c>
      <c r="L28" s="199">
        <v>130</v>
      </c>
      <c r="M28" s="199">
        <v>73</v>
      </c>
      <c r="N28" s="199"/>
      <c r="O28" s="199"/>
      <c r="P28" s="199"/>
      <c r="Q28" s="199"/>
      <c r="R28" s="199"/>
      <c r="S28" s="199"/>
    </row>
    <row r="29" spans="1:19" ht="27" customHeight="1" x14ac:dyDescent="0.25">
      <c r="A29" s="199">
        <v>16</v>
      </c>
      <c r="B29" s="199" t="s">
        <v>46</v>
      </c>
      <c r="C29" s="203" t="s">
        <v>47</v>
      </c>
      <c r="D29" s="199">
        <f t="shared" si="2"/>
        <v>52770</v>
      </c>
      <c r="E29" s="199">
        <v>39685</v>
      </c>
      <c r="F29" s="199">
        <v>13085</v>
      </c>
      <c r="G29" s="199">
        <f t="shared" si="3"/>
        <v>7925</v>
      </c>
      <c r="H29" s="199">
        <v>4960</v>
      </c>
      <c r="I29" s="199">
        <v>2965</v>
      </c>
      <c r="J29" s="199">
        <v>2161</v>
      </c>
      <c r="K29" s="199">
        <v>1293</v>
      </c>
      <c r="L29" s="199">
        <v>318</v>
      </c>
      <c r="M29" s="199">
        <v>190</v>
      </c>
      <c r="N29" s="199"/>
      <c r="O29" s="199"/>
      <c r="P29" s="199"/>
      <c r="Q29" s="199"/>
      <c r="R29" s="199"/>
      <c r="S29" s="199"/>
    </row>
    <row r="30" spans="1:19" ht="27" customHeight="1" x14ac:dyDescent="0.25">
      <c r="A30" s="199">
        <v>17</v>
      </c>
      <c r="B30" s="199" t="s">
        <v>48</v>
      </c>
      <c r="C30" s="203" t="s">
        <v>49</v>
      </c>
      <c r="D30" s="199">
        <f t="shared" si="2"/>
        <v>8956</v>
      </c>
      <c r="E30" s="199">
        <v>5724</v>
      </c>
      <c r="F30" s="199">
        <v>3232</v>
      </c>
      <c r="G30" s="199">
        <f t="shared" si="3"/>
        <v>1387</v>
      </c>
      <c r="H30" s="199">
        <v>900</v>
      </c>
      <c r="I30" s="199">
        <v>487</v>
      </c>
      <c r="J30" s="199">
        <v>333</v>
      </c>
      <c r="K30" s="199">
        <v>181</v>
      </c>
      <c r="L30" s="199">
        <v>116</v>
      </c>
      <c r="M30" s="199">
        <v>63</v>
      </c>
      <c r="N30" s="199"/>
      <c r="O30" s="199"/>
      <c r="P30" s="199"/>
      <c r="Q30" s="199"/>
      <c r="R30" s="199"/>
      <c r="S30" s="199"/>
    </row>
    <row r="31" spans="1:19" ht="27" customHeight="1" x14ac:dyDescent="0.25">
      <c r="A31" s="199">
        <v>18</v>
      </c>
      <c r="B31" s="199" t="s">
        <v>50</v>
      </c>
      <c r="C31" s="203" t="s">
        <v>199</v>
      </c>
      <c r="D31" s="199">
        <f t="shared" si="2"/>
        <v>7118</v>
      </c>
      <c r="E31" s="199">
        <v>5842</v>
      </c>
      <c r="F31" s="199">
        <v>1276</v>
      </c>
      <c r="G31" s="199">
        <f t="shared" si="3"/>
        <v>741</v>
      </c>
      <c r="H31" s="199">
        <v>646</v>
      </c>
      <c r="I31" s="199">
        <v>95</v>
      </c>
      <c r="J31" s="199">
        <v>76</v>
      </c>
      <c r="K31" s="199">
        <v>12</v>
      </c>
      <c r="L31" s="199">
        <v>246</v>
      </c>
      <c r="M31" s="199">
        <v>36</v>
      </c>
      <c r="N31" s="199"/>
      <c r="O31" s="199"/>
      <c r="P31" s="199"/>
      <c r="Q31" s="199"/>
      <c r="R31" s="199"/>
      <c r="S31" s="199"/>
    </row>
    <row r="32" spans="1:19" ht="27" customHeight="1" x14ac:dyDescent="0.25">
      <c r="A32" s="199">
        <v>19</v>
      </c>
      <c r="B32" s="199" t="s">
        <v>51</v>
      </c>
      <c r="C32" s="203" t="s">
        <v>52</v>
      </c>
      <c r="D32" s="199">
        <f t="shared" si="2"/>
        <v>36786</v>
      </c>
      <c r="E32" s="199">
        <v>24023</v>
      </c>
      <c r="F32" s="199">
        <v>12763</v>
      </c>
      <c r="G32" s="199">
        <f t="shared" si="3"/>
        <v>6686</v>
      </c>
      <c r="H32" s="199">
        <v>4973</v>
      </c>
      <c r="I32" s="199">
        <v>1713</v>
      </c>
      <c r="J32" s="199">
        <v>1980</v>
      </c>
      <c r="K32" s="199">
        <v>683</v>
      </c>
      <c r="L32" s="199">
        <v>506</v>
      </c>
      <c r="M32" s="199">
        <v>174</v>
      </c>
      <c r="N32" s="199"/>
      <c r="O32" s="206"/>
      <c r="P32" s="206"/>
      <c r="Q32" s="199"/>
      <c r="R32" s="206"/>
      <c r="S32" s="206"/>
    </row>
    <row r="33" spans="1:19" ht="27" customHeight="1" x14ac:dyDescent="0.25">
      <c r="A33" s="199">
        <v>20</v>
      </c>
      <c r="B33" s="199" t="s">
        <v>53</v>
      </c>
      <c r="C33" s="203" t="s">
        <v>54</v>
      </c>
      <c r="D33" s="199">
        <f t="shared" si="2"/>
        <v>32540</v>
      </c>
      <c r="E33" s="199">
        <v>20505</v>
      </c>
      <c r="F33" s="199">
        <v>12035</v>
      </c>
      <c r="G33" s="199">
        <f t="shared" si="3"/>
        <v>1802</v>
      </c>
      <c r="H33" s="199">
        <v>435</v>
      </c>
      <c r="I33" s="199">
        <v>1367</v>
      </c>
      <c r="J33" s="199">
        <v>200</v>
      </c>
      <c r="K33" s="199">
        <v>630</v>
      </c>
      <c r="L33" s="199">
        <v>17</v>
      </c>
      <c r="M33" s="199">
        <v>54</v>
      </c>
      <c r="N33" s="199"/>
      <c r="O33" s="199"/>
      <c r="P33" s="199"/>
      <c r="Q33" s="199"/>
      <c r="R33" s="199"/>
      <c r="S33" s="199"/>
    </row>
    <row r="34" spans="1:19" ht="27" customHeight="1" x14ac:dyDescent="0.25">
      <c r="A34" s="199">
        <v>21</v>
      </c>
      <c r="B34" s="199" t="s">
        <v>55</v>
      </c>
      <c r="C34" s="203" t="s">
        <v>311</v>
      </c>
      <c r="D34" s="199">
        <f t="shared" si="2"/>
        <v>7624</v>
      </c>
      <c r="E34" s="199">
        <v>4859</v>
      </c>
      <c r="F34" s="199">
        <v>2765</v>
      </c>
      <c r="G34" s="199">
        <f t="shared" si="3"/>
        <v>1610</v>
      </c>
      <c r="H34" s="199">
        <v>1264</v>
      </c>
      <c r="I34" s="199">
        <v>346</v>
      </c>
      <c r="J34" s="199">
        <v>631</v>
      </c>
      <c r="K34" s="199">
        <v>173</v>
      </c>
      <c r="L34" s="199">
        <v>0</v>
      </c>
      <c r="M34" s="199">
        <v>0</v>
      </c>
      <c r="N34" s="199"/>
      <c r="O34" s="199"/>
      <c r="P34" s="199"/>
      <c r="Q34" s="199"/>
      <c r="R34" s="199"/>
      <c r="S34" s="199"/>
    </row>
    <row r="35" spans="1:19" ht="27" customHeight="1" x14ac:dyDescent="0.25">
      <c r="A35" s="199">
        <v>22</v>
      </c>
      <c r="B35" s="199" t="s">
        <v>6</v>
      </c>
      <c r="C35" s="203" t="s">
        <v>312</v>
      </c>
      <c r="D35" s="199">
        <f t="shared" si="2"/>
        <v>71398</v>
      </c>
      <c r="E35" s="199">
        <v>68064</v>
      </c>
      <c r="F35" s="199">
        <v>3334</v>
      </c>
      <c r="G35" s="199"/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f>O35+P35</f>
        <v>19161</v>
      </c>
      <c r="O35" s="199">
        <f>23411-4250</f>
        <v>19161</v>
      </c>
      <c r="P35" s="199"/>
      <c r="Q35" s="199"/>
      <c r="R35" s="199"/>
      <c r="S35" s="199"/>
    </row>
    <row r="36" spans="1:19" ht="27" customHeight="1" x14ac:dyDescent="0.25">
      <c r="A36" s="199">
        <v>23</v>
      </c>
      <c r="B36" s="199" t="s">
        <v>5</v>
      </c>
      <c r="C36" s="204" t="s">
        <v>313</v>
      </c>
      <c r="D36" s="199">
        <f t="shared" si="2"/>
        <v>56484</v>
      </c>
      <c r="E36" s="205">
        <f>44855-1000</f>
        <v>43855</v>
      </c>
      <c r="F36" s="199">
        <v>12629</v>
      </c>
      <c r="G36" s="199">
        <f>H36+I36</f>
        <v>4304</v>
      </c>
      <c r="H36" s="199">
        <f>902+3093</f>
        <v>3995</v>
      </c>
      <c r="I36" s="199">
        <v>309</v>
      </c>
      <c r="J36" s="199">
        <v>451</v>
      </c>
      <c r="K36" s="199">
        <v>155</v>
      </c>
      <c r="L36" s="205">
        <v>3093</v>
      </c>
      <c r="M36" s="199">
        <v>0</v>
      </c>
      <c r="N36" s="199"/>
      <c r="O36" s="199"/>
      <c r="P36" s="199"/>
      <c r="Q36" s="199"/>
      <c r="R36" s="199"/>
      <c r="S36" s="199"/>
    </row>
    <row r="37" spans="1:19" ht="27" customHeight="1" x14ac:dyDescent="0.25">
      <c r="A37" s="199">
        <v>24</v>
      </c>
      <c r="B37" s="199" t="s">
        <v>60</v>
      </c>
      <c r="C37" s="203" t="s">
        <v>314</v>
      </c>
      <c r="D37" s="199">
        <f t="shared" si="2"/>
        <v>28775</v>
      </c>
      <c r="E37" s="199">
        <v>0</v>
      </c>
      <c r="F37" s="199">
        <v>28775</v>
      </c>
      <c r="G37" s="199"/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f>O37+P37</f>
        <v>14691</v>
      </c>
      <c r="O37" s="199"/>
      <c r="P37" s="199">
        <v>14691</v>
      </c>
      <c r="Q37" s="199"/>
      <c r="R37" s="199"/>
      <c r="S37" s="199"/>
    </row>
    <row r="38" spans="1:19" ht="27" customHeight="1" x14ac:dyDescent="0.25">
      <c r="A38" s="199">
        <v>25</v>
      </c>
      <c r="B38" s="199" t="s">
        <v>317</v>
      </c>
      <c r="C38" s="203" t="s">
        <v>318</v>
      </c>
      <c r="D38" s="199">
        <f t="shared" si="2"/>
        <v>11000</v>
      </c>
      <c r="E38" s="199">
        <v>9430</v>
      </c>
      <c r="F38" s="199">
        <v>1570</v>
      </c>
      <c r="G38" s="199">
        <f>H38+I38</f>
        <v>11000</v>
      </c>
      <c r="H38" s="199">
        <v>9430</v>
      </c>
      <c r="I38" s="199">
        <v>1570</v>
      </c>
      <c r="J38" s="199">
        <v>3583</v>
      </c>
      <c r="K38" s="199">
        <v>597</v>
      </c>
      <c r="L38" s="199">
        <v>1132</v>
      </c>
      <c r="M38" s="199">
        <v>188</v>
      </c>
      <c r="N38" s="199"/>
      <c r="O38" s="206"/>
      <c r="P38" s="206"/>
      <c r="Q38" s="199"/>
      <c r="R38" s="206"/>
      <c r="S38" s="206"/>
    </row>
    <row r="39" spans="1:19" ht="27" customHeight="1" x14ac:dyDescent="0.25">
      <c r="A39" s="199">
        <v>26</v>
      </c>
      <c r="B39" s="199" t="s">
        <v>62</v>
      </c>
      <c r="C39" s="203" t="s">
        <v>421</v>
      </c>
      <c r="D39" s="199">
        <f t="shared" si="2"/>
        <v>3272</v>
      </c>
      <c r="E39" s="199">
        <v>3272</v>
      </c>
      <c r="F39" s="199">
        <v>0</v>
      </c>
      <c r="G39" s="199"/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/>
      <c r="O39" s="199"/>
      <c r="P39" s="199"/>
      <c r="Q39" s="199"/>
      <c r="R39" s="199"/>
      <c r="S39" s="199"/>
    </row>
    <row r="40" spans="1:19" ht="27" customHeight="1" x14ac:dyDescent="0.25">
      <c r="A40" s="199">
        <v>27</v>
      </c>
      <c r="B40" s="199" t="s">
        <v>64</v>
      </c>
      <c r="C40" s="204" t="s">
        <v>65</v>
      </c>
      <c r="D40" s="199">
        <f t="shared" si="2"/>
        <v>44599</v>
      </c>
      <c r="E40" s="205">
        <f>38399-1000</f>
        <v>37399</v>
      </c>
      <c r="F40" s="199">
        <v>7200</v>
      </c>
      <c r="G40" s="199">
        <f>H40+I40</f>
        <v>6270</v>
      </c>
      <c r="H40" s="199">
        <v>5450</v>
      </c>
      <c r="I40" s="199">
        <v>820</v>
      </c>
      <c r="J40" s="199">
        <v>2102</v>
      </c>
      <c r="K40" s="199">
        <v>316</v>
      </c>
      <c r="L40" s="199">
        <v>623</v>
      </c>
      <c r="M40" s="199">
        <v>94</v>
      </c>
      <c r="N40" s="199"/>
      <c r="O40" s="199"/>
      <c r="P40" s="199"/>
      <c r="Q40" s="199"/>
      <c r="R40" s="199"/>
      <c r="S40" s="199"/>
    </row>
    <row r="41" spans="1:19" ht="27" customHeight="1" x14ac:dyDescent="0.25">
      <c r="A41" s="199">
        <v>28</v>
      </c>
      <c r="B41" s="199" t="s">
        <v>66</v>
      </c>
      <c r="C41" s="203" t="s">
        <v>67</v>
      </c>
      <c r="D41" s="199">
        <f t="shared" si="2"/>
        <v>66756</v>
      </c>
      <c r="E41" s="199">
        <f>45785-3003</f>
        <v>42782</v>
      </c>
      <c r="F41" s="199">
        <f>20971+671+203+2129</f>
        <v>23974</v>
      </c>
      <c r="G41" s="199">
        <f>H41+I41</f>
        <v>6851</v>
      </c>
      <c r="H41" s="199">
        <f>2977+203</f>
        <v>3180</v>
      </c>
      <c r="I41" s="199">
        <f>1542+2129</f>
        <v>3671</v>
      </c>
      <c r="J41" s="199">
        <v>1180</v>
      </c>
      <c r="K41" s="199">
        <v>1364</v>
      </c>
      <c r="L41" s="199">
        <v>409</v>
      </c>
      <c r="M41" s="199">
        <v>472</v>
      </c>
      <c r="N41" s="199"/>
      <c r="O41" s="199"/>
      <c r="P41" s="199"/>
      <c r="Q41" s="199"/>
      <c r="R41" s="199"/>
      <c r="S41" s="199"/>
    </row>
    <row r="42" spans="1:19" ht="27" customHeight="1" x14ac:dyDescent="0.25">
      <c r="A42" s="199">
        <v>29</v>
      </c>
      <c r="B42" s="199" t="s">
        <v>68</v>
      </c>
      <c r="C42" s="203" t="s">
        <v>69</v>
      </c>
      <c r="D42" s="199">
        <f t="shared" si="2"/>
        <v>13035</v>
      </c>
      <c r="E42" s="199">
        <v>12620</v>
      </c>
      <c r="F42" s="199">
        <v>415</v>
      </c>
      <c r="G42" s="199"/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/>
      <c r="O42" s="199"/>
      <c r="P42" s="199"/>
      <c r="Q42" s="199"/>
      <c r="R42" s="199"/>
      <c r="S42" s="199"/>
    </row>
    <row r="43" spans="1:19" ht="27" customHeight="1" x14ac:dyDescent="0.25">
      <c r="A43" s="199">
        <v>30</v>
      </c>
      <c r="B43" s="199" t="s">
        <v>70</v>
      </c>
      <c r="C43" s="203" t="s">
        <v>71</v>
      </c>
      <c r="D43" s="199">
        <f t="shared" si="2"/>
        <v>43575</v>
      </c>
      <c r="E43" s="199">
        <v>31891</v>
      </c>
      <c r="F43" s="199">
        <v>11684</v>
      </c>
      <c r="G43" s="199">
        <f t="shared" ref="G43:G61" si="4">H43+I43</f>
        <v>6181</v>
      </c>
      <c r="H43" s="199">
        <v>3875</v>
      </c>
      <c r="I43" s="199">
        <v>2306</v>
      </c>
      <c r="J43" s="199">
        <v>1036</v>
      </c>
      <c r="K43" s="199">
        <v>617</v>
      </c>
      <c r="L43" s="199">
        <v>901</v>
      </c>
      <c r="M43" s="199">
        <v>536</v>
      </c>
      <c r="N43" s="199"/>
      <c r="O43" s="199"/>
      <c r="P43" s="199"/>
      <c r="Q43" s="199"/>
      <c r="R43" s="199"/>
      <c r="S43" s="199"/>
    </row>
    <row r="44" spans="1:19" ht="27" customHeight="1" x14ac:dyDescent="0.25">
      <c r="A44" s="199">
        <v>31</v>
      </c>
      <c r="B44" s="199" t="s">
        <v>72</v>
      </c>
      <c r="C44" s="203" t="s">
        <v>73</v>
      </c>
      <c r="D44" s="199">
        <f t="shared" si="2"/>
        <v>16630</v>
      </c>
      <c r="E44" s="199">
        <v>14613</v>
      </c>
      <c r="F44" s="199">
        <v>2017</v>
      </c>
      <c r="G44" s="199">
        <f t="shared" si="4"/>
        <v>1108</v>
      </c>
      <c r="H44" s="199">
        <v>992</v>
      </c>
      <c r="I44" s="199">
        <v>116</v>
      </c>
      <c r="J44" s="199">
        <v>287</v>
      </c>
      <c r="K44" s="199">
        <v>34</v>
      </c>
      <c r="L44" s="199">
        <v>209</v>
      </c>
      <c r="M44" s="199">
        <v>24</v>
      </c>
      <c r="N44" s="199"/>
      <c r="O44" s="199"/>
      <c r="P44" s="199"/>
      <c r="Q44" s="199"/>
      <c r="R44" s="199"/>
      <c r="S44" s="199"/>
    </row>
    <row r="45" spans="1:19" ht="27" customHeight="1" x14ac:dyDescent="0.25">
      <c r="A45" s="199">
        <v>32</v>
      </c>
      <c r="B45" s="199" t="s">
        <v>74</v>
      </c>
      <c r="C45" s="204" t="s">
        <v>200</v>
      </c>
      <c r="D45" s="199">
        <f t="shared" si="2"/>
        <v>41441</v>
      </c>
      <c r="E45" s="205">
        <f>30292-1000</f>
        <v>29292</v>
      </c>
      <c r="F45" s="199">
        <v>12149</v>
      </c>
      <c r="G45" s="199">
        <f t="shared" si="4"/>
        <v>5600</v>
      </c>
      <c r="H45" s="199">
        <v>3800</v>
      </c>
      <c r="I45" s="199">
        <v>1800</v>
      </c>
      <c r="J45" s="199">
        <v>1491</v>
      </c>
      <c r="K45" s="199">
        <v>706</v>
      </c>
      <c r="L45" s="199">
        <v>409</v>
      </c>
      <c r="M45" s="199">
        <v>194</v>
      </c>
      <c r="N45" s="199"/>
      <c r="O45" s="199"/>
      <c r="P45" s="199"/>
      <c r="Q45" s="199"/>
      <c r="R45" s="199"/>
      <c r="S45" s="199"/>
    </row>
    <row r="46" spans="1:19" ht="27" customHeight="1" x14ac:dyDescent="0.25">
      <c r="A46" s="199">
        <v>33</v>
      </c>
      <c r="B46" s="200" t="s">
        <v>75</v>
      </c>
      <c r="C46" s="203" t="s">
        <v>201</v>
      </c>
      <c r="D46" s="199">
        <f t="shared" si="2"/>
        <v>15222</v>
      </c>
      <c r="E46" s="199">
        <v>9524</v>
      </c>
      <c r="F46" s="199">
        <v>5698</v>
      </c>
      <c r="G46" s="199">
        <f t="shared" si="4"/>
        <v>1198</v>
      </c>
      <c r="H46" s="199">
        <v>870</v>
      </c>
      <c r="I46" s="199">
        <v>328</v>
      </c>
      <c r="J46" s="199">
        <v>201</v>
      </c>
      <c r="K46" s="199">
        <v>76</v>
      </c>
      <c r="L46" s="199">
        <v>234</v>
      </c>
      <c r="M46" s="199">
        <v>88</v>
      </c>
      <c r="N46" s="199"/>
      <c r="O46" s="199"/>
      <c r="P46" s="199"/>
      <c r="Q46" s="199"/>
      <c r="R46" s="199"/>
      <c r="S46" s="199"/>
    </row>
    <row r="47" spans="1:19" ht="27" customHeight="1" x14ac:dyDescent="0.25">
      <c r="A47" s="199">
        <v>34</v>
      </c>
      <c r="B47" s="199" t="s">
        <v>76</v>
      </c>
      <c r="C47" s="203" t="s">
        <v>202</v>
      </c>
      <c r="D47" s="199">
        <f t="shared" si="2"/>
        <v>9647</v>
      </c>
      <c r="E47" s="199">
        <v>7241</v>
      </c>
      <c r="F47" s="199">
        <v>2406</v>
      </c>
      <c r="G47" s="199">
        <f t="shared" si="4"/>
        <v>5</v>
      </c>
      <c r="H47" s="199">
        <v>5</v>
      </c>
      <c r="I47" s="199">
        <v>0</v>
      </c>
      <c r="J47" s="199">
        <v>1</v>
      </c>
      <c r="K47" s="199">
        <v>0</v>
      </c>
      <c r="L47" s="199">
        <v>2</v>
      </c>
      <c r="M47" s="199">
        <v>0</v>
      </c>
      <c r="N47" s="199"/>
      <c r="O47" s="199"/>
      <c r="P47" s="199"/>
      <c r="Q47" s="199"/>
      <c r="R47" s="206"/>
      <c r="S47" s="206"/>
    </row>
    <row r="48" spans="1:19" ht="27" customHeight="1" x14ac:dyDescent="0.25">
      <c r="A48" s="199">
        <v>35</v>
      </c>
      <c r="B48" s="199" t="s">
        <v>77</v>
      </c>
      <c r="C48" s="204" t="s">
        <v>78</v>
      </c>
      <c r="D48" s="199">
        <f t="shared" si="2"/>
        <v>15720</v>
      </c>
      <c r="E48" s="205">
        <f>14787-1000</f>
        <v>13787</v>
      </c>
      <c r="F48" s="199">
        <v>1933</v>
      </c>
      <c r="G48" s="199">
        <f t="shared" si="4"/>
        <v>828</v>
      </c>
      <c r="H48" s="199">
        <v>332</v>
      </c>
      <c r="I48" s="199">
        <v>496</v>
      </c>
      <c r="J48" s="199">
        <v>137</v>
      </c>
      <c r="K48" s="199">
        <v>205</v>
      </c>
      <c r="L48" s="199">
        <v>29</v>
      </c>
      <c r="M48" s="199">
        <v>43</v>
      </c>
      <c r="N48" s="199"/>
      <c r="O48" s="206"/>
      <c r="P48" s="206"/>
      <c r="Q48" s="199"/>
      <c r="R48" s="206"/>
      <c r="S48" s="206"/>
    </row>
    <row r="49" spans="1:19" ht="27" customHeight="1" x14ac:dyDescent="0.25">
      <c r="A49" s="199">
        <v>36</v>
      </c>
      <c r="B49" s="199" t="s">
        <v>322</v>
      </c>
      <c r="C49" s="203" t="s">
        <v>323</v>
      </c>
      <c r="D49" s="199">
        <f t="shared" si="2"/>
        <v>7754</v>
      </c>
      <c r="E49" s="199">
        <v>5626</v>
      </c>
      <c r="F49" s="199">
        <v>2128</v>
      </c>
      <c r="G49" s="199">
        <f t="shared" si="4"/>
        <v>28</v>
      </c>
      <c r="H49" s="199">
        <v>15</v>
      </c>
      <c r="I49" s="199">
        <v>13</v>
      </c>
      <c r="J49" s="199">
        <v>5</v>
      </c>
      <c r="K49" s="199">
        <v>4</v>
      </c>
      <c r="L49" s="199">
        <v>3</v>
      </c>
      <c r="M49" s="199">
        <v>3</v>
      </c>
      <c r="N49" s="199"/>
      <c r="O49" s="199"/>
      <c r="P49" s="199"/>
      <c r="Q49" s="199"/>
      <c r="R49" s="199"/>
      <c r="S49" s="199"/>
    </row>
    <row r="50" spans="1:19" ht="27" customHeight="1" x14ac:dyDescent="0.25">
      <c r="A50" s="199">
        <v>37</v>
      </c>
      <c r="B50" s="199" t="s">
        <v>79</v>
      </c>
      <c r="C50" s="204" t="s">
        <v>324</v>
      </c>
      <c r="D50" s="199">
        <f t="shared" si="2"/>
        <v>5760</v>
      </c>
      <c r="E50" s="205">
        <f>6760-1000</f>
        <v>5760</v>
      </c>
      <c r="F50" s="199">
        <v>0</v>
      </c>
      <c r="G50" s="199">
        <f t="shared" si="4"/>
        <v>1100</v>
      </c>
      <c r="H50" s="199">
        <v>1100</v>
      </c>
      <c r="I50" s="199">
        <v>0</v>
      </c>
      <c r="J50" s="199">
        <v>550</v>
      </c>
      <c r="K50" s="199">
        <v>0</v>
      </c>
      <c r="L50" s="199">
        <v>0</v>
      </c>
      <c r="M50" s="199">
        <v>0</v>
      </c>
      <c r="N50" s="199"/>
      <c r="O50" s="199"/>
      <c r="P50" s="199"/>
      <c r="Q50" s="199"/>
      <c r="R50" s="199"/>
      <c r="S50" s="199"/>
    </row>
    <row r="51" spans="1:19" ht="27" customHeight="1" x14ac:dyDescent="0.25">
      <c r="A51" s="199">
        <v>38</v>
      </c>
      <c r="B51" s="199" t="s">
        <v>81</v>
      </c>
      <c r="C51" s="204" t="s">
        <v>82</v>
      </c>
      <c r="D51" s="199">
        <f t="shared" si="2"/>
        <v>55251</v>
      </c>
      <c r="E51" s="205">
        <f>38974-1000</f>
        <v>37974</v>
      </c>
      <c r="F51" s="199">
        <v>17277</v>
      </c>
      <c r="G51" s="199">
        <f t="shared" si="4"/>
        <v>3000</v>
      </c>
      <c r="H51" s="199">
        <v>2760</v>
      </c>
      <c r="I51" s="199">
        <v>240</v>
      </c>
      <c r="J51" s="199">
        <v>1173</v>
      </c>
      <c r="K51" s="199">
        <v>102</v>
      </c>
      <c r="L51" s="199">
        <v>207</v>
      </c>
      <c r="M51" s="199">
        <v>18</v>
      </c>
      <c r="N51" s="199"/>
      <c r="O51" s="199"/>
      <c r="P51" s="199"/>
      <c r="Q51" s="199"/>
      <c r="R51" s="199"/>
      <c r="S51" s="199"/>
    </row>
    <row r="52" spans="1:19" ht="27" customHeight="1" x14ac:dyDescent="0.25">
      <c r="A52" s="199">
        <v>39</v>
      </c>
      <c r="B52" s="199" t="s">
        <v>83</v>
      </c>
      <c r="C52" s="203" t="s">
        <v>203</v>
      </c>
      <c r="D52" s="199">
        <f t="shared" si="2"/>
        <v>13957</v>
      </c>
      <c r="E52" s="199">
        <v>10470</v>
      </c>
      <c r="F52" s="199">
        <v>3487</v>
      </c>
      <c r="G52" s="199">
        <f t="shared" si="4"/>
        <v>3108</v>
      </c>
      <c r="H52" s="199">
        <v>2664</v>
      </c>
      <c r="I52" s="199">
        <v>444</v>
      </c>
      <c r="J52" s="199">
        <v>1165</v>
      </c>
      <c r="K52" s="199">
        <v>194</v>
      </c>
      <c r="L52" s="199">
        <v>167</v>
      </c>
      <c r="M52" s="199">
        <v>28</v>
      </c>
      <c r="N52" s="199"/>
      <c r="O52" s="199"/>
      <c r="P52" s="199"/>
      <c r="Q52" s="199"/>
      <c r="R52" s="199"/>
      <c r="S52" s="199"/>
    </row>
    <row r="53" spans="1:19" ht="27" customHeight="1" x14ac:dyDescent="0.25">
      <c r="A53" s="199">
        <v>40</v>
      </c>
      <c r="B53" s="199" t="s">
        <v>84</v>
      </c>
      <c r="C53" s="203" t="s">
        <v>85</v>
      </c>
      <c r="D53" s="199">
        <f t="shared" si="2"/>
        <v>47426</v>
      </c>
      <c r="E53" s="199">
        <v>36610</v>
      </c>
      <c r="F53" s="199">
        <v>10816</v>
      </c>
      <c r="G53" s="199">
        <f t="shared" si="4"/>
        <v>2057</v>
      </c>
      <c r="H53" s="199">
        <v>1652</v>
      </c>
      <c r="I53" s="199">
        <v>405</v>
      </c>
      <c r="J53" s="199">
        <v>659</v>
      </c>
      <c r="K53" s="199">
        <v>162</v>
      </c>
      <c r="L53" s="199">
        <v>167</v>
      </c>
      <c r="M53" s="199">
        <v>41</v>
      </c>
      <c r="N53" s="199"/>
      <c r="O53" s="199"/>
      <c r="P53" s="199"/>
      <c r="Q53" s="199"/>
      <c r="R53" s="199"/>
      <c r="S53" s="199"/>
    </row>
    <row r="54" spans="1:19" ht="27" customHeight="1" x14ac:dyDescent="0.25">
      <c r="A54" s="199">
        <v>41</v>
      </c>
      <c r="B54" s="199" t="s">
        <v>86</v>
      </c>
      <c r="C54" s="203" t="s">
        <v>87</v>
      </c>
      <c r="D54" s="199">
        <f t="shared" si="2"/>
        <v>10633</v>
      </c>
      <c r="E54" s="199">
        <v>7190</v>
      </c>
      <c r="F54" s="199">
        <v>3443</v>
      </c>
      <c r="G54" s="199">
        <f t="shared" si="4"/>
        <v>1200</v>
      </c>
      <c r="H54" s="199">
        <v>600</v>
      </c>
      <c r="I54" s="199">
        <v>600</v>
      </c>
      <c r="J54" s="199">
        <v>300</v>
      </c>
      <c r="K54" s="199">
        <v>300</v>
      </c>
      <c r="L54" s="199">
        <v>0</v>
      </c>
      <c r="M54" s="199">
        <v>0</v>
      </c>
      <c r="N54" s="199"/>
      <c r="O54" s="199"/>
      <c r="P54" s="199"/>
      <c r="Q54" s="199"/>
      <c r="R54" s="199"/>
      <c r="S54" s="199"/>
    </row>
    <row r="55" spans="1:19" ht="27" customHeight="1" x14ac:dyDescent="0.25">
      <c r="A55" s="199">
        <v>42</v>
      </c>
      <c r="B55" s="199" t="s">
        <v>88</v>
      </c>
      <c r="C55" s="203" t="s">
        <v>204</v>
      </c>
      <c r="D55" s="199">
        <f t="shared" si="2"/>
        <v>16381</v>
      </c>
      <c r="E55" s="199">
        <v>10941</v>
      </c>
      <c r="F55" s="199">
        <v>5440</v>
      </c>
      <c r="G55" s="199">
        <f t="shared" si="4"/>
        <v>5541</v>
      </c>
      <c r="H55" s="199">
        <v>3741</v>
      </c>
      <c r="I55" s="199">
        <v>1800</v>
      </c>
      <c r="J55" s="199">
        <v>1361</v>
      </c>
      <c r="K55" s="199">
        <v>655</v>
      </c>
      <c r="L55" s="199">
        <v>510</v>
      </c>
      <c r="M55" s="199">
        <v>245</v>
      </c>
      <c r="N55" s="199"/>
      <c r="O55" s="199"/>
      <c r="P55" s="199"/>
      <c r="Q55" s="199"/>
      <c r="R55" s="199"/>
      <c r="S55" s="199"/>
    </row>
    <row r="56" spans="1:19" ht="27" customHeight="1" x14ac:dyDescent="0.25">
      <c r="A56" s="199">
        <v>43</v>
      </c>
      <c r="B56" s="199" t="s">
        <v>89</v>
      </c>
      <c r="C56" s="203" t="s">
        <v>90</v>
      </c>
      <c r="D56" s="199">
        <f t="shared" si="2"/>
        <v>19366</v>
      </c>
      <c r="E56" s="199">
        <v>15710</v>
      </c>
      <c r="F56" s="199">
        <v>3656</v>
      </c>
      <c r="G56" s="199">
        <f t="shared" si="4"/>
        <v>1997</v>
      </c>
      <c r="H56" s="199">
        <v>1644</v>
      </c>
      <c r="I56" s="199">
        <v>353</v>
      </c>
      <c r="J56" s="199">
        <v>410</v>
      </c>
      <c r="K56" s="199">
        <v>89</v>
      </c>
      <c r="L56" s="199">
        <v>411</v>
      </c>
      <c r="M56" s="199">
        <v>88</v>
      </c>
      <c r="N56" s="199"/>
      <c r="O56" s="199"/>
      <c r="P56" s="199"/>
      <c r="Q56" s="199"/>
      <c r="R56" s="199"/>
      <c r="S56" s="199"/>
    </row>
    <row r="57" spans="1:19" ht="27" customHeight="1" x14ac:dyDescent="0.25">
      <c r="A57" s="199">
        <v>44</v>
      </c>
      <c r="B57" s="199" t="s">
        <v>91</v>
      </c>
      <c r="C57" s="203" t="s">
        <v>92</v>
      </c>
      <c r="D57" s="199">
        <f t="shared" si="2"/>
        <v>6630</v>
      </c>
      <c r="E57" s="199">
        <v>4575</v>
      </c>
      <c r="F57" s="199">
        <v>2055</v>
      </c>
      <c r="G57" s="199">
        <f t="shared" si="4"/>
        <v>234</v>
      </c>
      <c r="H57" s="199">
        <v>154</v>
      </c>
      <c r="I57" s="199">
        <v>80</v>
      </c>
      <c r="J57" s="199">
        <v>62</v>
      </c>
      <c r="K57" s="199">
        <v>32</v>
      </c>
      <c r="L57" s="199">
        <v>15</v>
      </c>
      <c r="M57" s="199">
        <v>8</v>
      </c>
      <c r="N57" s="199"/>
      <c r="O57" s="199"/>
      <c r="P57" s="199"/>
      <c r="Q57" s="199"/>
      <c r="R57" s="199"/>
      <c r="S57" s="199"/>
    </row>
    <row r="58" spans="1:19" ht="27" customHeight="1" x14ac:dyDescent="0.25">
      <c r="A58" s="199">
        <v>45</v>
      </c>
      <c r="B58" s="200" t="s">
        <v>93</v>
      </c>
      <c r="C58" s="203" t="s">
        <v>94</v>
      </c>
      <c r="D58" s="199">
        <f t="shared" si="2"/>
        <v>13223</v>
      </c>
      <c r="E58" s="199">
        <v>8220</v>
      </c>
      <c r="F58" s="199">
        <v>5003</v>
      </c>
      <c r="G58" s="199">
        <f t="shared" si="4"/>
        <v>772</v>
      </c>
      <c r="H58" s="199">
        <v>372</v>
      </c>
      <c r="I58" s="199">
        <v>400</v>
      </c>
      <c r="J58" s="199">
        <v>103</v>
      </c>
      <c r="K58" s="199">
        <v>111</v>
      </c>
      <c r="L58" s="199">
        <v>83</v>
      </c>
      <c r="M58" s="199">
        <v>89</v>
      </c>
      <c r="N58" s="199"/>
      <c r="O58" s="199"/>
      <c r="P58" s="199"/>
      <c r="Q58" s="199"/>
      <c r="R58" s="199"/>
      <c r="S58" s="199"/>
    </row>
    <row r="59" spans="1:19" ht="27" customHeight="1" x14ac:dyDescent="0.25">
      <c r="A59" s="199">
        <v>46</v>
      </c>
      <c r="B59" s="199" t="s">
        <v>95</v>
      </c>
      <c r="C59" s="203" t="s">
        <v>205</v>
      </c>
      <c r="D59" s="199">
        <f t="shared" si="2"/>
        <v>19794</v>
      </c>
      <c r="E59" s="199">
        <v>12689</v>
      </c>
      <c r="F59" s="199">
        <v>7105</v>
      </c>
      <c r="G59" s="199">
        <f t="shared" si="4"/>
        <v>900</v>
      </c>
      <c r="H59" s="199">
        <v>700</v>
      </c>
      <c r="I59" s="199">
        <v>200</v>
      </c>
      <c r="J59" s="199">
        <v>227</v>
      </c>
      <c r="K59" s="199">
        <v>65</v>
      </c>
      <c r="L59" s="199">
        <v>123</v>
      </c>
      <c r="M59" s="199">
        <v>35</v>
      </c>
      <c r="N59" s="199"/>
      <c r="O59" s="199"/>
      <c r="P59" s="199"/>
      <c r="Q59" s="199"/>
      <c r="R59" s="199"/>
      <c r="S59" s="199"/>
    </row>
    <row r="60" spans="1:19" ht="27" customHeight="1" x14ac:dyDescent="0.25">
      <c r="A60" s="199">
        <v>47</v>
      </c>
      <c r="B60" s="199" t="s">
        <v>96</v>
      </c>
      <c r="C60" s="204" t="s">
        <v>97</v>
      </c>
      <c r="D60" s="199">
        <f t="shared" si="2"/>
        <v>66723</v>
      </c>
      <c r="E60" s="205">
        <f>53936-1000</f>
        <v>52936</v>
      </c>
      <c r="F60" s="199">
        <f>13787</f>
        <v>13787</v>
      </c>
      <c r="G60" s="199">
        <f t="shared" si="4"/>
        <v>5400</v>
      </c>
      <c r="H60" s="199">
        <v>4150</v>
      </c>
      <c r="I60" s="199">
        <v>1250</v>
      </c>
      <c r="J60" s="199">
        <v>1828</v>
      </c>
      <c r="K60" s="199">
        <v>551</v>
      </c>
      <c r="L60" s="199">
        <v>247</v>
      </c>
      <c r="M60" s="199">
        <v>74</v>
      </c>
      <c r="N60" s="199"/>
      <c r="O60" s="206"/>
      <c r="P60" s="206"/>
      <c r="Q60" s="199"/>
      <c r="R60" s="206"/>
      <c r="S60" s="206"/>
    </row>
    <row r="61" spans="1:19" ht="27" customHeight="1" x14ac:dyDescent="0.25">
      <c r="A61" s="199">
        <v>48</v>
      </c>
      <c r="B61" s="199" t="s">
        <v>98</v>
      </c>
      <c r="C61" s="203" t="s">
        <v>206</v>
      </c>
      <c r="D61" s="199">
        <f t="shared" si="2"/>
        <v>10787</v>
      </c>
      <c r="E61" s="199">
        <v>7529</v>
      </c>
      <c r="F61" s="199">
        <v>3258</v>
      </c>
      <c r="G61" s="199">
        <f t="shared" si="4"/>
        <v>1088</v>
      </c>
      <c r="H61" s="199">
        <v>1008</v>
      </c>
      <c r="I61" s="199">
        <v>80</v>
      </c>
      <c r="J61" s="199">
        <v>437</v>
      </c>
      <c r="K61" s="199">
        <v>35</v>
      </c>
      <c r="L61" s="199">
        <v>67</v>
      </c>
      <c r="M61" s="199">
        <v>5</v>
      </c>
      <c r="N61" s="199"/>
      <c r="O61" s="199"/>
      <c r="P61" s="199"/>
      <c r="Q61" s="199"/>
      <c r="R61" s="199"/>
      <c r="S61" s="199"/>
    </row>
    <row r="62" spans="1:19" ht="27" customHeight="1" x14ac:dyDescent="0.25">
      <c r="A62" s="199">
        <v>49</v>
      </c>
      <c r="B62" s="199" t="s">
        <v>99</v>
      </c>
      <c r="C62" s="203" t="s">
        <v>422</v>
      </c>
      <c r="D62" s="199">
        <f t="shared" si="2"/>
        <v>9606</v>
      </c>
      <c r="E62" s="199">
        <v>0</v>
      </c>
      <c r="F62" s="199">
        <v>9606</v>
      </c>
      <c r="G62" s="199"/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/>
      <c r="O62" s="199"/>
      <c r="P62" s="199"/>
      <c r="Q62" s="199"/>
      <c r="R62" s="199"/>
      <c r="S62" s="199"/>
    </row>
    <row r="63" spans="1:19" ht="27" customHeight="1" x14ac:dyDescent="0.25">
      <c r="A63" s="199">
        <v>50</v>
      </c>
      <c r="B63" s="199" t="s">
        <v>101</v>
      </c>
      <c r="C63" s="203" t="s">
        <v>423</v>
      </c>
      <c r="D63" s="199">
        <f t="shared" si="2"/>
        <v>7960</v>
      </c>
      <c r="E63" s="199">
        <v>0</v>
      </c>
      <c r="F63" s="199">
        <v>7960</v>
      </c>
      <c r="G63" s="199"/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/>
      <c r="O63" s="199"/>
      <c r="P63" s="199"/>
      <c r="Q63" s="199"/>
      <c r="R63" s="199"/>
      <c r="S63" s="199"/>
    </row>
    <row r="64" spans="1:19" ht="27" customHeight="1" x14ac:dyDescent="0.25">
      <c r="A64" s="199">
        <v>51</v>
      </c>
      <c r="B64" s="199" t="s">
        <v>102</v>
      </c>
      <c r="C64" s="203" t="s">
        <v>424</v>
      </c>
      <c r="D64" s="199">
        <f t="shared" si="2"/>
        <v>28325</v>
      </c>
      <c r="E64" s="199">
        <v>0</v>
      </c>
      <c r="F64" s="199">
        <v>28325</v>
      </c>
      <c r="G64" s="199"/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f>O64+P64</f>
        <v>16965</v>
      </c>
      <c r="O64" s="199"/>
      <c r="P64" s="199">
        <v>16965</v>
      </c>
      <c r="Q64" s="199"/>
      <c r="R64" s="199"/>
      <c r="S64" s="199"/>
    </row>
    <row r="65" spans="1:19" ht="27" customHeight="1" x14ac:dyDescent="0.25">
      <c r="A65" s="199">
        <v>52</v>
      </c>
      <c r="B65" s="199" t="s">
        <v>104</v>
      </c>
      <c r="C65" s="203" t="s">
        <v>425</v>
      </c>
      <c r="D65" s="199">
        <f t="shared" si="2"/>
        <v>29084</v>
      </c>
      <c r="E65" s="199">
        <v>0</v>
      </c>
      <c r="F65" s="199">
        <v>29084</v>
      </c>
      <c r="G65" s="199"/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f>O65+P65</f>
        <v>15833</v>
      </c>
      <c r="O65" s="199"/>
      <c r="P65" s="199">
        <v>15833</v>
      </c>
      <c r="Q65" s="199"/>
      <c r="R65" s="199"/>
      <c r="S65" s="199"/>
    </row>
    <row r="66" spans="1:19" ht="27" customHeight="1" x14ac:dyDescent="0.25">
      <c r="A66" s="199">
        <v>53</v>
      </c>
      <c r="B66" s="199" t="s">
        <v>105</v>
      </c>
      <c r="C66" s="203" t="s">
        <v>426</v>
      </c>
      <c r="D66" s="199">
        <f t="shared" si="2"/>
        <v>5292</v>
      </c>
      <c r="E66" s="199">
        <v>0</v>
      </c>
      <c r="F66" s="199">
        <v>5292</v>
      </c>
      <c r="G66" s="199">
        <f>H66+I66</f>
        <v>550</v>
      </c>
      <c r="H66" s="199">
        <v>0</v>
      </c>
      <c r="I66" s="199">
        <v>550</v>
      </c>
      <c r="J66" s="199">
        <v>0</v>
      </c>
      <c r="K66" s="199">
        <v>275</v>
      </c>
      <c r="L66" s="199">
        <v>0</v>
      </c>
      <c r="M66" s="199">
        <v>0</v>
      </c>
      <c r="N66" s="199"/>
      <c r="O66" s="199"/>
      <c r="P66" s="199"/>
      <c r="Q66" s="199"/>
      <c r="R66" s="199"/>
      <c r="S66" s="199"/>
    </row>
    <row r="67" spans="1:19" ht="32.25" customHeight="1" x14ac:dyDescent="0.25">
      <c r="A67" s="199">
        <v>54</v>
      </c>
      <c r="B67" s="199" t="s">
        <v>334</v>
      </c>
      <c r="C67" s="203" t="s">
        <v>427</v>
      </c>
      <c r="D67" s="199">
        <f t="shared" si="2"/>
        <v>9725</v>
      </c>
      <c r="E67" s="199">
        <v>0</v>
      </c>
      <c r="F67" s="199">
        <v>9725</v>
      </c>
      <c r="G67" s="199">
        <f>H67+I67</f>
        <v>9725</v>
      </c>
      <c r="H67" s="199">
        <v>0</v>
      </c>
      <c r="I67" s="199">
        <v>9725</v>
      </c>
      <c r="J67" s="199">
        <v>0</v>
      </c>
      <c r="K67" s="199">
        <v>3835</v>
      </c>
      <c r="L67" s="199">
        <v>0</v>
      </c>
      <c r="M67" s="199">
        <v>1028</v>
      </c>
      <c r="N67" s="199"/>
      <c r="O67" s="199"/>
      <c r="P67" s="199"/>
      <c r="Q67" s="199"/>
      <c r="R67" s="199"/>
      <c r="S67" s="199"/>
    </row>
    <row r="68" spans="1:19" ht="27" customHeight="1" x14ac:dyDescent="0.25">
      <c r="A68" s="199">
        <v>55</v>
      </c>
      <c r="B68" s="199" t="s">
        <v>107</v>
      </c>
      <c r="C68" s="203" t="s">
        <v>336</v>
      </c>
      <c r="D68" s="199">
        <f t="shared" si="2"/>
        <v>24698</v>
      </c>
      <c r="E68" s="199">
        <v>24152</v>
      </c>
      <c r="F68" s="199">
        <v>546</v>
      </c>
      <c r="G68" s="199"/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/>
      <c r="O68" s="199"/>
      <c r="P68" s="199"/>
      <c r="Q68" s="199"/>
      <c r="R68" s="199"/>
      <c r="S68" s="199"/>
    </row>
    <row r="69" spans="1:19" ht="27" customHeight="1" x14ac:dyDescent="0.25">
      <c r="A69" s="199">
        <v>56</v>
      </c>
      <c r="B69" s="199" t="s">
        <v>108</v>
      </c>
      <c r="C69" s="203" t="s">
        <v>337</v>
      </c>
      <c r="D69" s="199">
        <f t="shared" si="2"/>
        <v>14886</v>
      </c>
      <c r="E69" s="199">
        <v>14886</v>
      </c>
      <c r="F69" s="199">
        <v>0</v>
      </c>
      <c r="G69" s="199"/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/>
      <c r="O69" s="199"/>
      <c r="P69" s="199"/>
      <c r="Q69" s="199"/>
      <c r="R69" s="199"/>
      <c r="S69" s="199"/>
    </row>
    <row r="70" spans="1:19" ht="27" customHeight="1" x14ac:dyDescent="0.25">
      <c r="A70" s="199">
        <v>57</v>
      </c>
      <c r="B70" s="199" t="s">
        <v>109</v>
      </c>
      <c r="C70" s="203" t="s">
        <v>338</v>
      </c>
      <c r="D70" s="199">
        <f t="shared" si="2"/>
        <v>14529</v>
      </c>
      <c r="E70" s="199">
        <v>14529</v>
      </c>
      <c r="F70" s="199">
        <v>0</v>
      </c>
      <c r="G70" s="199">
        <f>H70+I70</f>
        <v>1290</v>
      </c>
      <c r="H70" s="199">
        <v>1290</v>
      </c>
      <c r="I70" s="199">
        <v>0</v>
      </c>
      <c r="J70" s="199">
        <v>619</v>
      </c>
      <c r="K70" s="199">
        <v>0</v>
      </c>
      <c r="L70" s="199">
        <v>26</v>
      </c>
      <c r="M70" s="199">
        <v>0</v>
      </c>
      <c r="N70" s="199"/>
      <c r="O70" s="199"/>
      <c r="P70" s="199"/>
      <c r="Q70" s="199"/>
      <c r="R70" s="199"/>
      <c r="S70" s="199"/>
    </row>
    <row r="71" spans="1:19" ht="27" customHeight="1" x14ac:dyDescent="0.25">
      <c r="A71" s="199">
        <v>58</v>
      </c>
      <c r="B71" s="199" t="s">
        <v>110</v>
      </c>
      <c r="C71" s="203" t="s">
        <v>339</v>
      </c>
      <c r="D71" s="199">
        <f t="shared" si="2"/>
        <v>10952</v>
      </c>
      <c r="E71" s="199">
        <v>10952</v>
      </c>
      <c r="F71" s="199">
        <v>0</v>
      </c>
      <c r="G71" s="199"/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/>
      <c r="O71" s="199"/>
      <c r="P71" s="199"/>
      <c r="Q71" s="199"/>
      <c r="R71" s="199"/>
      <c r="S71" s="199"/>
    </row>
    <row r="72" spans="1:19" ht="27" customHeight="1" x14ac:dyDescent="0.25">
      <c r="A72" s="199">
        <v>59</v>
      </c>
      <c r="B72" s="199" t="s">
        <v>111</v>
      </c>
      <c r="C72" s="203" t="s">
        <v>340</v>
      </c>
      <c r="D72" s="199">
        <f t="shared" si="2"/>
        <v>28691</v>
      </c>
      <c r="E72" s="199">
        <v>28691</v>
      </c>
      <c r="F72" s="199">
        <v>0</v>
      </c>
      <c r="G72" s="199"/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/>
      <c r="O72" s="199"/>
      <c r="P72" s="199"/>
      <c r="Q72" s="199"/>
      <c r="R72" s="199"/>
      <c r="S72" s="199"/>
    </row>
    <row r="73" spans="1:19" ht="27" customHeight="1" x14ac:dyDescent="0.25">
      <c r="A73" s="199">
        <v>60</v>
      </c>
      <c r="B73" s="199" t="s">
        <v>112</v>
      </c>
      <c r="C73" s="204" t="s">
        <v>341</v>
      </c>
      <c r="D73" s="199">
        <f t="shared" si="2"/>
        <v>15702</v>
      </c>
      <c r="E73" s="205">
        <f>14502+1200</f>
        <v>15702</v>
      </c>
      <c r="F73" s="199">
        <v>0</v>
      </c>
      <c r="G73" s="199"/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/>
      <c r="O73" s="199"/>
      <c r="P73" s="199"/>
      <c r="Q73" s="199"/>
      <c r="R73" s="199"/>
      <c r="S73" s="199"/>
    </row>
    <row r="74" spans="1:19" ht="27" customHeight="1" x14ac:dyDescent="0.25">
      <c r="A74" s="199">
        <v>61</v>
      </c>
      <c r="B74" s="199" t="s">
        <v>114</v>
      </c>
      <c r="C74" s="204" t="s">
        <v>342</v>
      </c>
      <c r="D74" s="199">
        <f t="shared" si="2"/>
        <v>18229</v>
      </c>
      <c r="E74" s="205">
        <f>17029+1200</f>
        <v>18229</v>
      </c>
      <c r="F74" s="199">
        <v>0</v>
      </c>
      <c r="G74" s="199"/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/>
      <c r="O74" s="199"/>
      <c r="P74" s="199"/>
      <c r="Q74" s="199"/>
      <c r="R74" s="199"/>
      <c r="S74" s="199"/>
    </row>
    <row r="75" spans="1:19" ht="27" customHeight="1" x14ac:dyDescent="0.25">
      <c r="A75" s="199">
        <v>62</v>
      </c>
      <c r="B75" s="199" t="s">
        <v>116</v>
      </c>
      <c r="C75" s="204" t="s">
        <v>343</v>
      </c>
      <c r="D75" s="199">
        <f t="shared" si="2"/>
        <v>10955</v>
      </c>
      <c r="E75" s="205">
        <f>9755+1200</f>
        <v>10955</v>
      </c>
      <c r="F75" s="199">
        <v>0</v>
      </c>
      <c r="G75" s="199"/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/>
      <c r="O75" s="199"/>
      <c r="P75" s="199"/>
      <c r="Q75" s="199"/>
      <c r="R75" s="199"/>
      <c r="S75" s="199"/>
    </row>
    <row r="76" spans="1:19" ht="27" customHeight="1" x14ac:dyDescent="0.25">
      <c r="A76" s="199">
        <v>63</v>
      </c>
      <c r="B76" s="199" t="s">
        <v>118</v>
      </c>
      <c r="C76" s="203" t="s">
        <v>344</v>
      </c>
      <c r="D76" s="199">
        <f t="shared" si="2"/>
        <v>27691</v>
      </c>
      <c r="E76" s="199">
        <v>27691</v>
      </c>
      <c r="F76" s="199">
        <v>0</v>
      </c>
      <c r="G76" s="199"/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/>
      <c r="O76" s="199"/>
      <c r="P76" s="199"/>
      <c r="Q76" s="199"/>
      <c r="R76" s="199"/>
      <c r="S76" s="199"/>
    </row>
    <row r="77" spans="1:19" ht="27" customHeight="1" x14ac:dyDescent="0.25">
      <c r="A77" s="199">
        <v>64</v>
      </c>
      <c r="B77" s="199" t="s">
        <v>119</v>
      </c>
      <c r="C77" s="203" t="s">
        <v>345</v>
      </c>
      <c r="D77" s="199">
        <f t="shared" si="2"/>
        <v>12562</v>
      </c>
      <c r="E77" s="199">
        <v>12562</v>
      </c>
      <c r="F77" s="199">
        <v>0</v>
      </c>
      <c r="G77" s="199"/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/>
      <c r="O77" s="199"/>
      <c r="P77" s="199"/>
      <c r="Q77" s="199"/>
      <c r="R77" s="199"/>
      <c r="S77" s="199"/>
    </row>
    <row r="78" spans="1:19" ht="27" customHeight="1" x14ac:dyDescent="0.25">
      <c r="A78" s="199">
        <v>65</v>
      </c>
      <c r="B78" s="199" t="s">
        <v>121</v>
      </c>
      <c r="C78" s="204" t="s">
        <v>346</v>
      </c>
      <c r="D78" s="199">
        <f t="shared" ref="D78:D111" si="5">E78+F78</f>
        <v>13570</v>
      </c>
      <c r="E78" s="205">
        <f>12370+1200</f>
        <v>13570</v>
      </c>
      <c r="F78" s="199">
        <v>0</v>
      </c>
      <c r="G78" s="199"/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/>
      <c r="O78" s="199"/>
      <c r="P78" s="199"/>
      <c r="Q78" s="199"/>
      <c r="R78" s="199"/>
      <c r="S78" s="199"/>
    </row>
    <row r="79" spans="1:19" ht="33" customHeight="1" x14ac:dyDescent="0.25">
      <c r="A79" s="199">
        <v>66</v>
      </c>
      <c r="B79" s="199" t="s">
        <v>349</v>
      </c>
      <c r="C79" s="203" t="s">
        <v>428</v>
      </c>
      <c r="D79" s="199">
        <f t="shared" si="5"/>
        <v>23001</v>
      </c>
      <c r="E79" s="199">
        <v>23001</v>
      </c>
      <c r="F79" s="199">
        <v>0</v>
      </c>
      <c r="G79" s="199">
        <f>H79+I79</f>
        <v>23001</v>
      </c>
      <c r="H79" s="199">
        <v>23001</v>
      </c>
      <c r="I79" s="199">
        <v>0</v>
      </c>
      <c r="J79" s="199">
        <v>11340</v>
      </c>
      <c r="K79" s="199">
        <v>0</v>
      </c>
      <c r="L79" s="199">
        <v>161</v>
      </c>
      <c r="M79" s="199">
        <v>0</v>
      </c>
      <c r="N79" s="199"/>
      <c r="O79" s="206"/>
      <c r="P79" s="206"/>
      <c r="Q79" s="199"/>
      <c r="R79" s="206"/>
      <c r="S79" s="206"/>
    </row>
    <row r="80" spans="1:19" ht="27" customHeight="1" x14ac:dyDescent="0.25">
      <c r="A80" s="199">
        <v>67</v>
      </c>
      <c r="B80" s="199" t="s">
        <v>123</v>
      </c>
      <c r="C80" s="203" t="s">
        <v>124</v>
      </c>
      <c r="D80" s="199">
        <f t="shared" si="5"/>
        <v>36612</v>
      </c>
      <c r="E80" s="199">
        <v>29212</v>
      </c>
      <c r="F80" s="199">
        <v>7400</v>
      </c>
      <c r="G80" s="199"/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f>O80+P80</f>
        <v>9502</v>
      </c>
      <c r="O80" s="199">
        <v>9502</v>
      </c>
      <c r="P80" s="199"/>
      <c r="Q80" s="199"/>
      <c r="R80" s="199"/>
      <c r="S80" s="199"/>
    </row>
    <row r="81" spans="1:19" ht="27" customHeight="1" x14ac:dyDescent="0.25">
      <c r="A81" s="199">
        <v>68</v>
      </c>
      <c r="B81" s="199" t="s">
        <v>125</v>
      </c>
      <c r="C81" s="203" t="s">
        <v>361</v>
      </c>
      <c r="D81" s="199">
        <f t="shared" si="5"/>
        <v>41360</v>
      </c>
      <c r="E81" s="199">
        <v>41360</v>
      </c>
      <c r="F81" s="199">
        <v>0</v>
      </c>
      <c r="G81" s="199"/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f>O81+P81</f>
        <v>25100</v>
      </c>
      <c r="O81" s="199">
        <v>25100</v>
      </c>
      <c r="P81" s="199"/>
      <c r="Q81" s="199"/>
      <c r="R81" s="199"/>
      <c r="S81" s="199"/>
    </row>
    <row r="82" spans="1:19" ht="27" customHeight="1" x14ac:dyDescent="0.25">
      <c r="A82" s="199">
        <v>69</v>
      </c>
      <c r="B82" s="199" t="s">
        <v>126</v>
      </c>
      <c r="C82" s="203" t="s">
        <v>362</v>
      </c>
      <c r="D82" s="199">
        <f t="shared" si="5"/>
        <v>13963</v>
      </c>
      <c r="E82" s="199">
        <v>13963</v>
      </c>
      <c r="F82" s="199">
        <v>0</v>
      </c>
      <c r="G82" s="199">
        <f>H82+I82</f>
        <v>450</v>
      </c>
      <c r="H82" s="199">
        <v>450</v>
      </c>
      <c r="I82" s="199">
        <v>0</v>
      </c>
      <c r="J82" s="199">
        <v>90</v>
      </c>
      <c r="K82" s="199">
        <v>0</v>
      </c>
      <c r="L82" s="199">
        <v>135</v>
      </c>
      <c r="M82" s="199">
        <v>0</v>
      </c>
      <c r="N82" s="199"/>
      <c r="O82" s="199"/>
      <c r="P82" s="199"/>
      <c r="Q82" s="199"/>
      <c r="R82" s="199"/>
      <c r="S82" s="199"/>
    </row>
    <row r="83" spans="1:19" ht="27" customHeight="1" x14ac:dyDescent="0.25">
      <c r="A83" s="199">
        <v>70</v>
      </c>
      <c r="B83" s="199" t="s">
        <v>128</v>
      </c>
      <c r="C83" s="203" t="s">
        <v>363</v>
      </c>
      <c r="D83" s="199">
        <f t="shared" si="5"/>
        <v>8283</v>
      </c>
      <c r="E83" s="199">
        <v>8283</v>
      </c>
      <c r="F83" s="199">
        <v>0</v>
      </c>
      <c r="G83" s="199"/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/>
      <c r="O83" s="199"/>
      <c r="P83" s="199"/>
      <c r="Q83" s="199"/>
      <c r="R83" s="199"/>
      <c r="S83" s="199"/>
    </row>
    <row r="84" spans="1:19" ht="27" customHeight="1" x14ac:dyDescent="0.25">
      <c r="A84" s="199">
        <v>71</v>
      </c>
      <c r="B84" s="199" t="s">
        <v>130</v>
      </c>
      <c r="C84" s="203" t="s">
        <v>364</v>
      </c>
      <c r="D84" s="199">
        <f t="shared" si="5"/>
        <v>45228</v>
      </c>
      <c r="E84" s="199">
        <v>44151</v>
      </c>
      <c r="F84" s="199">
        <v>1077</v>
      </c>
      <c r="G84" s="199"/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f>O84+P84</f>
        <v>27163</v>
      </c>
      <c r="O84" s="199">
        <v>27163</v>
      </c>
      <c r="P84" s="199"/>
      <c r="Q84" s="199">
        <v>14434</v>
      </c>
      <c r="R84" s="199">
        <v>13357</v>
      </c>
      <c r="S84" s="199">
        <v>1077</v>
      </c>
    </row>
    <row r="85" spans="1:19" ht="27" customHeight="1" x14ac:dyDescent="0.25">
      <c r="A85" s="199">
        <v>72</v>
      </c>
      <c r="B85" s="199" t="s">
        <v>131</v>
      </c>
      <c r="C85" s="203" t="s">
        <v>365</v>
      </c>
      <c r="D85" s="199">
        <f t="shared" si="5"/>
        <v>49679</v>
      </c>
      <c r="E85" s="199">
        <v>49679</v>
      </c>
      <c r="F85" s="199">
        <v>0</v>
      </c>
      <c r="G85" s="199">
        <f>H85+I85</f>
        <v>546</v>
      </c>
      <c r="H85" s="199">
        <v>546</v>
      </c>
      <c r="I85" s="199">
        <v>0</v>
      </c>
      <c r="J85" s="199">
        <v>224</v>
      </c>
      <c r="K85" s="199">
        <v>0</v>
      </c>
      <c r="L85" s="199">
        <v>49</v>
      </c>
      <c r="M85" s="199">
        <v>0</v>
      </c>
      <c r="N85" s="199"/>
      <c r="O85" s="199"/>
      <c r="P85" s="199"/>
      <c r="Q85" s="199"/>
      <c r="R85" s="199"/>
      <c r="S85" s="199"/>
    </row>
    <row r="86" spans="1:19" ht="27" customHeight="1" x14ac:dyDescent="0.25">
      <c r="A86" s="199">
        <v>73</v>
      </c>
      <c r="B86" s="199" t="s">
        <v>133</v>
      </c>
      <c r="C86" s="203" t="s">
        <v>366</v>
      </c>
      <c r="D86" s="199">
        <f t="shared" si="5"/>
        <v>28861</v>
      </c>
      <c r="E86" s="199">
        <v>0</v>
      </c>
      <c r="F86" s="199">
        <v>28861</v>
      </c>
      <c r="G86" s="199"/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/>
      <c r="O86" s="199"/>
      <c r="P86" s="199"/>
      <c r="Q86" s="199"/>
      <c r="R86" s="199"/>
      <c r="S86" s="199"/>
    </row>
    <row r="87" spans="1:19" ht="27" customHeight="1" x14ac:dyDescent="0.25">
      <c r="A87" s="199">
        <v>74</v>
      </c>
      <c r="B87" s="199" t="s">
        <v>9</v>
      </c>
      <c r="C87" s="203" t="s">
        <v>367</v>
      </c>
      <c r="D87" s="199">
        <f t="shared" si="5"/>
        <v>15721</v>
      </c>
      <c r="E87" s="199">
        <v>15233</v>
      </c>
      <c r="F87" s="199">
        <v>488</v>
      </c>
      <c r="G87" s="199">
        <f>H87+I87</f>
        <v>350</v>
      </c>
      <c r="H87" s="199">
        <v>350</v>
      </c>
      <c r="I87" s="199">
        <v>0</v>
      </c>
      <c r="J87" s="199">
        <v>156</v>
      </c>
      <c r="K87" s="199">
        <v>0</v>
      </c>
      <c r="L87" s="199">
        <v>19</v>
      </c>
      <c r="M87" s="199">
        <v>0</v>
      </c>
      <c r="N87" s="199"/>
      <c r="O87" s="199"/>
      <c r="P87" s="199"/>
      <c r="Q87" s="199"/>
      <c r="R87" s="199"/>
      <c r="S87" s="199"/>
    </row>
    <row r="88" spans="1:19" ht="27" customHeight="1" x14ac:dyDescent="0.25">
      <c r="A88" s="199">
        <v>75</v>
      </c>
      <c r="B88" s="199" t="s">
        <v>137</v>
      </c>
      <c r="C88" s="204" t="s">
        <v>138</v>
      </c>
      <c r="D88" s="199">
        <f t="shared" si="5"/>
        <v>3018</v>
      </c>
      <c r="E88" s="205">
        <f>4018-1000</f>
        <v>3018</v>
      </c>
      <c r="F88" s="199">
        <v>0</v>
      </c>
      <c r="G88" s="199"/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/>
      <c r="O88" s="199"/>
      <c r="P88" s="199"/>
      <c r="Q88" s="199"/>
      <c r="R88" s="199"/>
      <c r="S88" s="199"/>
    </row>
    <row r="89" spans="1:19" ht="27" customHeight="1" x14ac:dyDescent="0.25">
      <c r="A89" s="199">
        <v>76</v>
      </c>
      <c r="B89" s="199" t="s">
        <v>139</v>
      </c>
      <c r="C89" s="203" t="s">
        <v>371</v>
      </c>
      <c r="D89" s="199">
        <f t="shared" si="5"/>
        <v>2171</v>
      </c>
      <c r="E89" s="199">
        <v>2171</v>
      </c>
      <c r="F89" s="199">
        <v>0</v>
      </c>
      <c r="G89" s="199">
        <f t="shared" ref="G89:G98" si="6">H89+I89</f>
        <v>1100</v>
      </c>
      <c r="H89" s="199">
        <v>1100</v>
      </c>
      <c r="I89" s="199">
        <v>0</v>
      </c>
      <c r="J89" s="199">
        <v>550</v>
      </c>
      <c r="K89" s="199">
        <v>0</v>
      </c>
      <c r="L89" s="199">
        <v>0</v>
      </c>
      <c r="M89" s="199">
        <v>0</v>
      </c>
      <c r="N89" s="199"/>
      <c r="O89" s="199"/>
      <c r="P89" s="199"/>
      <c r="Q89" s="199"/>
      <c r="R89" s="199"/>
      <c r="S89" s="199"/>
    </row>
    <row r="90" spans="1:19" ht="27" customHeight="1" x14ac:dyDescent="0.25">
      <c r="A90" s="199">
        <v>77</v>
      </c>
      <c r="B90" s="199" t="s">
        <v>141</v>
      </c>
      <c r="C90" s="203" t="s">
        <v>372</v>
      </c>
      <c r="D90" s="199">
        <f t="shared" si="5"/>
        <v>7670</v>
      </c>
      <c r="E90" s="199">
        <v>7670</v>
      </c>
      <c r="F90" s="199">
        <v>0</v>
      </c>
      <c r="G90" s="199">
        <f t="shared" si="6"/>
        <v>2353</v>
      </c>
      <c r="H90" s="199">
        <v>2353</v>
      </c>
      <c r="I90" s="199">
        <v>0</v>
      </c>
      <c r="J90" s="199">
        <v>1177</v>
      </c>
      <c r="K90" s="199">
        <v>0</v>
      </c>
      <c r="L90" s="199">
        <v>0</v>
      </c>
      <c r="M90" s="199">
        <v>0</v>
      </c>
      <c r="N90" s="199"/>
      <c r="O90" s="199"/>
      <c r="P90" s="199"/>
      <c r="Q90" s="199"/>
      <c r="R90" s="199"/>
      <c r="S90" s="199"/>
    </row>
    <row r="91" spans="1:19" ht="27" customHeight="1" x14ac:dyDescent="0.25">
      <c r="A91" s="199">
        <v>78</v>
      </c>
      <c r="B91" s="199" t="s">
        <v>143</v>
      </c>
      <c r="C91" s="203" t="s">
        <v>144</v>
      </c>
      <c r="D91" s="199">
        <f t="shared" si="5"/>
        <v>9034</v>
      </c>
      <c r="E91" s="199">
        <v>6748</v>
      </c>
      <c r="F91" s="199">
        <v>2286</v>
      </c>
      <c r="G91" s="199">
        <f t="shared" si="6"/>
        <v>3226</v>
      </c>
      <c r="H91" s="199">
        <v>2600</v>
      </c>
      <c r="I91" s="199">
        <v>626</v>
      </c>
      <c r="J91" s="199">
        <v>1083</v>
      </c>
      <c r="K91" s="199">
        <v>261</v>
      </c>
      <c r="L91" s="199">
        <v>217</v>
      </c>
      <c r="M91" s="199">
        <v>52</v>
      </c>
      <c r="N91" s="199"/>
      <c r="O91" s="199"/>
      <c r="P91" s="199"/>
      <c r="Q91" s="199"/>
      <c r="R91" s="199"/>
      <c r="S91" s="199"/>
    </row>
    <row r="92" spans="1:19" ht="27" customHeight="1" x14ac:dyDescent="0.25">
      <c r="A92" s="199">
        <v>79</v>
      </c>
      <c r="B92" s="199" t="s">
        <v>145</v>
      </c>
      <c r="C92" s="203" t="s">
        <v>146</v>
      </c>
      <c r="D92" s="199">
        <f t="shared" si="5"/>
        <v>9444</v>
      </c>
      <c r="E92" s="199">
        <v>6745</v>
      </c>
      <c r="F92" s="199">
        <v>2699</v>
      </c>
      <c r="G92" s="199">
        <f t="shared" si="6"/>
        <v>28</v>
      </c>
      <c r="H92" s="199">
        <v>20</v>
      </c>
      <c r="I92" s="199">
        <v>8</v>
      </c>
      <c r="J92" s="199">
        <v>8</v>
      </c>
      <c r="K92" s="199">
        <v>4</v>
      </c>
      <c r="L92" s="199">
        <v>2</v>
      </c>
      <c r="M92" s="199">
        <v>0</v>
      </c>
      <c r="N92" s="199"/>
      <c r="O92" s="199"/>
      <c r="P92" s="199"/>
      <c r="Q92" s="199"/>
      <c r="R92" s="199"/>
      <c r="S92" s="199"/>
    </row>
    <row r="93" spans="1:19" ht="27" customHeight="1" x14ac:dyDescent="0.25">
      <c r="A93" s="199">
        <v>80</v>
      </c>
      <c r="B93" s="199" t="s">
        <v>147</v>
      </c>
      <c r="C93" s="203" t="s">
        <v>148</v>
      </c>
      <c r="D93" s="199">
        <f t="shared" si="5"/>
        <v>25377</v>
      </c>
      <c r="E93" s="199">
        <v>14547</v>
      </c>
      <c r="F93" s="199">
        <v>10830</v>
      </c>
      <c r="G93" s="199">
        <f t="shared" si="6"/>
        <v>6650</v>
      </c>
      <c r="H93" s="199">
        <v>4300</v>
      </c>
      <c r="I93" s="199">
        <v>2350</v>
      </c>
      <c r="J93" s="199">
        <v>1601</v>
      </c>
      <c r="K93" s="199">
        <v>875</v>
      </c>
      <c r="L93" s="199">
        <v>549</v>
      </c>
      <c r="M93" s="199">
        <v>300</v>
      </c>
      <c r="N93" s="199"/>
      <c r="O93" s="199"/>
      <c r="P93" s="199"/>
      <c r="Q93" s="199"/>
      <c r="R93" s="199"/>
      <c r="S93" s="199"/>
    </row>
    <row r="94" spans="1:19" ht="27" customHeight="1" x14ac:dyDescent="0.25">
      <c r="A94" s="199">
        <v>81</v>
      </c>
      <c r="B94" s="199" t="s">
        <v>149</v>
      </c>
      <c r="C94" s="203" t="s">
        <v>150</v>
      </c>
      <c r="D94" s="199">
        <f t="shared" si="5"/>
        <v>11223</v>
      </c>
      <c r="E94" s="199">
        <f>6655-540+540</f>
        <v>6655</v>
      </c>
      <c r="F94" s="199">
        <f>4568-45+45</f>
        <v>4568</v>
      </c>
      <c r="G94" s="199">
        <f t="shared" si="6"/>
        <v>585</v>
      </c>
      <c r="H94" s="199">
        <f>540</f>
        <v>540</v>
      </c>
      <c r="I94" s="199">
        <f>45</f>
        <v>45</v>
      </c>
      <c r="J94" s="199">
        <v>234</v>
      </c>
      <c r="K94" s="199">
        <v>20</v>
      </c>
      <c r="L94" s="199">
        <v>36</v>
      </c>
      <c r="M94" s="199">
        <v>3</v>
      </c>
      <c r="N94" s="199"/>
      <c r="O94" s="199"/>
      <c r="P94" s="199"/>
      <c r="Q94" s="199"/>
      <c r="R94" s="199"/>
      <c r="S94" s="199"/>
    </row>
    <row r="95" spans="1:19" ht="27" customHeight="1" x14ac:dyDescent="0.25">
      <c r="A95" s="199">
        <v>82</v>
      </c>
      <c r="B95" s="199" t="s">
        <v>151</v>
      </c>
      <c r="C95" s="203" t="s">
        <v>152</v>
      </c>
      <c r="D95" s="199">
        <f t="shared" si="5"/>
        <v>13876</v>
      </c>
      <c r="E95" s="199">
        <v>9269</v>
      </c>
      <c r="F95" s="199">
        <v>4607</v>
      </c>
      <c r="G95" s="199">
        <f t="shared" si="6"/>
        <v>1569</v>
      </c>
      <c r="H95" s="199">
        <v>1404</v>
      </c>
      <c r="I95" s="199">
        <v>165</v>
      </c>
      <c r="J95" s="199">
        <v>468</v>
      </c>
      <c r="K95" s="199">
        <v>56</v>
      </c>
      <c r="L95" s="199">
        <v>234</v>
      </c>
      <c r="M95" s="199">
        <v>27</v>
      </c>
      <c r="N95" s="199"/>
      <c r="O95" s="199"/>
      <c r="P95" s="199"/>
      <c r="Q95" s="199"/>
      <c r="R95" s="199"/>
      <c r="S95" s="199"/>
    </row>
    <row r="96" spans="1:19" ht="27" customHeight="1" x14ac:dyDescent="0.25">
      <c r="A96" s="199">
        <v>83</v>
      </c>
      <c r="B96" s="199" t="s">
        <v>153</v>
      </c>
      <c r="C96" s="203" t="s">
        <v>154</v>
      </c>
      <c r="D96" s="199">
        <f t="shared" si="5"/>
        <v>28176</v>
      </c>
      <c r="E96" s="199">
        <v>17356</v>
      </c>
      <c r="F96" s="199">
        <v>10820</v>
      </c>
      <c r="G96" s="199">
        <f t="shared" si="6"/>
        <v>2200</v>
      </c>
      <c r="H96" s="199">
        <v>1700</v>
      </c>
      <c r="I96" s="199">
        <v>500</v>
      </c>
      <c r="J96" s="199">
        <v>650</v>
      </c>
      <c r="K96" s="199">
        <v>191</v>
      </c>
      <c r="L96" s="199">
        <v>200</v>
      </c>
      <c r="M96" s="199">
        <v>59</v>
      </c>
      <c r="N96" s="199"/>
      <c r="O96" s="199"/>
      <c r="P96" s="199"/>
      <c r="Q96" s="199"/>
      <c r="R96" s="199"/>
      <c r="S96" s="199"/>
    </row>
    <row r="97" spans="1:19" ht="27" customHeight="1" x14ac:dyDescent="0.25">
      <c r="A97" s="199">
        <v>84</v>
      </c>
      <c r="B97" s="199" t="s">
        <v>155</v>
      </c>
      <c r="C97" s="203" t="s">
        <v>156</v>
      </c>
      <c r="D97" s="199">
        <f t="shared" si="5"/>
        <v>23844</v>
      </c>
      <c r="E97" s="199">
        <v>14968</v>
      </c>
      <c r="F97" s="199">
        <v>8876</v>
      </c>
      <c r="G97" s="199">
        <f t="shared" si="6"/>
        <v>2200</v>
      </c>
      <c r="H97" s="199">
        <v>1400</v>
      </c>
      <c r="I97" s="199">
        <v>800</v>
      </c>
      <c r="J97" s="199">
        <v>377</v>
      </c>
      <c r="K97" s="199">
        <v>215</v>
      </c>
      <c r="L97" s="199">
        <v>323</v>
      </c>
      <c r="M97" s="199">
        <v>185</v>
      </c>
      <c r="N97" s="199"/>
      <c r="O97" s="199"/>
      <c r="P97" s="199"/>
      <c r="Q97" s="199"/>
      <c r="R97" s="199"/>
      <c r="S97" s="199"/>
    </row>
    <row r="98" spans="1:19" ht="27" customHeight="1" x14ac:dyDescent="0.25">
      <c r="A98" s="199">
        <v>85</v>
      </c>
      <c r="B98" s="199" t="s">
        <v>157</v>
      </c>
      <c r="C98" s="203" t="s">
        <v>158</v>
      </c>
      <c r="D98" s="199">
        <f t="shared" si="5"/>
        <v>8432</v>
      </c>
      <c r="E98" s="199">
        <v>5607</v>
      </c>
      <c r="F98" s="199">
        <v>2825</v>
      </c>
      <c r="G98" s="199">
        <f t="shared" si="6"/>
        <v>240</v>
      </c>
      <c r="H98" s="199">
        <v>160</v>
      </c>
      <c r="I98" s="199">
        <v>80</v>
      </c>
      <c r="J98" s="199">
        <v>3</v>
      </c>
      <c r="K98" s="199">
        <v>2</v>
      </c>
      <c r="L98" s="199">
        <v>77</v>
      </c>
      <c r="M98" s="199">
        <v>38</v>
      </c>
      <c r="N98" s="199"/>
      <c r="O98" s="199"/>
      <c r="P98" s="199"/>
      <c r="Q98" s="199"/>
      <c r="R98" s="199"/>
      <c r="S98" s="199"/>
    </row>
    <row r="99" spans="1:19" ht="27" customHeight="1" x14ac:dyDescent="0.25">
      <c r="A99" s="199">
        <v>86</v>
      </c>
      <c r="B99" s="199" t="s">
        <v>159</v>
      </c>
      <c r="C99" s="203" t="s">
        <v>160</v>
      </c>
      <c r="D99" s="199">
        <f t="shared" si="5"/>
        <v>13104</v>
      </c>
      <c r="E99" s="199">
        <v>8313</v>
      </c>
      <c r="F99" s="199">
        <v>4791</v>
      </c>
      <c r="G99" s="199"/>
      <c r="H99" s="199">
        <v>0</v>
      </c>
      <c r="I99" s="199">
        <v>0</v>
      </c>
      <c r="J99" s="199">
        <v>0</v>
      </c>
      <c r="K99" s="199">
        <v>0</v>
      </c>
      <c r="L99" s="199">
        <v>0</v>
      </c>
      <c r="M99" s="199">
        <v>0</v>
      </c>
      <c r="N99" s="199"/>
      <c r="O99" s="199"/>
      <c r="P99" s="199"/>
      <c r="Q99" s="199"/>
      <c r="R99" s="199"/>
      <c r="S99" s="199"/>
    </row>
    <row r="100" spans="1:19" ht="27" customHeight="1" x14ac:dyDescent="0.25">
      <c r="A100" s="199">
        <v>87</v>
      </c>
      <c r="B100" s="199" t="s">
        <v>161</v>
      </c>
      <c r="C100" s="203" t="s">
        <v>162</v>
      </c>
      <c r="D100" s="199">
        <f t="shared" si="5"/>
        <v>12870</v>
      </c>
      <c r="E100" s="199">
        <v>8538</v>
      </c>
      <c r="F100" s="199">
        <v>4332</v>
      </c>
      <c r="G100" s="199">
        <f t="shared" ref="G100:G105" si="7">H100+I100</f>
        <v>1400</v>
      </c>
      <c r="H100" s="199">
        <v>1000</v>
      </c>
      <c r="I100" s="199">
        <v>400</v>
      </c>
      <c r="J100" s="199">
        <v>333</v>
      </c>
      <c r="K100" s="199">
        <v>133</v>
      </c>
      <c r="L100" s="199">
        <v>167</v>
      </c>
      <c r="M100" s="199">
        <v>67</v>
      </c>
      <c r="N100" s="199"/>
      <c r="O100" s="199"/>
      <c r="P100" s="199"/>
      <c r="Q100" s="199"/>
      <c r="R100" s="199"/>
      <c r="S100" s="199"/>
    </row>
    <row r="101" spans="1:19" ht="27" customHeight="1" x14ac:dyDescent="0.25">
      <c r="A101" s="199">
        <v>88</v>
      </c>
      <c r="B101" s="199" t="s">
        <v>163</v>
      </c>
      <c r="C101" s="203" t="s">
        <v>164</v>
      </c>
      <c r="D101" s="199">
        <f t="shared" si="5"/>
        <v>14790</v>
      </c>
      <c r="E101" s="199">
        <v>10506</v>
      </c>
      <c r="F101" s="199">
        <v>4284</v>
      </c>
      <c r="G101" s="199">
        <f t="shared" si="7"/>
        <v>1202</v>
      </c>
      <c r="H101" s="199">
        <v>1002</v>
      </c>
      <c r="I101" s="199">
        <v>200</v>
      </c>
      <c r="J101" s="199">
        <v>322</v>
      </c>
      <c r="K101" s="199">
        <v>64</v>
      </c>
      <c r="L101" s="199">
        <v>179</v>
      </c>
      <c r="M101" s="199">
        <v>36</v>
      </c>
      <c r="N101" s="199"/>
      <c r="O101" s="199"/>
      <c r="P101" s="199"/>
      <c r="Q101" s="199"/>
      <c r="R101" s="199"/>
      <c r="S101" s="199"/>
    </row>
    <row r="102" spans="1:19" ht="27" customHeight="1" x14ac:dyDescent="0.25">
      <c r="A102" s="199">
        <v>89</v>
      </c>
      <c r="B102" s="199" t="s">
        <v>165</v>
      </c>
      <c r="C102" s="203" t="s">
        <v>166</v>
      </c>
      <c r="D102" s="199">
        <f t="shared" si="5"/>
        <v>9771</v>
      </c>
      <c r="E102" s="199">
        <v>6597</v>
      </c>
      <c r="F102" s="199">
        <v>3174</v>
      </c>
      <c r="G102" s="199">
        <f t="shared" si="7"/>
        <v>42</v>
      </c>
      <c r="H102" s="199">
        <v>36</v>
      </c>
      <c r="I102" s="199">
        <v>6</v>
      </c>
      <c r="J102" s="199">
        <v>13</v>
      </c>
      <c r="K102" s="199">
        <v>3</v>
      </c>
      <c r="L102" s="199">
        <v>5</v>
      </c>
      <c r="M102" s="199">
        <v>0</v>
      </c>
      <c r="N102" s="199"/>
      <c r="O102" s="199"/>
      <c r="P102" s="199"/>
      <c r="Q102" s="199"/>
      <c r="R102" s="199"/>
      <c r="S102" s="199"/>
    </row>
    <row r="103" spans="1:19" ht="27" customHeight="1" x14ac:dyDescent="0.25">
      <c r="A103" s="199">
        <v>90</v>
      </c>
      <c r="B103" s="199" t="s">
        <v>167</v>
      </c>
      <c r="C103" s="203" t="s">
        <v>168</v>
      </c>
      <c r="D103" s="199">
        <f t="shared" si="5"/>
        <v>14508</v>
      </c>
      <c r="E103" s="199">
        <v>8915</v>
      </c>
      <c r="F103" s="199">
        <v>5593</v>
      </c>
      <c r="G103" s="199">
        <f t="shared" si="7"/>
        <v>3937</v>
      </c>
      <c r="H103" s="199">
        <v>2137</v>
      </c>
      <c r="I103" s="199">
        <v>1800</v>
      </c>
      <c r="J103" s="199">
        <v>713</v>
      </c>
      <c r="K103" s="199">
        <v>600</v>
      </c>
      <c r="L103" s="199">
        <v>356</v>
      </c>
      <c r="M103" s="199">
        <v>300</v>
      </c>
      <c r="N103" s="199"/>
      <c r="O103" s="199"/>
      <c r="P103" s="199"/>
      <c r="Q103" s="199"/>
      <c r="R103" s="199"/>
      <c r="S103" s="199"/>
    </row>
    <row r="104" spans="1:19" ht="27" customHeight="1" x14ac:dyDescent="0.25">
      <c r="A104" s="199">
        <v>91</v>
      </c>
      <c r="B104" s="199" t="s">
        <v>169</v>
      </c>
      <c r="C104" s="203" t="s">
        <v>170</v>
      </c>
      <c r="D104" s="199">
        <f t="shared" si="5"/>
        <v>24598</v>
      </c>
      <c r="E104" s="199">
        <v>16161</v>
      </c>
      <c r="F104" s="199">
        <v>8437</v>
      </c>
      <c r="G104" s="199">
        <f t="shared" si="7"/>
        <v>270</v>
      </c>
      <c r="H104" s="199">
        <v>200</v>
      </c>
      <c r="I104" s="199">
        <v>70</v>
      </c>
      <c r="J104" s="199">
        <v>66</v>
      </c>
      <c r="K104" s="199">
        <v>23</v>
      </c>
      <c r="L104" s="199">
        <v>34</v>
      </c>
      <c r="M104" s="199">
        <v>12</v>
      </c>
      <c r="N104" s="199"/>
      <c r="O104" s="199"/>
      <c r="P104" s="199"/>
      <c r="Q104" s="199"/>
      <c r="R104" s="199"/>
      <c r="S104" s="199"/>
    </row>
    <row r="105" spans="1:19" ht="27" customHeight="1" x14ac:dyDescent="0.25">
      <c r="A105" s="199">
        <v>92</v>
      </c>
      <c r="B105" s="199" t="s">
        <v>171</v>
      </c>
      <c r="C105" s="203" t="s">
        <v>216</v>
      </c>
      <c r="D105" s="199">
        <f t="shared" si="5"/>
        <v>11344</v>
      </c>
      <c r="E105" s="199">
        <v>7592</v>
      </c>
      <c r="F105" s="199">
        <v>3752</v>
      </c>
      <c r="G105" s="199">
        <f t="shared" si="7"/>
        <v>400</v>
      </c>
      <c r="H105" s="199">
        <v>300</v>
      </c>
      <c r="I105" s="199">
        <v>100</v>
      </c>
      <c r="J105" s="199">
        <v>95</v>
      </c>
      <c r="K105" s="199">
        <v>32</v>
      </c>
      <c r="L105" s="199">
        <v>55</v>
      </c>
      <c r="M105" s="199">
        <v>18</v>
      </c>
      <c r="N105" s="199"/>
      <c r="O105" s="199"/>
      <c r="P105" s="199"/>
      <c r="Q105" s="199"/>
      <c r="R105" s="199"/>
      <c r="S105" s="199"/>
    </row>
    <row r="106" spans="1:19" ht="27" customHeight="1" x14ac:dyDescent="0.25">
      <c r="A106" s="199">
        <v>93</v>
      </c>
      <c r="B106" s="200" t="s">
        <v>14</v>
      </c>
      <c r="C106" s="203" t="s">
        <v>13</v>
      </c>
      <c r="D106" s="199">
        <f t="shared" si="5"/>
        <v>500</v>
      </c>
      <c r="E106" s="199">
        <v>500</v>
      </c>
      <c r="F106" s="199">
        <v>0</v>
      </c>
      <c r="G106" s="199"/>
      <c r="H106" s="199">
        <v>0</v>
      </c>
      <c r="I106" s="199">
        <v>0</v>
      </c>
      <c r="J106" s="199">
        <v>0</v>
      </c>
      <c r="K106" s="199">
        <v>0</v>
      </c>
      <c r="L106" s="199">
        <v>0</v>
      </c>
      <c r="M106" s="199">
        <v>0</v>
      </c>
      <c r="N106" s="199"/>
      <c r="O106" s="199"/>
      <c r="P106" s="199"/>
      <c r="Q106" s="199"/>
      <c r="R106" s="199"/>
      <c r="S106" s="199"/>
    </row>
    <row r="107" spans="1:19" ht="27" customHeight="1" x14ac:dyDescent="0.25">
      <c r="A107" s="199">
        <v>94</v>
      </c>
      <c r="B107" s="199" t="s">
        <v>10</v>
      </c>
      <c r="C107" s="204" t="s">
        <v>7</v>
      </c>
      <c r="D107" s="199">
        <f t="shared" si="5"/>
        <v>33809</v>
      </c>
      <c r="E107" s="199">
        <v>0</v>
      </c>
      <c r="F107" s="205">
        <f>28109+5700</f>
        <v>33809</v>
      </c>
      <c r="G107" s="199"/>
      <c r="H107" s="199">
        <v>0</v>
      </c>
      <c r="I107" s="199">
        <v>0</v>
      </c>
      <c r="J107" s="199">
        <v>0</v>
      </c>
      <c r="K107" s="199">
        <v>0</v>
      </c>
      <c r="L107" s="199">
        <v>0</v>
      </c>
      <c r="M107" s="199">
        <v>0</v>
      </c>
      <c r="N107" s="199">
        <f>O107+P107</f>
        <v>24233</v>
      </c>
      <c r="O107" s="199"/>
      <c r="P107" s="199">
        <v>24233</v>
      </c>
      <c r="Q107" s="199"/>
      <c r="R107" s="199"/>
      <c r="S107" s="199"/>
    </row>
    <row r="108" spans="1:19" ht="27" customHeight="1" x14ac:dyDescent="0.25">
      <c r="A108" s="199">
        <v>95</v>
      </c>
      <c r="B108" s="199" t="s">
        <v>393</v>
      </c>
      <c r="C108" s="203" t="s">
        <v>429</v>
      </c>
      <c r="D108" s="199">
        <f t="shared" si="5"/>
        <v>12711</v>
      </c>
      <c r="E108" s="199">
        <v>11311</v>
      </c>
      <c r="F108" s="199">
        <v>1400</v>
      </c>
      <c r="G108" s="199"/>
      <c r="H108" s="199">
        <v>0</v>
      </c>
      <c r="I108" s="199">
        <v>0</v>
      </c>
      <c r="J108" s="199">
        <v>0</v>
      </c>
      <c r="K108" s="199">
        <v>0</v>
      </c>
      <c r="L108" s="199">
        <v>0</v>
      </c>
      <c r="M108" s="199">
        <v>0</v>
      </c>
      <c r="N108" s="199"/>
      <c r="O108" s="199"/>
      <c r="P108" s="199"/>
      <c r="Q108" s="199">
        <v>12711</v>
      </c>
      <c r="R108" s="199">
        <v>11311</v>
      </c>
      <c r="S108" s="199">
        <v>1400</v>
      </c>
    </row>
    <row r="109" spans="1:19" ht="27" customHeight="1" x14ac:dyDescent="0.25">
      <c r="A109" s="199">
        <v>96</v>
      </c>
      <c r="B109" s="199" t="s">
        <v>12</v>
      </c>
      <c r="C109" s="203" t="s">
        <v>2</v>
      </c>
      <c r="D109" s="199">
        <f t="shared" si="5"/>
        <v>30000</v>
      </c>
      <c r="E109" s="199">
        <v>14693</v>
      </c>
      <c r="F109" s="199">
        <v>15307</v>
      </c>
      <c r="G109" s="199"/>
      <c r="H109" s="199">
        <v>0</v>
      </c>
      <c r="I109" s="199">
        <v>0</v>
      </c>
      <c r="J109" s="199">
        <v>0</v>
      </c>
      <c r="K109" s="199">
        <v>0</v>
      </c>
      <c r="L109" s="199">
        <v>0</v>
      </c>
      <c r="M109" s="199">
        <v>0</v>
      </c>
      <c r="N109" s="199"/>
      <c r="O109" s="199"/>
      <c r="P109" s="199"/>
      <c r="Q109" s="199"/>
      <c r="R109" s="199"/>
      <c r="S109" s="199"/>
    </row>
    <row r="110" spans="1:19" ht="27" customHeight="1" x14ac:dyDescent="0.25">
      <c r="A110" s="199">
        <v>97</v>
      </c>
      <c r="B110" s="199" t="s">
        <v>3</v>
      </c>
      <c r="C110" s="203" t="s">
        <v>397</v>
      </c>
      <c r="D110" s="199">
        <f t="shared" si="5"/>
        <v>82960</v>
      </c>
      <c r="E110" s="199">
        <v>72826</v>
      </c>
      <c r="F110" s="199">
        <v>10134</v>
      </c>
      <c r="G110" s="199">
        <f>H110+I110</f>
        <v>4050</v>
      </c>
      <c r="H110" s="199">
        <v>3000</v>
      </c>
      <c r="I110" s="199">
        <v>1050</v>
      </c>
      <c r="J110" s="199">
        <v>1500</v>
      </c>
      <c r="K110" s="199">
        <v>525</v>
      </c>
      <c r="L110" s="199">
        <v>0</v>
      </c>
      <c r="M110" s="199">
        <v>0</v>
      </c>
      <c r="N110" s="199">
        <f>O110+P110</f>
        <v>26927</v>
      </c>
      <c r="O110" s="199">
        <f>36927-10000</f>
        <v>26927</v>
      </c>
      <c r="P110" s="199"/>
      <c r="Q110" s="199"/>
      <c r="R110" s="199"/>
      <c r="S110" s="199"/>
    </row>
    <row r="111" spans="1:19" ht="27" customHeight="1" x14ac:dyDescent="0.25">
      <c r="A111" s="207">
        <v>98</v>
      </c>
      <c r="B111" s="207" t="s">
        <v>11</v>
      </c>
      <c r="C111" s="208" t="s">
        <v>8</v>
      </c>
      <c r="D111" s="207">
        <f t="shared" si="5"/>
        <v>2500</v>
      </c>
      <c r="E111" s="209">
        <f>2000-1000</f>
        <v>1000</v>
      </c>
      <c r="F111" s="209">
        <f>2000-500</f>
        <v>1500</v>
      </c>
      <c r="G111" s="207"/>
      <c r="H111" s="207">
        <v>0</v>
      </c>
      <c r="I111" s="207">
        <v>0</v>
      </c>
      <c r="J111" s="207">
        <v>0</v>
      </c>
      <c r="K111" s="207">
        <v>0</v>
      </c>
      <c r="L111" s="207">
        <v>0</v>
      </c>
      <c r="M111" s="207">
        <v>0</v>
      </c>
      <c r="N111" s="207"/>
      <c r="O111" s="207"/>
      <c r="P111" s="207"/>
      <c r="Q111" s="207"/>
      <c r="R111" s="207"/>
      <c r="S111" s="207"/>
    </row>
    <row r="112" spans="1:19" ht="27" customHeight="1" x14ac:dyDescent="0.25">
      <c r="A112" s="210"/>
      <c r="B112" s="210"/>
      <c r="C112" s="211"/>
      <c r="D112" s="210"/>
      <c r="E112" s="210"/>
      <c r="F112" s="210"/>
      <c r="G112" s="210"/>
      <c r="H112" s="210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</row>
    <row r="115" spans="15:15" x14ac:dyDescent="0.25">
      <c r="O115" s="213"/>
    </row>
  </sheetData>
  <mergeCells count="24">
    <mergeCell ref="Q6:S6"/>
    <mergeCell ref="J7:K8"/>
    <mergeCell ref="L7:M8"/>
    <mergeCell ref="A13:C13"/>
    <mergeCell ref="G6:G9"/>
    <mergeCell ref="H6:I8"/>
    <mergeCell ref="A11:C11"/>
    <mergeCell ref="A12:C12"/>
    <mergeCell ref="A2:Q2"/>
    <mergeCell ref="A4:A9"/>
    <mergeCell ref="B4:B9"/>
    <mergeCell ref="C4:C9"/>
    <mergeCell ref="D4:F4"/>
    <mergeCell ref="G4:S4"/>
    <mergeCell ref="D5:D9"/>
    <mergeCell ref="E5:F8"/>
    <mergeCell ref="G5:M5"/>
    <mergeCell ref="N5:S5"/>
    <mergeCell ref="R7:S8"/>
    <mergeCell ref="J6:M6"/>
    <mergeCell ref="N6:P6"/>
    <mergeCell ref="N7:N9"/>
    <mergeCell ref="O7:P8"/>
    <mergeCell ref="Q7:Q9"/>
  </mergeCells>
  <conditionalFormatting sqref="C1 C3:C4 C135:C1048576 C10:S10 C12:C13 N11:S12 E12:M12 C11:M11 C113:C133">
    <cfRule type="containsText" dxfId="0" priority="1" operator="containsText" text="агид">
      <formula>NOT(ISERROR(SEARCH("агид",C1)))</formula>
    </cfRule>
  </conditionalFormatting>
  <pageMargins left="0.19685039370078741" right="0.19685039370078741" top="0.59055118110236227" bottom="0" header="0.31496062992125984" footer="0.31496062992125984"/>
  <pageSetup paperSize="9" scale="55" fitToHeight="4" orientation="landscape" r:id="rId1"/>
  <rowBreaks count="1" manualBreakCount="1">
    <brk id="61" max="3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65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M27" sqref="M27"/>
    </sheetView>
  </sheetViews>
  <sheetFormatPr defaultRowHeight="12.75" x14ac:dyDescent="0.25"/>
  <cols>
    <col min="1" max="1" width="6.140625" style="35" customWidth="1"/>
    <col min="2" max="2" width="10.5703125" style="36" customWidth="1"/>
    <col min="3" max="3" width="37.42578125" style="1" customWidth="1"/>
    <col min="4" max="4" width="10.7109375" style="38" customWidth="1"/>
    <col min="5" max="5" width="10.5703125" style="39" customWidth="1"/>
    <col min="6" max="6" width="9.85546875" style="39" customWidth="1"/>
    <col min="7" max="7" width="9.7109375" style="39" customWidth="1"/>
    <col min="8" max="8" width="10.85546875" style="39" customWidth="1"/>
    <col min="9" max="9" width="10.42578125" style="39" customWidth="1"/>
    <col min="10" max="10" width="9" style="39" customWidth="1"/>
    <col min="11" max="11" width="10.42578125" style="39" customWidth="1"/>
    <col min="12" max="12" width="13.85546875" style="39" customWidth="1"/>
    <col min="13" max="13" width="10.7109375" style="39" customWidth="1"/>
    <col min="14" max="14" width="11.85546875" style="1" customWidth="1"/>
    <col min="15" max="16384" width="9.140625" style="1"/>
  </cols>
  <sheetData>
    <row r="1" spans="1:13" ht="22.5" customHeight="1" x14ac:dyDescent="0.25">
      <c r="A1" s="650" t="s">
        <v>218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</row>
    <row r="3" spans="1:13" ht="15.75" customHeight="1" x14ac:dyDescent="0.25">
      <c r="A3" s="651" t="s">
        <v>0</v>
      </c>
      <c r="B3" s="652" t="s">
        <v>219</v>
      </c>
      <c r="C3" s="651" t="s">
        <v>220</v>
      </c>
      <c r="D3" s="654" t="s">
        <v>221</v>
      </c>
      <c r="E3" s="655"/>
      <c r="F3" s="655"/>
      <c r="G3" s="655"/>
      <c r="H3" s="655"/>
      <c r="I3" s="654" t="s">
        <v>222</v>
      </c>
      <c r="J3" s="654"/>
      <c r="K3" s="654"/>
      <c r="L3" s="654"/>
      <c r="M3" s="654" t="s">
        <v>16</v>
      </c>
    </row>
    <row r="4" spans="1:13" ht="28.5" customHeight="1" x14ac:dyDescent="0.25">
      <c r="A4" s="651"/>
      <c r="B4" s="653"/>
      <c r="C4" s="651"/>
      <c r="D4" s="2" t="s">
        <v>223</v>
      </c>
      <c r="E4" s="3" t="s">
        <v>224</v>
      </c>
      <c r="F4" s="3" t="s">
        <v>225</v>
      </c>
      <c r="G4" s="4" t="s">
        <v>226</v>
      </c>
      <c r="H4" s="4" t="s">
        <v>1</v>
      </c>
      <c r="I4" s="3" t="s">
        <v>224</v>
      </c>
      <c r="J4" s="3" t="s">
        <v>225</v>
      </c>
      <c r="K4" s="4" t="s">
        <v>226</v>
      </c>
      <c r="L4" s="4" t="s">
        <v>1</v>
      </c>
      <c r="M4" s="654"/>
    </row>
    <row r="5" spans="1:13" ht="12.75" customHeight="1" x14ac:dyDescent="0.25">
      <c r="A5" s="5"/>
      <c r="B5" s="6"/>
      <c r="C5" s="7" t="s">
        <v>1</v>
      </c>
      <c r="D5" s="8">
        <f>D6+D7</f>
        <v>60987</v>
      </c>
      <c r="E5" s="9">
        <f t="shared" ref="E5:M5" si="0">E6+E7</f>
        <v>111106</v>
      </c>
      <c r="F5" s="9">
        <f t="shared" si="0"/>
        <v>2194</v>
      </c>
      <c r="G5" s="10">
        <f t="shared" si="0"/>
        <v>20718</v>
      </c>
      <c r="H5" s="10">
        <f t="shared" si="0"/>
        <v>195005</v>
      </c>
      <c r="I5" s="9">
        <f t="shared" si="0"/>
        <v>57996</v>
      </c>
      <c r="J5" s="9">
        <f t="shared" si="0"/>
        <v>2178</v>
      </c>
      <c r="K5" s="10">
        <f t="shared" si="0"/>
        <v>3600</v>
      </c>
      <c r="L5" s="10">
        <f t="shared" si="0"/>
        <v>63774</v>
      </c>
      <c r="M5" s="10">
        <f t="shared" si="0"/>
        <v>258779</v>
      </c>
    </row>
    <row r="6" spans="1:13" ht="12.75" customHeight="1" x14ac:dyDescent="0.25">
      <c r="A6" s="5"/>
      <c r="B6" s="6"/>
      <c r="C6" s="11" t="s">
        <v>19</v>
      </c>
      <c r="D6" s="12">
        <v>0</v>
      </c>
      <c r="E6" s="13">
        <v>9725</v>
      </c>
      <c r="F6" s="13">
        <v>0</v>
      </c>
      <c r="G6" s="13">
        <v>0</v>
      </c>
      <c r="H6" s="3">
        <f>D6+E6+F6+G6</f>
        <v>9725</v>
      </c>
      <c r="I6" s="3">
        <v>5533</v>
      </c>
      <c r="J6" s="3">
        <v>0</v>
      </c>
      <c r="K6" s="3">
        <v>0</v>
      </c>
      <c r="L6" s="3">
        <f t="shared" ref="L6" si="1">I6+J6+K6</f>
        <v>5533</v>
      </c>
      <c r="M6" s="3">
        <f t="shared" ref="M6" si="2">H6+L6</f>
        <v>15258</v>
      </c>
    </row>
    <row r="7" spans="1:13" ht="12.75" customHeight="1" x14ac:dyDescent="0.25">
      <c r="A7" s="5"/>
      <c r="B7" s="6"/>
      <c r="C7" s="11" t="s">
        <v>20</v>
      </c>
      <c r="D7" s="8">
        <f>SUM(D8:D52)</f>
        <v>60987</v>
      </c>
      <c r="E7" s="8">
        <f t="shared" ref="E7:M7" si="3">SUM(E8:E52)</f>
        <v>101381</v>
      </c>
      <c r="F7" s="8">
        <f>SUM(F8:F52)</f>
        <v>2194</v>
      </c>
      <c r="G7" s="8">
        <f t="shared" si="3"/>
        <v>20718</v>
      </c>
      <c r="H7" s="8">
        <f t="shared" si="3"/>
        <v>185280</v>
      </c>
      <c r="I7" s="8">
        <f t="shared" si="3"/>
        <v>52463</v>
      </c>
      <c r="J7" s="8">
        <f t="shared" si="3"/>
        <v>2178</v>
      </c>
      <c r="K7" s="8">
        <f t="shared" si="3"/>
        <v>3600</v>
      </c>
      <c r="L7" s="8">
        <f t="shared" si="3"/>
        <v>58241</v>
      </c>
      <c r="M7" s="8">
        <f t="shared" si="3"/>
        <v>243521</v>
      </c>
    </row>
    <row r="8" spans="1:13" ht="12.75" customHeight="1" x14ac:dyDescent="0.25">
      <c r="A8" s="14">
        <v>1</v>
      </c>
      <c r="B8" s="15" t="s">
        <v>24</v>
      </c>
      <c r="C8" s="16" t="s">
        <v>25</v>
      </c>
      <c r="D8" s="12"/>
      <c r="E8" s="13">
        <f>603+50</f>
        <v>653</v>
      </c>
      <c r="F8" s="13"/>
      <c r="G8" s="13">
        <v>194</v>
      </c>
      <c r="H8" s="3">
        <f t="shared" ref="H8:H14" si="4">D8+E8+F8+G8</f>
        <v>847</v>
      </c>
      <c r="I8" s="3">
        <v>0</v>
      </c>
      <c r="J8" s="3">
        <v>0</v>
      </c>
      <c r="K8" s="3">
        <v>0</v>
      </c>
      <c r="L8" s="3">
        <f t="shared" ref="L8:L11" si="5">I8+J8+K8</f>
        <v>0</v>
      </c>
      <c r="M8" s="3">
        <f t="shared" ref="M8:M52" si="6">H8+L8</f>
        <v>847</v>
      </c>
    </row>
    <row r="9" spans="1:13" ht="12.75" customHeight="1" x14ac:dyDescent="0.25">
      <c r="A9" s="14">
        <v>2</v>
      </c>
      <c r="B9" s="15" t="s">
        <v>4</v>
      </c>
      <c r="C9" s="16" t="s">
        <v>29</v>
      </c>
      <c r="D9" s="12"/>
      <c r="E9" s="13">
        <f>2278+10</f>
        <v>2288</v>
      </c>
      <c r="F9" s="13"/>
      <c r="G9" s="13">
        <v>712</v>
      </c>
      <c r="H9" s="3">
        <f t="shared" si="4"/>
        <v>3000</v>
      </c>
      <c r="I9" s="3">
        <f>50+426</f>
        <v>476</v>
      </c>
      <c r="J9" s="3">
        <v>0</v>
      </c>
      <c r="K9" s="3">
        <v>0</v>
      </c>
      <c r="L9" s="3">
        <f t="shared" si="5"/>
        <v>476</v>
      </c>
      <c r="M9" s="3">
        <f t="shared" si="6"/>
        <v>3476</v>
      </c>
    </row>
    <row r="10" spans="1:13" ht="12.75" customHeight="1" x14ac:dyDescent="0.25">
      <c r="A10" s="14">
        <v>3</v>
      </c>
      <c r="B10" s="17" t="s">
        <v>30</v>
      </c>
      <c r="C10" s="16" t="s">
        <v>197</v>
      </c>
      <c r="D10" s="12">
        <f>3524+777</f>
        <v>4301</v>
      </c>
      <c r="E10" s="13">
        <f>823+190</f>
        <v>1013</v>
      </c>
      <c r="F10" s="13"/>
      <c r="G10" s="13"/>
      <c r="H10" s="3">
        <f t="shared" si="4"/>
        <v>5314</v>
      </c>
      <c r="I10" s="3">
        <v>0</v>
      </c>
      <c r="J10" s="3">
        <v>0</v>
      </c>
      <c r="K10" s="3">
        <v>0</v>
      </c>
      <c r="L10" s="3">
        <f t="shared" si="5"/>
        <v>0</v>
      </c>
      <c r="M10" s="3">
        <f t="shared" si="6"/>
        <v>5314</v>
      </c>
    </row>
    <row r="11" spans="1:13" ht="12.75" customHeight="1" x14ac:dyDescent="0.25">
      <c r="A11" s="14">
        <v>4</v>
      </c>
      <c r="B11" s="15" t="s">
        <v>45</v>
      </c>
      <c r="C11" s="16" t="s">
        <v>198</v>
      </c>
      <c r="D11" s="12"/>
      <c r="E11" s="13">
        <f>587+252</f>
        <v>839</v>
      </c>
      <c r="F11" s="13">
        <f>36+7</f>
        <v>43</v>
      </c>
      <c r="G11" s="13">
        <f>196+27</f>
        <v>223</v>
      </c>
      <c r="H11" s="3">
        <f t="shared" si="4"/>
        <v>1105</v>
      </c>
      <c r="I11" s="3">
        <v>0</v>
      </c>
      <c r="J11" s="3">
        <v>0</v>
      </c>
      <c r="K11" s="3">
        <v>0</v>
      </c>
      <c r="L11" s="3">
        <f t="shared" si="5"/>
        <v>0</v>
      </c>
      <c r="M11" s="3">
        <f t="shared" si="6"/>
        <v>1105</v>
      </c>
    </row>
    <row r="12" spans="1:13" ht="12.75" customHeight="1" x14ac:dyDescent="0.25">
      <c r="A12" s="14">
        <v>5</v>
      </c>
      <c r="B12" s="15" t="s">
        <v>46</v>
      </c>
      <c r="C12" s="16" t="s">
        <v>47</v>
      </c>
      <c r="D12" s="12"/>
      <c r="E12" s="13">
        <f>2077+907</f>
        <v>2984</v>
      </c>
      <c r="F12" s="13"/>
      <c r="G12" s="13">
        <v>200</v>
      </c>
      <c r="H12" s="3">
        <f t="shared" si="4"/>
        <v>3184</v>
      </c>
      <c r="I12" s="3">
        <v>2886</v>
      </c>
      <c r="J12" s="3">
        <v>0</v>
      </c>
      <c r="K12" s="3">
        <v>0</v>
      </c>
      <c r="L12" s="3">
        <f>I12+J12+K12</f>
        <v>2886</v>
      </c>
      <c r="M12" s="3">
        <f t="shared" si="6"/>
        <v>6070</v>
      </c>
    </row>
    <row r="13" spans="1:13" ht="12.75" customHeight="1" x14ac:dyDescent="0.25">
      <c r="A13" s="14">
        <v>6</v>
      </c>
      <c r="B13" s="17" t="s">
        <v>51</v>
      </c>
      <c r="C13" s="16" t="s">
        <v>52</v>
      </c>
      <c r="D13" s="12"/>
      <c r="E13" s="13">
        <f>626+148</f>
        <v>774</v>
      </c>
      <c r="F13" s="13">
        <v>42</v>
      </c>
      <c r="G13" s="13"/>
      <c r="H13" s="3">
        <f t="shared" si="4"/>
        <v>816</v>
      </c>
      <c r="I13" s="3">
        <v>0</v>
      </c>
      <c r="J13" s="3">
        <v>0</v>
      </c>
      <c r="K13" s="3">
        <v>0</v>
      </c>
      <c r="L13" s="3">
        <f t="shared" ref="L13:L52" si="7">I13+J13+K13</f>
        <v>0</v>
      </c>
      <c r="M13" s="3">
        <f t="shared" si="6"/>
        <v>816</v>
      </c>
    </row>
    <row r="14" spans="1:13" ht="12.75" customHeight="1" x14ac:dyDescent="0.25">
      <c r="A14" s="14">
        <v>7</v>
      </c>
      <c r="B14" s="17" t="s">
        <v>53</v>
      </c>
      <c r="C14" s="16" t="s">
        <v>54</v>
      </c>
      <c r="D14" s="12"/>
      <c r="E14" s="13">
        <f>806+560</f>
        <v>1366</v>
      </c>
      <c r="F14" s="13">
        <f>48+26</f>
        <v>74</v>
      </c>
      <c r="G14" s="13">
        <v>261</v>
      </c>
      <c r="H14" s="3">
        <f t="shared" si="4"/>
        <v>1701</v>
      </c>
      <c r="I14" s="3">
        <v>0</v>
      </c>
      <c r="J14" s="3">
        <v>0</v>
      </c>
      <c r="K14" s="3">
        <v>0</v>
      </c>
      <c r="L14" s="3">
        <f t="shared" si="7"/>
        <v>0</v>
      </c>
      <c r="M14" s="3">
        <f t="shared" si="6"/>
        <v>1701</v>
      </c>
    </row>
    <row r="15" spans="1:13" ht="12.75" customHeight="1" x14ac:dyDescent="0.25">
      <c r="A15" s="14">
        <v>8</v>
      </c>
      <c r="B15" s="15" t="s">
        <v>57</v>
      </c>
      <c r="C15" s="16" t="s">
        <v>58</v>
      </c>
      <c r="D15" s="12"/>
      <c r="E15" s="13"/>
      <c r="F15" s="13"/>
      <c r="G15" s="13"/>
      <c r="H15" s="3"/>
      <c r="I15" s="3">
        <v>2042</v>
      </c>
      <c r="J15" s="3">
        <v>484</v>
      </c>
      <c r="K15" s="3">
        <v>60</v>
      </c>
      <c r="L15" s="3">
        <f t="shared" si="7"/>
        <v>2586</v>
      </c>
      <c r="M15" s="3">
        <f t="shared" si="6"/>
        <v>2586</v>
      </c>
    </row>
    <row r="16" spans="1:13" ht="12.75" customHeight="1" x14ac:dyDescent="0.25">
      <c r="A16" s="14">
        <v>9</v>
      </c>
      <c r="B16" s="17" t="s">
        <v>6</v>
      </c>
      <c r="C16" s="16" t="s">
        <v>59</v>
      </c>
      <c r="D16" s="12"/>
      <c r="E16" s="13">
        <f>1827+725</f>
        <v>2552</v>
      </c>
      <c r="F16" s="13">
        <v>86</v>
      </c>
      <c r="G16" s="13">
        <f>780-250</f>
        <v>530</v>
      </c>
      <c r="H16" s="3">
        <f t="shared" ref="H16:H52" si="8">D16+E16+F16+G16</f>
        <v>3168</v>
      </c>
      <c r="I16" s="3">
        <v>2188</v>
      </c>
      <c r="J16" s="3">
        <v>266</v>
      </c>
      <c r="K16" s="3">
        <v>0</v>
      </c>
      <c r="L16" s="3">
        <f t="shared" si="7"/>
        <v>2454</v>
      </c>
      <c r="M16" s="3">
        <f t="shared" si="6"/>
        <v>5622</v>
      </c>
    </row>
    <row r="17" spans="1:13" ht="12.75" customHeight="1" x14ac:dyDescent="0.25">
      <c r="A17" s="14">
        <v>10</v>
      </c>
      <c r="B17" s="17" t="s">
        <v>5</v>
      </c>
      <c r="C17" s="16" t="s">
        <v>17</v>
      </c>
      <c r="D17" s="12"/>
      <c r="E17" s="13">
        <f>1441+10</f>
        <v>1451</v>
      </c>
      <c r="F17" s="13">
        <f>79+111</f>
        <v>190</v>
      </c>
      <c r="G17" s="13">
        <v>250</v>
      </c>
      <c r="H17" s="3">
        <f t="shared" si="8"/>
        <v>1891</v>
      </c>
      <c r="I17" s="3">
        <v>0</v>
      </c>
      <c r="J17" s="3">
        <v>0</v>
      </c>
      <c r="K17" s="3">
        <v>0</v>
      </c>
      <c r="L17" s="3">
        <f t="shared" si="7"/>
        <v>0</v>
      </c>
      <c r="M17" s="3">
        <f t="shared" si="6"/>
        <v>1891</v>
      </c>
    </row>
    <row r="18" spans="1:13" ht="12.75" customHeight="1" x14ac:dyDescent="0.25">
      <c r="A18" s="14">
        <v>11</v>
      </c>
      <c r="B18" s="18" t="s">
        <v>64</v>
      </c>
      <c r="C18" s="16" t="s">
        <v>65</v>
      </c>
      <c r="D18" s="12"/>
      <c r="E18" s="13">
        <f>1030+2560</f>
        <v>3590</v>
      </c>
      <c r="F18" s="13">
        <f>59+6</f>
        <v>65</v>
      </c>
      <c r="G18" s="13"/>
      <c r="H18" s="3">
        <f t="shared" si="8"/>
        <v>3655</v>
      </c>
      <c r="I18" s="3">
        <v>0</v>
      </c>
      <c r="J18" s="3">
        <v>0</v>
      </c>
      <c r="K18" s="3">
        <v>0</v>
      </c>
      <c r="L18" s="3">
        <f t="shared" si="7"/>
        <v>0</v>
      </c>
      <c r="M18" s="3">
        <f t="shared" si="6"/>
        <v>3655</v>
      </c>
    </row>
    <row r="19" spans="1:13" ht="12.75" customHeight="1" x14ac:dyDescent="0.25">
      <c r="A19" s="14">
        <v>12</v>
      </c>
      <c r="B19" s="17" t="s">
        <v>66</v>
      </c>
      <c r="C19" s="16" t="s">
        <v>67</v>
      </c>
      <c r="D19" s="12"/>
      <c r="E19" s="12">
        <f>851+55+142</f>
        <v>1048</v>
      </c>
      <c r="F19" s="12">
        <f>50+10+9</f>
        <v>69</v>
      </c>
      <c r="G19" s="13"/>
      <c r="H19" s="3">
        <f t="shared" si="8"/>
        <v>1117</v>
      </c>
      <c r="I19" s="3">
        <v>0</v>
      </c>
      <c r="J19" s="3">
        <v>0</v>
      </c>
      <c r="K19" s="3">
        <v>0</v>
      </c>
      <c r="L19" s="3">
        <f t="shared" si="7"/>
        <v>0</v>
      </c>
      <c r="M19" s="3">
        <f t="shared" si="6"/>
        <v>1117</v>
      </c>
    </row>
    <row r="20" spans="1:13" ht="12.75" customHeight="1" x14ac:dyDescent="0.25">
      <c r="A20" s="14">
        <v>13</v>
      </c>
      <c r="B20" s="15" t="s">
        <v>70</v>
      </c>
      <c r="C20" s="16" t="s">
        <v>71</v>
      </c>
      <c r="D20" s="12"/>
      <c r="E20" s="12">
        <f>1420+295-142</f>
        <v>1573</v>
      </c>
      <c r="F20" s="12">
        <f>83+25-9</f>
        <v>99</v>
      </c>
      <c r="G20" s="13"/>
      <c r="H20" s="3">
        <f t="shared" si="8"/>
        <v>1672</v>
      </c>
      <c r="I20" s="3">
        <v>0</v>
      </c>
      <c r="J20" s="3">
        <v>0</v>
      </c>
      <c r="K20" s="3">
        <v>0</v>
      </c>
      <c r="L20" s="3">
        <f t="shared" si="7"/>
        <v>0</v>
      </c>
      <c r="M20" s="3">
        <f t="shared" si="6"/>
        <v>1672</v>
      </c>
    </row>
    <row r="21" spans="1:13" ht="12.75" customHeight="1" x14ac:dyDescent="0.25">
      <c r="A21" s="14">
        <v>14</v>
      </c>
      <c r="B21" s="17" t="s">
        <v>74</v>
      </c>
      <c r="C21" s="16" t="s">
        <v>200</v>
      </c>
      <c r="D21" s="12"/>
      <c r="E21" s="13">
        <f>1137+1609</f>
        <v>2746</v>
      </c>
      <c r="F21" s="13"/>
      <c r="G21" s="13">
        <v>359</v>
      </c>
      <c r="H21" s="3">
        <f t="shared" si="8"/>
        <v>3105</v>
      </c>
      <c r="I21" s="3">
        <v>0</v>
      </c>
      <c r="J21" s="3">
        <v>0</v>
      </c>
      <c r="K21" s="3">
        <v>0</v>
      </c>
      <c r="L21" s="3">
        <f t="shared" si="7"/>
        <v>0</v>
      </c>
      <c r="M21" s="3">
        <f t="shared" si="6"/>
        <v>3105</v>
      </c>
    </row>
    <row r="22" spans="1:13" ht="12.75" customHeight="1" x14ac:dyDescent="0.25">
      <c r="A22" s="14">
        <v>15</v>
      </c>
      <c r="B22" s="18" t="s">
        <v>79</v>
      </c>
      <c r="C22" s="16" t="s">
        <v>80</v>
      </c>
      <c r="D22" s="12"/>
      <c r="E22" s="13">
        <f>200+10</f>
        <v>210</v>
      </c>
      <c r="F22" s="13">
        <v>9</v>
      </c>
      <c r="G22" s="13">
        <v>49</v>
      </c>
      <c r="H22" s="3">
        <f t="shared" si="8"/>
        <v>268</v>
      </c>
      <c r="I22" s="3">
        <v>0</v>
      </c>
      <c r="J22" s="3">
        <v>0</v>
      </c>
      <c r="K22" s="3">
        <v>0</v>
      </c>
      <c r="L22" s="3">
        <f t="shared" si="7"/>
        <v>0</v>
      </c>
      <c r="M22" s="3">
        <f t="shared" si="6"/>
        <v>268</v>
      </c>
    </row>
    <row r="23" spans="1:13" ht="12.75" customHeight="1" x14ac:dyDescent="0.25">
      <c r="A23" s="14">
        <v>16</v>
      </c>
      <c r="B23" s="15" t="s">
        <v>81</v>
      </c>
      <c r="C23" s="16" t="s">
        <v>82</v>
      </c>
      <c r="D23" s="12"/>
      <c r="E23" s="13">
        <f>958+1494</f>
        <v>2452</v>
      </c>
      <c r="F23" s="13">
        <f>57+51</f>
        <v>108</v>
      </c>
      <c r="G23" s="13"/>
      <c r="H23" s="3">
        <f t="shared" si="8"/>
        <v>2560</v>
      </c>
      <c r="I23" s="3">
        <v>0</v>
      </c>
      <c r="J23" s="3">
        <v>0</v>
      </c>
      <c r="K23" s="3">
        <v>0</v>
      </c>
      <c r="L23" s="3">
        <f t="shared" si="7"/>
        <v>0</v>
      </c>
      <c r="M23" s="3">
        <f t="shared" si="6"/>
        <v>2560</v>
      </c>
    </row>
    <row r="24" spans="1:13" ht="12.75" customHeight="1" x14ac:dyDescent="0.25">
      <c r="A24" s="14">
        <v>17</v>
      </c>
      <c r="B24" s="17" t="s">
        <v>84</v>
      </c>
      <c r="C24" s="16" t="s">
        <v>85</v>
      </c>
      <c r="D24" s="12"/>
      <c r="E24" s="13">
        <f>838+737</f>
        <v>1575</v>
      </c>
      <c r="F24" s="13">
        <f>48+19</f>
        <v>67</v>
      </c>
      <c r="G24" s="13"/>
      <c r="H24" s="3">
        <f t="shared" si="8"/>
        <v>1642</v>
      </c>
      <c r="I24" s="3">
        <v>0</v>
      </c>
      <c r="J24" s="3">
        <v>0</v>
      </c>
      <c r="K24" s="3">
        <v>0</v>
      </c>
      <c r="L24" s="3">
        <f t="shared" si="7"/>
        <v>0</v>
      </c>
      <c r="M24" s="3">
        <f t="shared" si="6"/>
        <v>1642</v>
      </c>
    </row>
    <row r="25" spans="1:13" ht="12.75" customHeight="1" x14ac:dyDescent="0.25">
      <c r="A25" s="14">
        <v>18</v>
      </c>
      <c r="B25" s="15" t="s">
        <v>96</v>
      </c>
      <c r="C25" s="16" t="s">
        <v>97</v>
      </c>
      <c r="D25" s="12"/>
      <c r="E25" s="13">
        <f>802+58</f>
        <v>860</v>
      </c>
      <c r="F25" s="13"/>
      <c r="G25" s="13"/>
      <c r="H25" s="3">
        <f t="shared" si="8"/>
        <v>860</v>
      </c>
      <c r="I25" s="3">
        <v>0</v>
      </c>
      <c r="J25" s="3">
        <v>0</v>
      </c>
      <c r="K25" s="3">
        <v>0</v>
      </c>
      <c r="L25" s="3">
        <f t="shared" si="7"/>
        <v>0</v>
      </c>
      <c r="M25" s="3">
        <f t="shared" si="6"/>
        <v>860</v>
      </c>
    </row>
    <row r="26" spans="1:13" ht="12.75" customHeight="1" x14ac:dyDescent="0.25">
      <c r="A26" s="14">
        <v>19</v>
      </c>
      <c r="B26" s="18" t="s">
        <v>109</v>
      </c>
      <c r="C26" s="16" t="s">
        <v>212</v>
      </c>
      <c r="D26" s="12">
        <f>369+768</f>
        <v>1137</v>
      </c>
      <c r="E26" s="13">
        <f>512+605</f>
        <v>1117</v>
      </c>
      <c r="F26" s="13"/>
      <c r="G26" s="13"/>
      <c r="H26" s="3">
        <f t="shared" si="8"/>
        <v>2254</v>
      </c>
      <c r="I26" s="3">
        <v>0</v>
      </c>
      <c r="J26" s="3">
        <v>0</v>
      </c>
      <c r="K26" s="3">
        <v>0</v>
      </c>
      <c r="L26" s="3">
        <f t="shared" si="7"/>
        <v>0</v>
      </c>
      <c r="M26" s="3">
        <f t="shared" si="6"/>
        <v>2254</v>
      </c>
    </row>
    <row r="27" spans="1:13" ht="12.75" customHeight="1" x14ac:dyDescent="0.25">
      <c r="A27" s="14">
        <v>20</v>
      </c>
      <c r="B27" s="18" t="s">
        <v>114</v>
      </c>
      <c r="C27" s="16" t="s">
        <v>115</v>
      </c>
      <c r="D27" s="12">
        <f>5228+2299</f>
        <v>7527</v>
      </c>
      <c r="E27" s="13">
        <f>601+191</f>
        <v>792</v>
      </c>
      <c r="F27" s="13">
        <f>27+11</f>
        <v>38</v>
      </c>
      <c r="G27" s="13">
        <v>146</v>
      </c>
      <c r="H27" s="3">
        <f t="shared" si="8"/>
        <v>8503</v>
      </c>
      <c r="I27" s="3">
        <v>0</v>
      </c>
      <c r="J27" s="3">
        <v>0</v>
      </c>
      <c r="K27" s="3">
        <v>0</v>
      </c>
      <c r="L27" s="3">
        <f t="shared" si="7"/>
        <v>0</v>
      </c>
      <c r="M27" s="3">
        <f t="shared" si="6"/>
        <v>8503</v>
      </c>
    </row>
    <row r="28" spans="1:13" ht="12.75" customHeight="1" x14ac:dyDescent="0.25">
      <c r="A28" s="14">
        <v>21</v>
      </c>
      <c r="B28" s="18" t="s">
        <v>123</v>
      </c>
      <c r="C28" s="16" t="s">
        <v>124</v>
      </c>
      <c r="D28" s="12"/>
      <c r="E28" s="13">
        <f>797-428</f>
        <v>369</v>
      </c>
      <c r="F28" s="13">
        <f>48-35</f>
        <v>13</v>
      </c>
      <c r="G28" s="13"/>
      <c r="H28" s="3">
        <f t="shared" si="8"/>
        <v>382</v>
      </c>
      <c r="I28" s="3">
        <v>0</v>
      </c>
      <c r="J28" s="3">
        <v>0</v>
      </c>
      <c r="K28" s="3">
        <v>0</v>
      </c>
      <c r="L28" s="3">
        <f t="shared" si="7"/>
        <v>0</v>
      </c>
      <c r="M28" s="3">
        <f t="shared" si="6"/>
        <v>382</v>
      </c>
    </row>
    <row r="29" spans="1:13" ht="12.75" customHeight="1" x14ac:dyDescent="0.25">
      <c r="A29" s="14">
        <v>22</v>
      </c>
      <c r="B29" s="15" t="s">
        <v>126</v>
      </c>
      <c r="C29" s="16" t="s">
        <v>127</v>
      </c>
      <c r="D29" s="12">
        <v>2917</v>
      </c>
      <c r="E29" s="13">
        <f>862+1651-2025</f>
        <v>488</v>
      </c>
      <c r="F29" s="13">
        <f>38+3-36</f>
        <v>5</v>
      </c>
      <c r="G29" s="13"/>
      <c r="H29" s="3">
        <f t="shared" si="8"/>
        <v>3410</v>
      </c>
      <c r="I29" s="3">
        <v>0</v>
      </c>
      <c r="J29" s="3">
        <v>0</v>
      </c>
      <c r="K29" s="3">
        <v>0</v>
      </c>
      <c r="L29" s="3">
        <f t="shared" si="7"/>
        <v>0</v>
      </c>
      <c r="M29" s="3">
        <f t="shared" si="6"/>
        <v>3410</v>
      </c>
    </row>
    <row r="30" spans="1:13" ht="12.75" customHeight="1" x14ac:dyDescent="0.25">
      <c r="A30" s="14">
        <v>23</v>
      </c>
      <c r="B30" s="17" t="s">
        <v>131</v>
      </c>
      <c r="C30" s="16" t="s">
        <v>132</v>
      </c>
      <c r="D30" s="12">
        <f>10956+7911</f>
        <v>18867</v>
      </c>
      <c r="E30" s="13">
        <f>3540+946</f>
        <v>4486</v>
      </c>
      <c r="F30" s="13">
        <f>199+34</f>
        <v>233</v>
      </c>
      <c r="G30" s="13">
        <v>896</v>
      </c>
      <c r="H30" s="3">
        <f t="shared" si="8"/>
        <v>24482</v>
      </c>
      <c r="I30" s="3">
        <v>0</v>
      </c>
      <c r="J30" s="3">
        <v>0</v>
      </c>
      <c r="K30" s="3">
        <v>0</v>
      </c>
      <c r="L30" s="3">
        <f t="shared" si="7"/>
        <v>0</v>
      </c>
      <c r="M30" s="3">
        <f t="shared" si="6"/>
        <v>24482</v>
      </c>
    </row>
    <row r="31" spans="1:13" ht="12.75" customHeight="1" x14ac:dyDescent="0.25">
      <c r="A31" s="14">
        <v>24</v>
      </c>
      <c r="B31" s="17" t="s">
        <v>133</v>
      </c>
      <c r="C31" s="16" t="s">
        <v>134</v>
      </c>
      <c r="D31" s="12"/>
      <c r="E31" s="13">
        <f>1926+198</f>
        <v>2124</v>
      </c>
      <c r="F31" s="13">
        <f>19+20</f>
        <v>39</v>
      </c>
      <c r="G31" s="13">
        <f>105+92</f>
        <v>197</v>
      </c>
      <c r="H31" s="3">
        <f t="shared" si="8"/>
        <v>2360</v>
      </c>
      <c r="I31" s="3">
        <v>1070</v>
      </c>
      <c r="J31" s="3">
        <v>0</v>
      </c>
      <c r="K31" s="3">
        <v>0</v>
      </c>
      <c r="L31" s="3">
        <f t="shared" si="7"/>
        <v>1070</v>
      </c>
      <c r="M31" s="3">
        <f t="shared" si="6"/>
        <v>3430</v>
      </c>
    </row>
    <row r="32" spans="1:13" ht="12.75" customHeight="1" x14ac:dyDescent="0.25">
      <c r="A32" s="14">
        <v>25</v>
      </c>
      <c r="B32" s="17" t="s">
        <v>9</v>
      </c>
      <c r="C32" s="16" t="s">
        <v>208</v>
      </c>
      <c r="D32" s="12"/>
      <c r="E32" s="13">
        <f>278+602</f>
        <v>880</v>
      </c>
      <c r="F32" s="13">
        <v>13</v>
      </c>
      <c r="G32" s="13">
        <v>68</v>
      </c>
      <c r="H32" s="3">
        <f t="shared" si="8"/>
        <v>961</v>
      </c>
      <c r="I32" s="3">
        <v>168</v>
      </c>
      <c r="J32" s="3">
        <v>7</v>
      </c>
      <c r="K32" s="3">
        <v>9</v>
      </c>
      <c r="L32" s="3">
        <f t="shared" si="7"/>
        <v>184</v>
      </c>
      <c r="M32" s="3">
        <f t="shared" si="6"/>
        <v>1145</v>
      </c>
    </row>
    <row r="33" spans="1:13" ht="12.75" customHeight="1" x14ac:dyDescent="0.25">
      <c r="A33" s="14">
        <v>26</v>
      </c>
      <c r="B33" s="15" t="s">
        <v>137</v>
      </c>
      <c r="C33" s="16" t="s">
        <v>138</v>
      </c>
      <c r="D33" s="12">
        <v>9440</v>
      </c>
      <c r="E33" s="13">
        <v>286</v>
      </c>
      <c r="F33" s="13"/>
      <c r="G33" s="13">
        <v>319</v>
      </c>
      <c r="H33" s="3">
        <f t="shared" si="8"/>
        <v>10045</v>
      </c>
      <c r="I33" s="3">
        <v>238</v>
      </c>
      <c r="J33" s="3">
        <v>2</v>
      </c>
      <c r="K33" s="3">
        <v>0</v>
      </c>
      <c r="L33" s="3">
        <f t="shared" si="7"/>
        <v>240</v>
      </c>
      <c r="M33" s="3">
        <f t="shared" si="6"/>
        <v>10285</v>
      </c>
    </row>
    <row r="34" spans="1:13" ht="12.75" customHeight="1" x14ac:dyDescent="0.25">
      <c r="A34" s="14">
        <v>27</v>
      </c>
      <c r="B34" s="15" t="s">
        <v>141</v>
      </c>
      <c r="C34" s="16" t="s">
        <v>142</v>
      </c>
      <c r="D34" s="12"/>
      <c r="E34" s="13">
        <f>958+78+428</f>
        <v>1464</v>
      </c>
      <c r="F34" s="13">
        <f>48+16+35</f>
        <v>99</v>
      </c>
      <c r="G34" s="13"/>
      <c r="H34" s="3">
        <f t="shared" si="8"/>
        <v>1563</v>
      </c>
      <c r="I34" s="3">
        <v>0</v>
      </c>
      <c r="J34" s="3">
        <v>0</v>
      </c>
      <c r="K34" s="3">
        <v>0</v>
      </c>
      <c r="L34" s="3">
        <f t="shared" si="7"/>
        <v>0</v>
      </c>
      <c r="M34" s="3">
        <f t="shared" si="6"/>
        <v>1563</v>
      </c>
    </row>
    <row r="35" spans="1:13" ht="12.75" customHeight="1" x14ac:dyDescent="0.25">
      <c r="A35" s="14">
        <v>28</v>
      </c>
      <c r="B35" s="15" t="s">
        <v>147</v>
      </c>
      <c r="C35" s="16" t="s">
        <v>148</v>
      </c>
      <c r="D35" s="12"/>
      <c r="E35" s="13">
        <f>213+7</f>
        <v>220</v>
      </c>
      <c r="F35" s="13"/>
      <c r="G35" s="13"/>
      <c r="H35" s="3">
        <f t="shared" si="8"/>
        <v>220</v>
      </c>
      <c r="I35" s="3">
        <v>0</v>
      </c>
      <c r="J35" s="3">
        <v>0</v>
      </c>
      <c r="K35" s="3">
        <v>0</v>
      </c>
      <c r="L35" s="3">
        <f t="shared" si="7"/>
        <v>0</v>
      </c>
      <c r="M35" s="3">
        <f t="shared" si="6"/>
        <v>220</v>
      </c>
    </row>
    <row r="36" spans="1:13" ht="12.75" customHeight="1" x14ac:dyDescent="0.25">
      <c r="A36" s="14">
        <v>29</v>
      </c>
      <c r="B36" s="18" t="s">
        <v>149</v>
      </c>
      <c r="C36" s="16" t="s">
        <v>150</v>
      </c>
      <c r="D36" s="12"/>
      <c r="E36" s="13">
        <f>274+110</f>
        <v>384</v>
      </c>
      <c r="F36" s="13"/>
      <c r="G36" s="13"/>
      <c r="H36" s="3">
        <f t="shared" si="8"/>
        <v>384</v>
      </c>
      <c r="I36" s="3">
        <v>0</v>
      </c>
      <c r="J36" s="3">
        <v>0</v>
      </c>
      <c r="K36" s="3">
        <v>0</v>
      </c>
      <c r="L36" s="3">
        <f t="shared" si="7"/>
        <v>0</v>
      </c>
      <c r="M36" s="3">
        <f t="shared" si="6"/>
        <v>384</v>
      </c>
    </row>
    <row r="37" spans="1:13" ht="12.75" customHeight="1" x14ac:dyDescent="0.25">
      <c r="A37" s="14">
        <v>30</v>
      </c>
      <c r="B37" s="18" t="s">
        <v>163</v>
      </c>
      <c r="C37" s="16" t="s">
        <v>164</v>
      </c>
      <c r="D37" s="12"/>
      <c r="E37" s="13">
        <f>667+56</f>
        <v>723</v>
      </c>
      <c r="F37" s="13">
        <f>47+10</f>
        <v>57</v>
      </c>
      <c r="G37" s="13">
        <f>312+7</f>
        <v>319</v>
      </c>
      <c r="H37" s="3">
        <f t="shared" si="8"/>
        <v>1099</v>
      </c>
      <c r="I37" s="3">
        <v>0</v>
      </c>
      <c r="J37" s="3">
        <v>0</v>
      </c>
      <c r="K37" s="3">
        <v>0</v>
      </c>
      <c r="L37" s="3">
        <f t="shared" si="7"/>
        <v>0</v>
      </c>
      <c r="M37" s="3">
        <f t="shared" si="6"/>
        <v>1099</v>
      </c>
    </row>
    <row r="38" spans="1:13" ht="12.75" customHeight="1" x14ac:dyDescent="0.25">
      <c r="A38" s="14">
        <v>31</v>
      </c>
      <c r="B38" s="18" t="s">
        <v>169</v>
      </c>
      <c r="C38" s="16" t="s">
        <v>170</v>
      </c>
      <c r="D38" s="12"/>
      <c r="E38" s="13">
        <f>432+13</f>
        <v>445</v>
      </c>
      <c r="F38" s="13">
        <f>25+1</f>
        <v>26</v>
      </c>
      <c r="G38" s="13"/>
      <c r="H38" s="3">
        <f t="shared" si="8"/>
        <v>471</v>
      </c>
      <c r="I38" s="3">
        <v>0</v>
      </c>
      <c r="J38" s="3">
        <v>0</v>
      </c>
      <c r="K38" s="3">
        <v>0</v>
      </c>
      <c r="L38" s="3">
        <f t="shared" si="7"/>
        <v>0</v>
      </c>
      <c r="M38" s="3">
        <f t="shared" si="6"/>
        <v>471</v>
      </c>
    </row>
    <row r="39" spans="1:13" ht="12.75" customHeight="1" x14ac:dyDescent="0.25">
      <c r="A39" s="14">
        <v>32</v>
      </c>
      <c r="B39" s="15" t="s">
        <v>172</v>
      </c>
      <c r="C39" s="16" t="s">
        <v>173</v>
      </c>
      <c r="D39" s="12"/>
      <c r="E39" s="13"/>
      <c r="F39" s="13"/>
      <c r="G39" s="13"/>
      <c r="H39" s="3">
        <f t="shared" si="8"/>
        <v>0</v>
      </c>
      <c r="I39" s="3">
        <v>926</v>
      </c>
      <c r="J39" s="3">
        <v>0</v>
      </c>
      <c r="K39" s="3">
        <v>0</v>
      </c>
      <c r="L39" s="3">
        <f t="shared" si="7"/>
        <v>926</v>
      </c>
      <c r="M39" s="3">
        <f t="shared" si="6"/>
        <v>926</v>
      </c>
    </row>
    <row r="40" spans="1:13" ht="12.75" customHeight="1" x14ac:dyDescent="0.25">
      <c r="A40" s="14">
        <v>33</v>
      </c>
      <c r="B40" s="19" t="s">
        <v>174</v>
      </c>
      <c r="C40" s="20" t="s">
        <v>175</v>
      </c>
      <c r="D40" s="12"/>
      <c r="E40" s="13">
        <f>3321+222+2025</f>
        <v>5568</v>
      </c>
      <c r="F40" s="13">
        <f>93+32+36</f>
        <v>161</v>
      </c>
      <c r="G40" s="13">
        <v>699</v>
      </c>
      <c r="H40" s="3">
        <f t="shared" si="8"/>
        <v>6428</v>
      </c>
      <c r="I40" s="3">
        <f>7636-426</f>
        <v>7210</v>
      </c>
      <c r="J40" s="3">
        <v>332</v>
      </c>
      <c r="K40" s="3">
        <v>153</v>
      </c>
      <c r="L40" s="3">
        <f t="shared" si="7"/>
        <v>7695</v>
      </c>
      <c r="M40" s="3">
        <f t="shared" si="6"/>
        <v>14123</v>
      </c>
    </row>
    <row r="41" spans="1:13" ht="12.75" customHeight="1" x14ac:dyDescent="0.25">
      <c r="A41" s="14">
        <v>34</v>
      </c>
      <c r="B41" s="18" t="s">
        <v>176</v>
      </c>
      <c r="C41" s="16" t="s">
        <v>227</v>
      </c>
      <c r="D41" s="12"/>
      <c r="E41" s="13"/>
      <c r="F41" s="13"/>
      <c r="G41" s="13"/>
      <c r="H41" s="3">
        <f t="shared" si="8"/>
        <v>0</v>
      </c>
      <c r="I41" s="3">
        <v>926</v>
      </c>
      <c r="J41" s="3">
        <v>79</v>
      </c>
      <c r="K41" s="3">
        <v>0</v>
      </c>
      <c r="L41" s="3">
        <f t="shared" si="7"/>
        <v>1005</v>
      </c>
      <c r="M41" s="3">
        <f t="shared" si="6"/>
        <v>1005</v>
      </c>
    </row>
    <row r="42" spans="1:13" ht="12.75" customHeight="1" x14ac:dyDescent="0.25">
      <c r="A42" s="14">
        <v>35</v>
      </c>
      <c r="B42" s="15" t="s">
        <v>177</v>
      </c>
      <c r="C42" s="16" t="s">
        <v>178</v>
      </c>
      <c r="D42" s="12"/>
      <c r="E42" s="13"/>
      <c r="F42" s="13"/>
      <c r="G42" s="13"/>
      <c r="H42" s="3">
        <f t="shared" si="8"/>
        <v>0</v>
      </c>
      <c r="I42" s="3">
        <v>362</v>
      </c>
      <c r="J42" s="3">
        <v>20</v>
      </c>
      <c r="K42" s="3">
        <v>0</v>
      </c>
      <c r="L42" s="3">
        <f t="shared" si="7"/>
        <v>382</v>
      </c>
      <c r="M42" s="3">
        <f t="shared" si="6"/>
        <v>382</v>
      </c>
    </row>
    <row r="43" spans="1:13" ht="12.75" customHeight="1" x14ac:dyDescent="0.25">
      <c r="A43" s="14">
        <v>36</v>
      </c>
      <c r="B43" s="18" t="s">
        <v>179</v>
      </c>
      <c r="C43" s="16" t="s">
        <v>217</v>
      </c>
      <c r="D43" s="12"/>
      <c r="E43" s="13">
        <f>1712+4</f>
        <v>1716</v>
      </c>
      <c r="F43" s="13">
        <f>64</f>
        <v>64</v>
      </c>
      <c r="G43" s="13"/>
      <c r="H43" s="3">
        <f t="shared" si="8"/>
        <v>1780</v>
      </c>
      <c r="I43" s="3">
        <v>533</v>
      </c>
      <c r="J43" s="3">
        <v>28</v>
      </c>
      <c r="K43" s="3">
        <v>0</v>
      </c>
      <c r="L43" s="3">
        <f t="shared" si="7"/>
        <v>561</v>
      </c>
      <c r="M43" s="3">
        <f t="shared" si="6"/>
        <v>2341</v>
      </c>
    </row>
    <row r="44" spans="1:13" ht="12.75" customHeight="1" x14ac:dyDescent="0.25">
      <c r="A44" s="14">
        <v>37</v>
      </c>
      <c r="B44" s="15" t="s">
        <v>15</v>
      </c>
      <c r="C44" s="16" t="s">
        <v>180</v>
      </c>
      <c r="D44" s="12">
        <f>2069+6009</f>
        <v>8078</v>
      </c>
      <c r="E44" s="13">
        <f>8962+10200</f>
        <v>19162</v>
      </c>
      <c r="F44" s="13">
        <v>61</v>
      </c>
      <c r="G44" s="13">
        <f>2501+200</f>
        <v>2701</v>
      </c>
      <c r="H44" s="3">
        <f t="shared" si="8"/>
        <v>30002</v>
      </c>
      <c r="I44" s="3">
        <v>7900</v>
      </c>
      <c r="J44" s="3">
        <v>22</v>
      </c>
      <c r="K44" s="3">
        <v>1200</v>
      </c>
      <c r="L44" s="3">
        <f t="shared" si="7"/>
        <v>9122</v>
      </c>
      <c r="M44" s="3">
        <f t="shared" si="6"/>
        <v>39124</v>
      </c>
    </row>
    <row r="45" spans="1:13" ht="12.75" customHeight="1" x14ac:dyDescent="0.25">
      <c r="A45" s="14">
        <v>38</v>
      </c>
      <c r="B45" s="15" t="s">
        <v>181</v>
      </c>
      <c r="C45" s="16" t="s">
        <v>182</v>
      </c>
      <c r="D45" s="12"/>
      <c r="E45" s="13">
        <v>20900</v>
      </c>
      <c r="F45" s="13"/>
      <c r="G45" s="13">
        <v>8050</v>
      </c>
      <c r="H45" s="3">
        <f t="shared" si="8"/>
        <v>28950</v>
      </c>
      <c r="I45" s="3">
        <v>11000</v>
      </c>
      <c r="J45" s="3">
        <v>0</v>
      </c>
      <c r="K45" s="3">
        <v>1800</v>
      </c>
      <c r="L45" s="3">
        <f t="shared" si="7"/>
        <v>12800</v>
      </c>
      <c r="M45" s="3">
        <f t="shared" si="6"/>
        <v>41750</v>
      </c>
    </row>
    <row r="46" spans="1:13" ht="12.75" customHeight="1" x14ac:dyDescent="0.25">
      <c r="A46" s="14">
        <v>39</v>
      </c>
      <c r="B46" s="15" t="s">
        <v>14</v>
      </c>
      <c r="C46" s="16" t="s">
        <v>13</v>
      </c>
      <c r="D46" s="12"/>
      <c r="E46" s="13">
        <v>500</v>
      </c>
      <c r="F46" s="13"/>
      <c r="G46" s="13">
        <v>1900</v>
      </c>
      <c r="H46" s="3">
        <f t="shared" si="8"/>
        <v>2400</v>
      </c>
      <c r="I46" s="3">
        <v>0</v>
      </c>
      <c r="J46" s="3">
        <v>0</v>
      </c>
      <c r="K46" s="3">
        <v>0</v>
      </c>
      <c r="L46" s="3">
        <f t="shared" si="7"/>
        <v>0</v>
      </c>
      <c r="M46" s="3">
        <f t="shared" si="6"/>
        <v>2400</v>
      </c>
    </row>
    <row r="47" spans="1:13" ht="12.75" customHeight="1" x14ac:dyDescent="0.25">
      <c r="A47" s="14">
        <v>40</v>
      </c>
      <c r="B47" s="17" t="s">
        <v>10</v>
      </c>
      <c r="C47" s="16" t="s">
        <v>7</v>
      </c>
      <c r="D47" s="12"/>
      <c r="E47" s="13">
        <f>2200+177</f>
        <v>2377</v>
      </c>
      <c r="F47" s="13"/>
      <c r="G47" s="13"/>
      <c r="H47" s="3">
        <f t="shared" si="8"/>
        <v>2377</v>
      </c>
      <c r="I47" s="3">
        <v>2328</v>
      </c>
      <c r="J47" s="3">
        <v>32</v>
      </c>
      <c r="K47" s="3">
        <v>0</v>
      </c>
      <c r="L47" s="3">
        <f t="shared" si="7"/>
        <v>2360</v>
      </c>
      <c r="M47" s="3">
        <f t="shared" si="6"/>
        <v>4737</v>
      </c>
    </row>
    <row r="48" spans="1:13" ht="12.75" customHeight="1" x14ac:dyDescent="0.25">
      <c r="A48" s="14">
        <v>41</v>
      </c>
      <c r="B48" s="17" t="s">
        <v>185</v>
      </c>
      <c r="C48" s="16" t="s">
        <v>186</v>
      </c>
      <c r="D48" s="12"/>
      <c r="E48" s="13"/>
      <c r="F48" s="13"/>
      <c r="G48" s="13"/>
      <c r="H48" s="3">
        <f t="shared" si="8"/>
        <v>0</v>
      </c>
      <c r="I48" s="3">
        <v>3448</v>
      </c>
      <c r="J48" s="3">
        <v>0</v>
      </c>
      <c r="K48" s="3">
        <v>20</v>
      </c>
      <c r="L48" s="3">
        <f t="shared" si="7"/>
        <v>3468</v>
      </c>
      <c r="M48" s="3">
        <f t="shared" si="6"/>
        <v>3468</v>
      </c>
    </row>
    <row r="49" spans="1:13" ht="12.75" customHeight="1" x14ac:dyDescent="0.25">
      <c r="A49" s="14">
        <v>42</v>
      </c>
      <c r="B49" s="15" t="s">
        <v>189</v>
      </c>
      <c r="C49" s="16" t="s">
        <v>190</v>
      </c>
      <c r="D49" s="12"/>
      <c r="E49" s="13">
        <f>1023+63</f>
        <v>1086</v>
      </c>
      <c r="F49" s="13">
        <f>121+21</f>
        <v>142</v>
      </c>
      <c r="G49" s="13">
        <f>282+47</f>
        <v>329</v>
      </c>
      <c r="H49" s="3">
        <f t="shared" si="8"/>
        <v>1557</v>
      </c>
      <c r="I49" s="3">
        <v>0</v>
      </c>
      <c r="J49" s="3">
        <v>0</v>
      </c>
      <c r="K49" s="3">
        <v>0</v>
      </c>
      <c r="L49" s="3">
        <f t="shared" si="7"/>
        <v>0</v>
      </c>
      <c r="M49" s="3">
        <f t="shared" si="6"/>
        <v>1557</v>
      </c>
    </row>
    <row r="50" spans="1:13" ht="12.75" customHeight="1" x14ac:dyDescent="0.25">
      <c r="A50" s="14">
        <v>43</v>
      </c>
      <c r="B50" s="17" t="s">
        <v>12</v>
      </c>
      <c r="C50" s="16" t="s">
        <v>2</v>
      </c>
      <c r="D50" s="12"/>
      <c r="E50" s="13">
        <f>5466+568</f>
        <v>6034</v>
      </c>
      <c r="F50" s="13">
        <f>213+87</f>
        <v>300</v>
      </c>
      <c r="G50" s="13">
        <v>1747</v>
      </c>
      <c r="H50" s="3">
        <f t="shared" si="8"/>
        <v>8081</v>
      </c>
      <c r="I50" s="3">
        <v>6934</v>
      </c>
      <c r="J50" s="3">
        <v>840</v>
      </c>
      <c r="K50" s="3">
        <v>358</v>
      </c>
      <c r="L50" s="3">
        <f t="shared" si="7"/>
        <v>8132</v>
      </c>
      <c r="M50" s="3">
        <f t="shared" si="6"/>
        <v>16213</v>
      </c>
    </row>
    <row r="51" spans="1:13" ht="12.75" customHeight="1" x14ac:dyDescent="0.25">
      <c r="A51" s="14">
        <v>44</v>
      </c>
      <c r="B51" s="18" t="s">
        <v>3</v>
      </c>
      <c r="C51" s="16" t="s">
        <v>191</v>
      </c>
      <c r="D51" s="12"/>
      <c r="E51" s="13">
        <f>1198+1088</f>
        <v>2286</v>
      </c>
      <c r="F51" s="13">
        <f>67+24</f>
        <v>91</v>
      </c>
      <c r="G51" s="13">
        <f>362+207</f>
        <v>569</v>
      </c>
      <c r="H51" s="3">
        <f t="shared" si="8"/>
        <v>2946</v>
      </c>
      <c r="I51" s="3">
        <v>1828</v>
      </c>
      <c r="J51" s="3">
        <v>66</v>
      </c>
      <c r="K51" s="3">
        <v>0</v>
      </c>
      <c r="L51" s="3">
        <f t="shared" si="7"/>
        <v>1894</v>
      </c>
      <c r="M51" s="3">
        <f t="shared" si="6"/>
        <v>4840</v>
      </c>
    </row>
    <row r="52" spans="1:13" ht="12.75" customHeight="1" x14ac:dyDescent="0.25">
      <c r="A52" s="14">
        <v>45</v>
      </c>
      <c r="B52" s="21" t="s">
        <v>11</v>
      </c>
      <c r="C52" s="22" t="s">
        <v>8</v>
      </c>
      <c r="D52" s="12">
        <f>3471+2035+3214</f>
        <v>8720</v>
      </c>
      <c r="E52" s="13"/>
      <c r="F52" s="13"/>
      <c r="G52" s="13"/>
      <c r="H52" s="3">
        <f t="shared" si="8"/>
        <v>8720</v>
      </c>
      <c r="I52" s="3">
        <v>0</v>
      </c>
      <c r="J52" s="3">
        <v>0</v>
      </c>
      <c r="K52" s="3">
        <v>0</v>
      </c>
      <c r="L52" s="3">
        <f t="shared" si="7"/>
        <v>0</v>
      </c>
      <c r="M52" s="3">
        <f t="shared" si="6"/>
        <v>8720</v>
      </c>
    </row>
    <row r="53" spans="1:13" ht="12.75" customHeight="1" x14ac:dyDescent="0.25">
      <c r="A53" s="14"/>
      <c r="B53" s="23"/>
      <c r="C53" s="7" t="s">
        <v>228</v>
      </c>
      <c r="D53" s="24">
        <f t="shared" ref="D53:M53" si="9">SUM(D8:D52)</f>
        <v>60987</v>
      </c>
      <c r="E53" s="9">
        <f t="shared" si="9"/>
        <v>101381</v>
      </c>
      <c r="F53" s="9">
        <f t="shared" si="9"/>
        <v>2194</v>
      </c>
      <c r="G53" s="9">
        <f t="shared" si="9"/>
        <v>20718</v>
      </c>
      <c r="H53" s="9">
        <f t="shared" si="9"/>
        <v>185280</v>
      </c>
      <c r="I53" s="9">
        <f t="shared" si="9"/>
        <v>52463</v>
      </c>
      <c r="J53" s="9">
        <f t="shared" si="9"/>
        <v>2178</v>
      </c>
      <c r="K53" s="9">
        <f t="shared" si="9"/>
        <v>3600</v>
      </c>
      <c r="L53" s="9">
        <f t="shared" si="9"/>
        <v>58241</v>
      </c>
      <c r="M53" s="9">
        <f t="shared" si="9"/>
        <v>243521</v>
      </c>
    </row>
    <row r="54" spans="1:13" s="30" customFormat="1" x14ac:dyDescent="0.25">
      <c r="A54" s="25"/>
      <c r="B54" s="26"/>
      <c r="C54" s="27"/>
      <c r="D54" s="28"/>
      <c r="E54" s="29"/>
      <c r="F54" s="29"/>
      <c r="G54" s="29"/>
      <c r="H54" s="29"/>
      <c r="I54" s="29"/>
      <c r="J54" s="29"/>
      <c r="K54" s="29"/>
      <c r="L54" s="29"/>
      <c r="M54" s="29"/>
    </row>
    <row r="55" spans="1:13" s="34" customFormat="1" x14ac:dyDescent="0.25">
      <c r="A55" s="31"/>
      <c r="B55" s="32"/>
      <c r="C55" s="33"/>
      <c r="D55" s="28"/>
      <c r="E55" s="29"/>
      <c r="F55" s="29"/>
      <c r="G55" s="29"/>
      <c r="H55" s="29"/>
      <c r="I55" s="29"/>
      <c r="J55" s="29"/>
      <c r="K55" s="29"/>
      <c r="L55" s="29"/>
      <c r="M55" s="29"/>
    </row>
    <row r="59" spans="1:13" s="39" customFormat="1" x14ac:dyDescent="0.25">
      <c r="A59" s="35"/>
      <c r="B59" s="36"/>
      <c r="C59" s="37"/>
      <c r="D59" s="38"/>
    </row>
    <row r="65" spans="1:4" s="39" customFormat="1" x14ac:dyDescent="0.25">
      <c r="A65" s="35"/>
      <c r="B65" s="36"/>
      <c r="C65" s="1"/>
      <c r="D65" s="40"/>
    </row>
  </sheetData>
  <autoFilter ref="A7:N55"/>
  <mergeCells count="7">
    <mergeCell ref="A1:M1"/>
    <mergeCell ref="A3:A4"/>
    <mergeCell ref="B3:B4"/>
    <mergeCell ref="C3:C4"/>
    <mergeCell ref="D3:H3"/>
    <mergeCell ref="I3:L3"/>
    <mergeCell ref="M3:M4"/>
  </mergeCells>
  <pageMargins left="0.31496062992125984" right="0" top="0" bottom="0" header="0.31496062992125984" footer="0.31496062992125984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87"/>
  <sheetViews>
    <sheetView workbookViewId="0">
      <pane xSplit="3" ySplit="4" topLeftCell="D5" activePane="bottomRight" state="frozen"/>
      <selection activeCell="E66" sqref="E66"/>
      <selection pane="topRight" activeCell="E66" sqref="E66"/>
      <selection pane="bottomLeft" activeCell="E66" sqref="E66"/>
      <selection pane="bottomRight" activeCell="D14" sqref="D14"/>
    </sheetView>
  </sheetViews>
  <sheetFormatPr defaultRowHeight="12.75" x14ac:dyDescent="0.25"/>
  <cols>
    <col min="1" max="1" width="4.5703125" style="41" customWidth="1"/>
    <col min="2" max="2" width="9" style="41" customWidth="1"/>
    <col min="3" max="3" width="42" style="42" customWidth="1"/>
    <col min="4" max="4" width="15.140625" style="41" customWidth="1"/>
    <col min="5" max="5" width="16.28515625" style="41" customWidth="1"/>
    <col min="6" max="6" width="19.140625" style="41" customWidth="1"/>
    <col min="7" max="7" width="15.42578125" style="41" customWidth="1"/>
    <col min="8" max="16384" width="9.140625" style="41"/>
  </cols>
  <sheetData>
    <row r="1" spans="1:7" ht="43.5" customHeight="1" x14ac:dyDescent="0.25">
      <c r="A1" s="656" t="s">
        <v>229</v>
      </c>
      <c r="B1" s="656"/>
      <c r="C1" s="657"/>
      <c r="D1" s="657"/>
      <c r="E1" s="657"/>
      <c r="F1" s="657"/>
      <c r="G1" s="657"/>
    </row>
    <row r="2" spans="1:7" ht="17.25" customHeight="1" thickBot="1" x14ac:dyDescent="0.3"/>
    <row r="3" spans="1:7" ht="15.75" customHeight="1" x14ac:dyDescent="0.25">
      <c r="A3" s="658" t="s">
        <v>0</v>
      </c>
      <c r="B3" s="658" t="s">
        <v>219</v>
      </c>
      <c r="C3" s="661" t="s">
        <v>230</v>
      </c>
      <c r="D3" s="663" t="s">
        <v>231</v>
      </c>
      <c r="E3" s="664"/>
      <c r="F3" s="664"/>
      <c r="G3" s="665"/>
    </row>
    <row r="4" spans="1:7" ht="45.75" customHeight="1" x14ac:dyDescent="0.25">
      <c r="A4" s="659"/>
      <c r="B4" s="660"/>
      <c r="C4" s="662"/>
      <c r="D4" s="43" t="s">
        <v>232</v>
      </c>
      <c r="E4" s="44" t="s">
        <v>233</v>
      </c>
      <c r="F4" s="44" t="s">
        <v>234</v>
      </c>
      <c r="G4" s="45" t="s">
        <v>1</v>
      </c>
    </row>
    <row r="5" spans="1:7" ht="11.25" customHeight="1" x14ac:dyDescent="0.25">
      <c r="A5" s="46"/>
      <c r="B5" s="47"/>
      <c r="C5" s="48" t="s">
        <v>1</v>
      </c>
      <c r="D5" s="49">
        <f>D7+D6</f>
        <v>245749</v>
      </c>
      <c r="E5" s="50">
        <f t="shared" ref="E5:G5" si="0">E7+E6</f>
        <v>139603</v>
      </c>
      <c r="F5" s="50">
        <f t="shared" si="0"/>
        <v>78325</v>
      </c>
      <c r="G5" s="51">
        <f t="shared" si="0"/>
        <v>463677</v>
      </c>
    </row>
    <row r="6" spans="1:7" ht="11.25" customHeight="1" x14ac:dyDescent="0.25">
      <c r="A6" s="46"/>
      <c r="B6" s="47"/>
      <c r="C6" s="52" t="s">
        <v>19</v>
      </c>
      <c r="D6" s="53">
        <v>0</v>
      </c>
      <c r="E6" s="13">
        <v>0</v>
      </c>
      <c r="F6" s="13">
        <v>0</v>
      </c>
      <c r="G6" s="54">
        <v>0</v>
      </c>
    </row>
    <row r="7" spans="1:7" ht="11.25" customHeight="1" x14ac:dyDescent="0.25">
      <c r="A7" s="46"/>
      <c r="B7" s="47"/>
      <c r="C7" s="52" t="s">
        <v>20</v>
      </c>
      <c r="D7" s="49">
        <f>SUM(D8:D87)</f>
        <v>245749</v>
      </c>
      <c r="E7" s="50">
        <f t="shared" ref="E7:G7" si="1">SUM(E8:E87)</f>
        <v>139603</v>
      </c>
      <c r="F7" s="50">
        <f t="shared" si="1"/>
        <v>78325</v>
      </c>
      <c r="G7" s="51">
        <f t="shared" si="1"/>
        <v>463677</v>
      </c>
    </row>
    <row r="8" spans="1:7" ht="11.25" customHeight="1" x14ac:dyDescent="0.25">
      <c r="A8" s="55">
        <v>1</v>
      </c>
      <c r="B8" s="56" t="s">
        <v>21</v>
      </c>
      <c r="C8" s="57" t="s">
        <v>22</v>
      </c>
      <c r="D8" s="58">
        <v>770</v>
      </c>
      <c r="E8" s="59">
        <v>651</v>
      </c>
      <c r="F8" s="59">
        <v>0</v>
      </c>
      <c r="G8" s="60">
        <f t="shared" ref="G8:G71" si="2">SUM(D8:F8)</f>
        <v>1421</v>
      </c>
    </row>
    <row r="9" spans="1:7" ht="11.25" customHeight="1" x14ac:dyDescent="0.25">
      <c r="A9" s="61">
        <v>2</v>
      </c>
      <c r="B9" s="62" t="s">
        <v>23</v>
      </c>
      <c r="C9" s="63" t="s">
        <v>195</v>
      </c>
      <c r="D9" s="64">
        <v>1145</v>
      </c>
      <c r="E9" s="65">
        <v>669</v>
      </c>
      <c r="F9" s="65">
        <v>375</v>
      </c>
      <c r="G9" s="54">
        <f t="shared" si="2"/>
        <v>2189</v>
      </c>
    </row>
    <row r="10" spans="1:7" ht="11.25" customHeight="1" x14ac:dyDescent="0.25">
      <c r="A10" s="61">
        <v>3</v>
      </c>
      <c r="B10" s="62" t="s">
        <v>24</v>
      </c>
      <c r="C10" s="63" t="s">
        <v>25</v>
      </c>
      <c r="D10" s="64">
        <v>3409</v>
      </c>
      <c r="E10" s="65">
        <v>1890</v>
      </c>
      <c r="F10" s="65">
        <v>1486</v>
      </c>
      <c r="G10" s="54">
        <f t="shared" si="2"/>
        <v>6785</v>
      </c>
    </row>
    <row r="11" spans="1:7" ht="11.25" customHeight="1" x14ac:dyDescent="0.25">
      <c r="A11" s="61">
        <v>4</v>
      </c>
      <c r="B11" s="62" t="s">
        <v>26</v>
      </c>
      <c r="C11" s="63" t="s">
        <v>196</v>
      </c>
      <c r="D11" s="64">
        <v>1033</v>
      </c>
      <c r="E11" s="65">
        <v>460</v>
      </c>
      <c r="F11" s="65">
        <v>0</v>
      </c>
      <c r="G11" s="54">
        <f t="shared" si="2"/>
        <v>1493</v>
      </c>
    </row>
    <row r="12" spans="1:7" ht="11.25" customHeight="1" x14ac:dyDescent="0.25">
      <c r="A12" s="61">
        <v>5</v>
      </c>
      <c r="B12" s="62" t="s">
        <v>27</v>
      </c>
      <c r="C12" s="63" t="s">
        <v>28</v>
      </c>
      <c r="D12" s="64">
        <v>1354</v>
      </c>
      <c r="E12" s="65">
        <v>777</v>
      </c>
      <c r="F12" s="65">
        <v>435</v>
      </c>
      <c r="G12" s="54">
        <f t="shared" si="2"/>
        <v>2566</v>
      </c>
    </row>
    <row r="13" spans="1:7" ht="11.25" customHeight="1" x14ac:dyDescent="0.25">
      <c r="A13" s="61">
        <v>6</v>
      </c>
      <c r="B13" s="62" t="s">
        <v>4</v>
      </c>
      <c r="C13" s="63" t="s">
        <v>29</v>
      </c>
      <c r="D13" s="64">
        <v>8172</v>
      </c>
      <c r="E13" s="65">
        <v>6014</v>
      </c>
      <c r="F13" s="65">
        <v>4204</v>
      </c>
      <c r="G13" s="54">
        <f t="shared" si="2"/>
        <v>18390</v>
      </c>
    </row>
    <row r="14" spans="1:7" ht="11.25" customHeight="1" x14ac:dyDescent="0.25">
      <c r="A14" s="61">
        <v>7</v>
      </c>
      <c r="B14" s="62" t="s">
        <v>33</v>
      </c>
      <c r="C14" s="63" t="s">
        <v>34</v>
      </c>
      <c r="D14" s="64">
        <v>1028</v>
      </c>
      <c r="E14" s="65">
        <v>756</v>
      </c>
      <c r="F14" s="65">
        <v>424</v>
      </c>
      <c r="G14" s="54">
        <f t="shared" si="2"/>
        <v>2208</v>
      </c>
    </row>
    <row r="15" spans="1:7" ht="11.25" customHeight="1" x14ac:dyDescent="0.25">
      <c r="A15" s="61">
        <v>8</v>
      </c>
      <c r="B15" s="62" t="s">
        <v>35</v>
      </c>
      <c r="C15" s="63" t="s">
        <v>36</v>
      </c>
      <c r="D15" s="64">
        <v>968</v>
      </c>
      <c r="E15" s="65">
        <v>944</v>
      </c>
      <c r="F15" s="65">
        <v>529</v>
      </c>
      <c r="G15" s="54">
        <f t="shared" si="2"/>
        <v>2441</v>
      </c>
    </row>
    <row r="16" spans="1:7" ht="11.25" customHeight="1" x14ac:dyDescent="0.25">
      <c r="A16" s="61">
        <v>9</v>
      </c>
      <c r="B16" s="62" t="s">
        <v>37</v>
      </c>
      <c r="C16" s="63" t="s">
        <v>38</v>
      </c>
      <c r="D16" s="64">
        <v>1298</v>
      </c>
      <c r="E16" s="65">
        <v>727</v>
      </c>
      <c r="F16" s="65">
        <v>408</v>
      </c>
      <c r="G16" s="54">
        <f t="shared" si="2"/>
        <v>2433</v>
      </c>
    </row>
    <row r="17" spans="1:7" ht="11.25" customHeight="1" x14ac:dyDescent="0.25">
      <c r="A17" s="61">
        <v>10</v>
      </c>
      <c r="B17" s="62" t="s">
        <v>39</v>
      </c>
      <c r="C17" s="63" t="s">
        <v>40</v>
      </c>
      <c r="D17" s="64">
        <v>2584</v>
      </c>
      <c r="E17" s="65">
        <v>1484</v>
      </c>
      <c r="F17" s="65">
        <v>0</v>
      </c>
      <c r="G17" s="54">
        <f t="shared" si="2"/>
        <v>4068</v>
      </c>
    </row>
    <row r="18" spans="1:7" ht="11.25" customHeight="1" x14ac:dyDescent="0.25">
      <c r="A18" s="61">
        <v>11</v>
      </c>
      <c r="B18" s="62" t="s">
        <v>45</v>
      </c>
      <c r="C18" s="63" t="s">
        <v>198</v>
      </c>
      <c r="D18" s="64">
        <v>3248</v>
      </c>
      <c r="E18" s="65">
        <v>1776</v>
      </c>
      <c r="F18" s="66">
        <v>976</v>
      </c>
      <c r="G18" s="54">
        <f t="shared" si="2"/>
        <v>6000</v>
      </c>
    </row>
    <row r="19" spans="1:7" ht="11.25" customHeight="1" x14ac:dyDescent="0.25">
      <c r="A19" s="61">
        <v>12</v>
      </c>
      <c r="B19" s="62" t="s">
        <v>46</v>
      </c>
      <c r="C19" s="63" t="s">
        <v>47</v>
      </c>
      <c r="D19" s="64">
        <v>8702</v>
      </c>
      <c r="E19" s="65">
        <v>5144</v>
      </c>
      <c r="F19" s="65">
        <v>2885</v>
      </c>
      <c r="G19" s="54">
        <f t="shared" si="2"/>
        <v>16731</v>
      </c>
    </row>
    <row r="20" spans="1:7" ht="11.25" customHeight="1" x14ac:dyDescent="0.25">
      <c r="A20" s="61">
        <v>13</v>
      </c>
      <c r="B20" s="62" t="s">
        <v>48</v>
      </c>
      <c r="C20" s="63" t="s">
        <v>49</v>
      </c>
      <c r="D20" s="64">
        <v>698</v>
      </c>
      <c r="E20" s="65">
        <v>0</v>
      </c>
      <c r="F20" s="65">
        <v>0</v>
      </c>
      <c r="G20" s="54">
        <f t="shared" si="2"/>
        <v>698</v>
      </c>
    </row>
    <row r="21" spans="1:7" ht="11.25" customHeight="1" x14ac:dyDescent="0.25">
      <c r="A21" s="61">
        <v>14</v>
      </c>
      <c r="B21" s="62" t="s">
        <v>51</v>
      </c>
      <c r="C21" s="63" t="s">
        <v>52</v>
      </c>
      <c r="D21" s="64">
        <v>4153</v>
      </c>
      <c r="E21" s="65">
        <v>2309</v>
      </c>
      <c r="F21" s="65">
        <v>1295</v>
      </c>
      <c r="G21" s="54">
        <f t="shared" si="2"/>
        <v>7757</v>
      </c>
    </row>
    <row r="22" spans="1:7" ht="11.25" customHeight="1" x14ac:dyDescent="0.25">
      <c r="A22" s="61">
        <v>15</v>
      </c>
      <c r="B22" s="62" t="s">
        <v>53</v>
      </c>
      <c r="C22" s="63" t="s">
        <v>54</v>
      </c>
      <c r="D22" s="64">
        <v>5999</v>
      </c>
      <c r="E22" s="65">
        <v>3422</v>
      </c>
      <c r="F22" s="65">
        <v>1919</v>
      </c>
      <c r="G22" s="54">
        <f t="shared" si="2"/>
        <v>11340</v>
      </c>
    </row>
    <row r="23" spans="1:7" ht="11.25" customHeight="1" x14ac:dyDescent="0.25">
      <c r="A23" s="61">
        <v>16</v>
      </c>
      <c r="B23" s="62" t="s">
        <v>55</v>
      </c>
      <c r="C23" s="63" t="s">
        <v>56</v>
      </c>
      <c r="D23" s="64">
        <v>679</v>
      </c>
      <c r="E23" s="65">
        <v>500</v>
      </c>
      <c r="F23" s="65">
        <v>280</v>
      </c>
      <c r="G23" s="54">
        <f t="shared" si="2"/>
        <v>1459</v>
      </c>
    </row>
    <row r="24" spans="1:7" ht="11.25" customHeight="1" x14ac:dyDescent="0.25">
      <c r="A24" s="61">
        <v>17</v>
      </c>
      <c r="B24" s="62" t="s">
        <v>6</v>
      </c>
      <c r="C24" s="63" t="s">
        <v>59</v>
      </c>
      <c r="D24" s="64">
        <v>7238</v>
      </c>
      <c r="E24" s="65">
        <v>7086</v>
      </c>
      <c r="F24" s="65">
        <v>3974</v>
      </c>
      <c r="G24" s="54">
        <f t="shared" si="2"/>
        <v>18298</v>
      </c>
    </row>
    <row r="25" spans="1:7" ht="11.25" customHeight="1" x14ac:dyDescent="0.25">
      <c r="A25" s="61">
        <v>18</v>
      </c>
      <c r="B25" s="62" t="s">
        <v>5</v>
      </c>
      <c r="C25" s="63" t="s">
        <v>17</v>
      </c>
      <c r="D25" s="64">
        <v>9277</v>
      </c>
      <c r="E25" s="65">
        <v>5315</v>
      </c>
      <c r="F25" s="65">
        <v>2980</v>
      </c>
      <c r="G25" s="54">
        <f t="shared" si="2"/>
        <v>17572</v>
      </c>
    </row>
    <row r="26" spans="1:7" ht="11.25" customHeight="1" x14ac:dyDescent="0.25">
      <c r="A26" s="61">
        <v>19</v>
      </c>
      <c r="B26" s="62" t="s">
        <v>60</v>
      </c>
      <c r="C26" s="63" t="s">
        <v>61</v>
      </c>
      <c r="D26" s="64">
        <v>5063</v>
      </c>
      <c r="E26" s="65">
        <v>0</v>
      </c>
      <c r="F26" s="65">
        <v>0</v>
      </c>
      <c r="G26" s="54">
        <f t="shared" si="2"/>
        <v>5063</v>
      </c>
    </row>
    <row r="27" spans="1:7" ht="11.25" customHeight="1" x14ac:dyDescent="0.25">
      <c r="A27" s="61">
        <v>20</v>
      </c>
      <c r="B27" s="62" t="s">
        <v>62</v>
      </c>
      <c r="C27" s="63" t="s">
        <v>63</v>
      </c>
      <c r="D27" s="64">
        <v>494</v>
      </c>
      <c r="E27" s="65">
        <v>363</v>
      </c>
      <c r="F27" s="65">
        <v>204</v>
      </c>
      <c r="G27" s="67">
        <f t="shared" si="2"/>
        <v>1061</v>
      </c>
    </row>
    <row r="28" spans="1:7" ht="11.25" customHeight="1" x14ac:dyDescent="0.25">
      <c r="A28" s="61">
        <v>21</v>
      </c>
      <c r="B28" s="62" t="s">
        <v>64</v>
      </c>
      <c r="C28" s="63" t="s">
        <v>65</v>
      </c>
      <c r="D28" s="64">
        <v>6023</v>
      </c>
      <c r="E28" s="65">
        <v>4487</v>
      </c>
      <c r="F28" s="65">
        <v>2516</v>
      </c>
      <c r="G28" s="54">
        <f t="shared" si="2"/>
        <v>13026</v>
      </c>
    </row>
    <row r="29" spans="1:7" ht="11.25" customHeight="1" x14ac:dyDescent="0.25">
      <c r="A29" s="61">
        <v>22</v>
      </c>
      <c r="B29" s="62" t="s">
        <v>66</v>
      </c>
      <c r="C29" s="63" t="s">
        <v>67</v>
      </c>
      <c r="D29" s="64">
        <v>7299</v>
      </c>
      <c r="E29" s="65">
        <v>6862</v>
      </c>
      <c r="F29" s="65">
        <v>3847</v>
      </c>
      <c r="G29" s="54">
        <f t="shared" si="2"/>
        <v>18008</v>
      </c>
    </row>
    <row r="30" spans="1:7" ht="11.25" customHeight="1" x14ac:dyDescent="0.25">
      <c r="A30" s="61">
        <v>23</v>
      </c>
      <c r="B30" s="62" t="s">
        <v>68</v>
      </c>
      <c r="C30" s="63" t="s">
        <v>69</v>
      </c>
      <c r="D30" s="64">
        <v>245</v>
      </c>
      <c r="E30" s="65">
        <v>0</v>
      </c>
      <c r="F30" s="66">
        <v>0</v>
      </c>
      <c r="G30" s="54">
        <f t="shared" si="2"/>
        <v>245</v>
      </c>
    </row>
    <row r="31" spans="1:7" ht="11.25" customHeight="1" x14ac:dyDescent="0.25">
      <c r="A31" s="61">
        <v>24</v>
      </c>
      <c r="B31" s="62" t="s">
        <v>70</v>
      </c>
      <c r="C31" s="63" t="s">
        <v>71</v>
      </c>
      <c r="D31" s="64">
        <v>3796</v>
      </c>
      <c r="E31" s="65">
        <v>0</v>
      </c>
      <c r="F31" s="65">
        <v>0</v>
      </c>
      <c r="G31" s="54">
        <f t="shared" si="2"/>
        <v>3796</v>
      </c>
    </row>
    <row r="32" spans="1:7" ht="11.25" customHeight="1" x14ac:dyDescent="0.25">
      <c r="A32" s="61">
        <v>25</v>
      </c>
      <c r="B32" s="62" t="s">
        <v>72</v>
      </c>
      <c r="C32" s="63" t="s">
        <v>73</v>
      </c>
      <c r="D32" s="64">
        <v>1878</v>
      </c>
      <c r="E32" s="65">
        <v>1044</v>
      </c>
      <c r="F32" s="65">
        <v>586</v>
      </c>
      <c r="G32" s="54">
        <f t="shared" si="2"/>
        <v>3508</v>
      </c>
    </row>
    <row r="33" spans="1:7" ht="11.25" customHeight="1" x14ac:dyDescent="0.25">
      <c r="A33" s="61">
        <v>26</v>
      </c>
      <c r="B33" s="62" t="s">
        <v>74</v>
      </c>
      <c r="C33" s="63" t="s">
        <v>200</v>
      </c>
      <c r="D33" s="64">
        <v>4792</v>
      </c>
      <c r="E33" s="65">
        <v>2695</v>
      </c>
      <c r="F33" s="65">
        <v>1511</v>
      </c>
      <c r="G33" s="54">
        <f t="shared" si="2"/>
        <v>8998</v>
      </c>
    </row>
    <row r="34" spans="1:7" ht="11.25" customHeight="1" x14ac:dyDescent="0.25">
      <c r="A34" s="61">
        <v>27</v>
      </c>
      <c r="B34" s="62" t="s">
        <v>75</v>
      </c>
      <c r="C34" s="63" t="s">
        <v>201</v>
      </c>
      <c r="D34" s="64">
        <v>1719</v>
      </c>
      <c r="E34" s="65">
        <v>0</v>
      </c>
      <c r="F34" s="65">
        <v>0</v>
      </c>
      <c r="G34" s="54">
        <f t="shared" si="2"/>
        <v>1719</v>
      </c>
    </row>
    <row r="35" spans="1:7" ht="11.25" customHeight="1" x14ac:dyDescent="0.25">
      <c r="A35" s="61">
        <v>28</v>
      </c>
      <c r="B35" s="62" t="s">
        <v>77</v>
      </c>
      <c r="C35" s="63" t="s">
        <v>78</v>
      </c>
      <c r="D35" s="64">
        <v>1514</v>
      </c>
      <c r="E35" s="65">
        <v>0</v>
      </c>
      <c r="F35" s="65">
        <v>0</v>
      </c>
      <c r="G35" s="54">
        <f t="shared" si="2"/>
        <v>1514</v>
      </c>
    </row>
    <row r="36" spans="1:7" ht="11.25" customHeight="1" x14ac:dyDescent="0.25">
      <c r="A36" s="61">
        <v>29</v>
      </c>
      <c r="B36" s="62" t="s">
        <v>79</v>
      </c>
      <c r="C36" s="63" t="s">
        <v>80</v>
      </c>
      <c r="D36" s="64">
        <v>1001</v>
      </c>
      <c r="E36" s="65">
        <v>737</v>
      </c>
      <c r="F36" s="65">
        <v>413</v>
      </c>
      <c r="G36" s="54">
        <f t="shared" si="2"/>
        <v>2151</v>
      </c>
    </row>
    <row r="37" spans="1:7" ht="11.25" customHeight="1" x14ac:dyDescent="0.25">
      <c r="A37" s="61">
        <v>30</v>
      </c>
      <c r="B37" s="62" t="s">
        <v>81</v>
      </c>
      <c r="C37" s="63" t="s">
        <v>82</v>
      </c>
      <c r="D37" s="64">
        <v>6329</v>
      </c>
      <c r="E37" s="65">
        <v>3534</v>
      </c>
      <c r="F37" s="65">
        <v>1982</v>
      </c>
      <c r="G37" s="54">
        <f t="shared" si="2"/>
        <v>11845</v>
      </c>
    </row>
    <row r="38" spans="1:7" ht="11.25" customHeight="1" x14ac:dyDescent="0.25">
      <c r="A38" s="61">
        <v>31</v>
      </c>
      <c r="B38" s="62" t="s">
        <v>84</v>
      </c>
      <c r="C38" s="63" t="s">
        <v>85</v>
      </c>
      <c r="D38" s="64">
        <v>5970</v>
      </c>
      <c r="E38" s="65">
        <v>3544</v>
      </c>
      <c r="F38" s="65">
        <v>1987</v>
      </c>
      <c r="G38" s="54">
        <f t="shared" si="2"/>
        <v>11501</v>
      </c>
    </row>
    <row r="39" spans="1:7" ht="11.25" customHeight="1" x14ac:dyDescent="0.25">
      <c r="A39" s="61">
        <v>32</v>
      </c>
      <c r="B39" s="62" t="s">
        <v>86</v>
      </c>
      <c r="C39" s="63" t="s">
        <v>87</v>
      </c>
      <c r="D39" s="64">
        <v>947</v>
      </c>
      <c r="E39" s="65">
        <v>697</v>
      </c>
      <c r="F39" s="65">
        <v>391</v>
      </c>
      <c r="G39" s="54">
        <f t="shared" si="2"/>
        <v>2035</v>
      </c>
    </row>
    <row r="40" spans="1:7" ht="11.25" customHeight="1" x14ac:dyDescent="0.25">
      <c r="A40" s="61">
        <v>33</v>
      </c>
      <c r="B40" s="62" t="s">
        <v>88</v>
      </c>
      <c r="C40" s="63" t="s">
        <v>204</v>
      </c>
      <c r="D40" s="64">
        <v>1457</v>
      </c>
      <c r="E40" s="65">
        <v>0</v>
      </c>
      <c r="F40" s="65">
        <v>0</v>
      </c>
      <c r="G40" s="54">
        <f t="shared" si="2"/>
        <v>1457</v>
      </c>
    </row>
    <row r="41" spans="1:7" ht="11.25" customHeight="1" x14ac:dyDescent="0.25">
      <c r="A41" s="61">
        <v>34</v>
      </c>
      <c r="B41" s="62" t="s">
        <v>89</v>
      </c>
      <c r="C41" s="63" t="s">
        <v>90</v>
      </c>
      <c r="D41" s="64">
        <v>2187</v>
      </c>
      <c r="E41" s="65">
        <v>1250</v>
      </c>
      <c r="F41" s="65">
        <v>701</v>
      </c>
      <c r="G41" s="54">
        <f t="shared" si="2"/>
        <v>4138</v>
      </c>
    </row>
    <row r="42" spans="1:7" ht="11.25" customHeight="1" x14ac:dyDescent="0.25">
      <c r="A42" s="61">
        <v>35</v>
      </c>
      <c r="B42" s="62" t="s">
        <v>93</v>
      </c>
      <c r="C42" s="63" t="s">
        <v>94</v>
      </c>
      <c r="D42" s="64">
        <v>0</v>
      </c>
      <c r="E42" s="65">
        <v>867</v>
      </c>
      <c r="F42" s="65">
        <v>486</v>
      </c>
      <c r="G42" s="54">
        <f t="shared" si="2"/>
        <v>1353</v>
      </c>
    </row>
    <row r="43" spans="1:7" ht="11.25" customHeight="1" x14ac:dyDescent="0.25">
      <c r="A43" s="61">
        <v>36</v>
      </c>
      <c r="B43" s="62" t="s">
        <v>95</v>
      </c>
      <c r="C43" s="63" t="s">
        <v>205</v>
      </c>
      <c r="D43" s="64">
        <v>2235</v>
      </c>
      <c r="E43" s="65">
        <v>1289</v>
      </c>
      <c r="F43" s="65">
        <v>723</v>
      </c>
      <c r="G43" s="54">
        <f t="shared" si="2"/>
        <v>4247</v>
      </c>
    </row>
    <row r="44" spans="1:7" ht="11.25" customHeight="1" x14ac:dyDescent="0.25">
      <c r="A44" s="61">
        <v>37</v>
      </c>
      <c r="B44" s="62" t="s">
        <v>96</v>
      </c>
      <c r="C44" s="63" t="s">
        <v>97</v>
      </c>
      <c r="D44" s="64">
        <v>5248</v>
      </c>
      <c r="E44" s="65">
        <v>5203</v>
      </c>
      <c r="F44" s="65">
        <v>2917</v>
      </c>
      <c r="G44" s="54">
        <f t="shared" si="2"/>
        <v>13368</v>
      </c>
    </row>
    <row r="45" spans="1:7" ht="11.25" customHeight="1" x14ac:dyDescent="0.25">
      <c r="A45" s="61">
        <v>38</v>
      </c>
      <c r="B45" s="62" t="s">
        <v>98</v>
      </c>
      <c r="C45" s="63" t="s">
        <v>206</v>
      </c>
      <c r="D45" s="64">
        <v>1218</v>
      </c>
      <c r="E45" s="65">
        <v>706</v>
      </c>
      <c r="F45" s="65">
        <v>396</v>
      </c>
      <c r="G45" s="54">
        <f t="shared" si="2"/>
        <v>2320</v>
      </c>
    </row>
    <row r="46" spans="1:7" ht="11.25" customHeight="1" x14ac:dyDescent="0.25">
      <c r="A46" s="61">
        <v>39</v>
      </c>
      <c r="B46" s="62" t="s">
        <v>99</v>
      </c>
      <c r="C46" s="63" t="s">
        <v>100</v>
      </c>
      <c r="D46" s="64">
        <v>4306</v>
      </c>
      <c r="E46" s="65">
        <v>0</v>
      </c>
      <c r="F46" s="65">
        <v>0</v>
      </c>
      <c r="G46" s="54">
        <f t="shared" si="2"/>
        <v>4306</v>
      </c>
    </row>
    <row r="47" spans="1:7" ht="11.25" customHeight="1" x14ac:dyDescent="0.25">
      <c r="A47" s="61">
        <v>40</v>
      </c>
      <c r="B47" s="62" t="s">
        <v>101</v>
      </c>
      <c r="C47" s="63" t="s">
        <v>235</v>
      </c>
      <c r="D47" s="64">
        <v>2795</v>
      </c>
      <c r="E47" s="65">
        <v>0</v>
      </c>
      <c r="F47" s="65">
        <v>0</v>
      </c>
      <c r="G47" s="54">
        <f t="shared" si="2"/>
        <v>2795</v>
      </c>
    </row>
    <row r="48" spans="1:7" ht="11.25" customHeight="1" x14ac:dyDescent="0.25">
      <c r="A48" s="61">
        <v>41</v>
      </c>
      <c r="B48" s="68" t="s">
        <v>102</v>
      </c>
      <c r="C48" s="69" t="s">
        <v>103</v>
      </c>
      <c r="D48" s="64">
        <v>4186</v>
      </c>
      <c r="E48" s="65">
        <v>0</v>
      </c>
      <c r="F48" s="65">
        <v>0</v>
      </c>
      <c r="G48" s="54">
        <f t="shared" si="2"/>
        <v>4186</v>
      </c>
    </row>
    <row r="49" spans="1:7" ht="11.25" customHeight="1" x14ac:dyDescent="0.25">
      <c r="A49" s="61">
        <v>42</v>
      </c>
      <c r="B49" s="68" t="s">
        <v>104</v>
      </c>
      <c r="C49" s="70" t="s">
        <v>236</v>
      </c>
      <c r="D49" s="64">
        <v>4014</v>
      </c>
      <c r="E49" s="65">
        <v>0</v>
      </c>
      <c r="F49" s="65">
        <v>0</v>
      </c>
      <c r="G49" s="54">
        <f t="shared" si="2"/>
        <v>4014</v>
      </c>
    </row>
    <row r="50" spans="1:7" ht="11.25" customHeight="1" x14ac:dyDescent="0.25">
      <c r="A50" s="61">
        <v>43</v>
      </c>
      <c r="B50" s="62" t="s">
        <v>105</v>
      </c>
      <c r="C50" s="63" t="s">
        <v>106</v>
      </c>
      <c r="D50" s="64">
        <v>2152</v>
      </c>
      <c r="E50" s="65">
        <v>0</v>
      </c>
      <c r="F50" s="65">
        <v>0</v>
      </c>
      <c r="G50" s="54">
        <f t="shared" si="2"/>
        <v>2152</v>
      </c>
    </row>
    <row r="51" spans="1:7" ht="11.25" customHeight="1" x14ac:dyDescent="0.25">
      <c r="A51" s="61">
        <v>44</v>
      </c>
      <c r="B51" s="62" t="s">
        <v>107</v>
      </c>
      <c r="C51" s="63" t="s">
        <v>210</v>
      </c>
      <c r="D51" s="64">
        <v>4487</v>
      </c>
      <c r="E51" s="65">
        <v>3008</v>
      </c>
      <c r="F51" s="65">
        <v>1686</v>
      </c>
      <c r="G51" s="54">
        <f t="shared" si="2"/>
        <v>9181</v>
      </c>
    </row>
    <row r="52" spans="1:7" ht="11.25" customHeight="1" x14ac:dyDescent="0.25">
      <c r="A52" s="61">
        <v>45</v>
      </c>
      <c r="B52" s="62" t="s">
        <v>108</v>
      </c>
      <c r="C52" s="63" t="s">
        <v>211</v>
      </c>
      <c r="D52" s="64">
        <v>2630</v>
      </c>
      <c r="E52" s="65">
        <v>1936</v>
      </c>
      <c r="F52" s="65">
        <v>1085</v>
      </c>
      <c r="G52" s="54">
        <f t="shared" si="2"/>
        <v>5651</v>
      </c>
    </row>
    <row r="53" spans="1:7" ht="11.25" customHeight="1" x14ac:dyDescent="0.25">
      <c r="A53" s="61">
        <v>46</v>
      </c>
      <c r="B53" s="62" t="s">
        <v>109</v>
      </c>
      <c r="C53" s="63" t="s">
        <v>212</v>
      </c>
      <c r="D53" s="64">
        <v>2567</v>
      </c>
      <c r="E53" s="65">
        <v>1889</v>
      </c>
      <c r="F53" s="65">
        <v>1059</v>
      </c>
      <c r="G53" s="54">
        <f t="shared" si="2"/>
        <v>5515</v>
      </c>
    </row>
    <row r="54" spans="1:7" ht="11.25" customHeight="1" x14ac:dyDescent="0.25">
      <c r="A54" s="61">
        <v>47</v>
      </c>
      <c r="B54" s="62" t="s">
        <v>110</v>
      </c>
      <c r="C54" s="63" t="s">
        <v>213</v>
      </c>
      <c r="D54" s="64">
        <v>1935</v>
      </c>
      <c r="E54" s="65">
        <v>1424</v>
      </c>
      <c r="F54" s="65">
        <v>799</v>
      </c>
      <c r="G54" s="54">
        <f t="shared" si="2"/>
        <v>4158</v>
      </c>
    </row>
    <row r="55" spans="1:7" ht="11.25" customHeight="1" x14ac:dyDescent="0.25">
      <c r="A55" s="61">
        <v>48</v>
      </c>
      <c r="B55" s="62" t="s">
        <v>111</v>
      </c>
      <c r="C55" s="63" t="s">
        <v>214</v>
      </c>
      <c r="D55" s="64">
        <v>5070</v>
      </c>
      <c r="E55" s="65">
        <v>3731</v>
      </c>
      <c r="F55" s="65">
        <v>2092</v>
      </c>
      <c r="G55" s="54">
        <f t="shared" si="2"/>
        <v>10893</v>
      </c>
    </row>
    <row r="56" spans="1:7" ht="11.25" customHeight="1" x14ac:dyDescent="0.25">
      <c r="A56" s="61">
        <v>49</v>
      </c>
      <c r="B56" s="62" t="s">
        <v>112</v>
      </c>
      <c r="C56" s="63" t="s">
        <v>113</v>
      </c>
      <c r="D56" s="64">
        <v>3118</v>
      </c>
      <c r="E56" s="65">
        <v>1886</v>
      </c>
      <c r="F56" s="65">
        <v>1058</v>
      </c>
      <c r="G56" s="54">
        <f t="shared" si="2"/>
        <v>6062</v>
      </c>
    </row>
    <row r="57" spans="1:7" ht="11.25" customHeight="1" x14ac:dyDescent="0.25">
      <c r="A57" s="61">
        <v>50</v>
      </c>
      <c r="B57" s="62" t="s">
        <v>114</v>
      </c>
      <c r="C57" s="63" t="s">
        <v>115</v>
      </c>
      <c r="D57" s="64">
        <v>3009</v>
      </c>
      <c r="E57" s="65">
        <v>2215</v>
      </c>
      <c r="F57" s="65">
        <v>1242</v>
      </c>
      <c r="G57" s="54">
        <f t="shared" si="2"/>
        <v>6466</v>
      </c>
    </row>
    <row r="58" spans="1:7" ht="11.25" customHeight="1" x14ac:dyDescent="0.25">
      <c r="A58" s="61">
        <v>51</v>
      </c>
      <c r="B58" s="62" t="s">
        <v>118</v>
      </c>
      <c r="C58" s="63" t="s">
        <v>215</v>
      </c>
      <c r="D58" s="64">
        <v>4893</v>
      </c>
      <c r="E58" s="65">
        <v>3601</v>
      </c>
      <c r="F58" s="65">
        <v>2019</v>
      </c>
      <c r="G58" s="54">
        <f t="shared" si="2"/>
        <v>10513</v>
      </c>
    </row>
    <row r="59" spans="1:7" ht="11.25" customHeight="1" x14ac:dyDescent="0.25">
      <c r="A59" s="61">
        <v>52</v>
      </c>
      <c r="B59" s="62" t="s">
        <v>119</v>
      </c>
      <c r="C59" s="63" t="s">
        <v>120</v>
      </c>
      <c r="D59" s="64">
        <v>1665</v>
      </c>
      <c r="E59" s="65">
        <v>1634</v>
      </c>
      <c r="F59" s="65">
        <v>916</v>
      </c>
      <c r="G59" s="54">
        <f t="shared" si="2"/>
        <v>4215</v>
      </c>
    </row>
    <row r="60" spans="1:7" ht="11.25" customHeight="1" x14ac:dyDescent="0.25">
      <c r="A60" s="61">
        <v>53</v>
      </c>
      <c r="B60" s="62" t="s">
        <v>121</v>
      </c>
      <c r="C60" s="63" t="s">
        <v>122</v>
      </c>
      <c r="D60" s="64">
        <v>1601</v>
      </c>
      <c r="E60" s="65">
        <v>1609</v>
      </c>
      <c r="F60" s="65">
        <v>902</v>
      </c>
      <c r="G60" s="54">
        <f t="shared" si="2"/>
        <v>4112</v>
      </c>
    </row>
    <row r="61" spans="1:7" ht="11.25" customHeight="1" x14ac:dyDescent="0.25">
      <c r="A61" s="61">
        <v>54</v>
      </c>
      <c r="B61" s="62" t="s">
        <v>123</v>
      </c>
      <c r="C61" s="63" t="s">
        <v>124</v>
      </c>
      <c r="D61" s="64">
        <v>4205</v>
      </c>
      <c r="E61" s="65">
        <v>2169</v>
      </c>
      <c r="F61" s="65">
        <v>1216</v>
      </c>
      <c r="G61" s="54">
        <f t="shared" si="2"/>
        <v>7590</v>
      </c>
    </row>
    <row r="62" spans="1:7" ht="11.25" customHeight="1" x14ac:dyDescent="0.25">
      <c r="A62" s="61">
        <v>55</v>
      </c>
      <c r="B62" s="62" t="s">
        <v>125</v>
      </c>
      <c r="C62" s="63" t="s">
        <v>209</v>
      </c>
      <c r="D62" s="64">
        <v>2879</v>
      </c>
      <c r="E62" s="65">
        <v>2119</v>
      </c>
      <c r="F62" s="65">
        <v>1188</v>
      </c>
      <c r="G62" s="54">
        <f t="shared" si="2"/>
        <v>6186</v>
      </c>
    </row>
    <row r="63" spans="1:7" ht="11.25" customHeight="1" x14ac:dyDescent="0.25">
      <c r="A63" s="61">
        <v>56</v>
      </c>
      <c r="B63" s="62" t="s">
        <v>126</v>
      </c>
      <c r="C63" s="63" t="s">
        <v>127</v>
      </c>
      <c r="D63" s="64">
        <v>4731</v>
      </c>
      <c r="E63" s="65">
        <v>2981</v>
      </c>
      <c r="F63" s="65">
        <v>1952</v>
      </c>
      <c r="G63" s="54">
        <f t="shared" si="2"/>
        <v>9664</v>
      </c>
    </row>
    <row r="64" spans="1:7" ht="11.25" customHeight="1" x14ac:dyDescent="0.25">
      <c r="A64" s="61">
        <v>57</v>
      </c>
      <c r="B64" s="62" t="s">
        <v>128</v>
      </c>
      <c r="C64" s="63" t="s">
        <v>129</v>
      </c>
      <c r="D64" s="64">
        <v>1464</v>
      </c>
      <c r="E64" s="65">
        <v>1077</v>
      </c>
      <c r="F64" s="65">
        <v>604</v>
      </c>
      <c r="G64" s="54">
        <f t="shared" si="2"/>
        <v>3145</v>
      </c>
    </row>
    <row r="65" spans="1:7" ht="11.25" customHeight="1" x14ac:dyDescent="0.25">
      <c r="A65" s="61">
        <v>58</v>
      </c>
      <c r="B65" s="62" t="s">
        <v>130</v>
      </c>
      <c r="C65" s="63" t="s">
        <v>207</v>
      </c>
      <c r="D65" s="64">
        <v>454</v>
      </c>
      <c r="E65" s="65">
        <v>0</v>
      </c>
      <c r="F65" s="65">
        <v>0</v>
      </c>
      <c r="G65" s="54">
        <f t="shared" si="2"/>
        <v>454</v>
      </c>
    </row>
    <row r="66" spans="1:7" ht="11.25" customHeight="1" x14ac:dyDescent="0.25">
      <c r="A66" s="61">
        <v>59</v>
      </c>
      <c r="B66" s="62" t="s">
        <v>131</v>
      </c>
      <c r="C66" s="63" t="s">
        <v>132</v>
      </c>
      <c r="D66" s="64">
        <v>9300</v>
      </c>
      <c r="E66" s="65">
        <v>6845</v>
      </c>
      <c r="F66" s="65">
        <v>3838</v>
      </c>
      <c r="G66" s="54">
        <f t="shared" si="2"/>
        <v>19983</v>
      </c>
    </row>
    <row r="67" spans="1:7" ht="11.25" customHeight="1" x14ac:dyDescent="0.25">
      <c r="A67" s="61">
        <v>60</v>
      </c>
      <c r="B67" s="62" t="s">
        <v>133</v>
      </c>
      <c r="C67" s="71" t="s">
        <v>134</v>
      </c>
      <c r="D67" s="64">
        <v>2070</v>
      </c>
      <c r="E67" s="65">
        <v>0</v>
      </c>
      <c r="F67" s="65">
        <v>0</v>
      </c>
      <c r="G67" s="54">
        <f t="shared" si="2"/>
        <v>2070</v>
      </c>
    </row>
    <row r="68" spans="1:7" ht="11.25" customHeight="1" x14ac:dyDescent="0.25">
      <c r="A68" s="61">
        <v>61</v>
      </c>
      <c r="B68" s="62" t="s">
        <v>9</v>
      </c>
      <c r="C68" s="63" t="s">
        <v>208</v>
      </c>
      <c r="D68" s="64">
        <v>2778</v>
      </c>
      <c r="E68" s="65">
        <v>2045</v>
      </c>
      <c r="F68" s="65">
        <v>1146</v>
      </c>
      <c r="G68" s="54">
        <f t="shared" si="2"/>
        <v>5969</v>
      </c>
    </row>
    <row r="69" spans="1:7" ht="11.25" customHeight="1" x14ac:dyDescent="0.25">
      <c r="A69" s="61">
        <v>62</v>
      </c>
      <c r="B69" s="62" t="s">
        <v>137</v>
      </c>
      <c r="C69" s="63" t="s">
        <v>138</v>
      </c>
      <c r="D69" s="64">
        <v>452</v>
      </c>
      <c r="E69" s="65">
        <v>333</v>
      </c>
      <c r="F69" s="65">
        <v>187</v>
      </c>
      <c r="G69" s="54">
        <f t="shared" si="2"/>
        <v>972</v>
      </c>
    </row>
    <row r="70" spans="1:7" ht="11.25" customHeight="1" x14ac:dyDescent="0.25">
      <c r="A70" s="61">
        <v>63</v>
      </c>
      <c r="B70" s="62" t="s">
        <v>139</v>
      </c>
      <c r="C70" s="63" t="s">
        <v>140</v>
      </c>
      <c r="D70" s="64">
        <v>383</v>
      </c>
      <c r="E70" s="65">
        <v>282</v>
      </c>
      <c r="F70" s="65">
        <v>158</v>
      </c>
      <c r="G70" s="54">
        <f t="shared" si="2"/>
        <v>823</v>
      </c>
    </row>
    <row r="71" spans="1:7" ht="11.25" customHeight="1" x14ac:dyDescent="0.25">
      <c r="A71" s="61">
        <v>64</v>
      </c>
      <c r="B71" s="62" t="s">
        <v>141</v>
      </c>
      <c r="C71" s="63" t="s">
        <v>142</v>
      </c>
      <c r="D71" s="64">
        <v>6903</v>
      </c>
      <c r="E71" s="65">
        <v>6152</v>
      </c>
      <c r="F71" s="65">
        <v>3449</v>
      </c>
      <c r="G71" s="54">
        <f t="shared" si="2"/>
        <v>16504</v>
      </c>
    </row>
    <row r="72" spans="1:7" ht="11.25" customHeight="1" x14ac:dyDescent="0.25">
      <c r="A72" s="61">
        <v>65</v>
      </c>
      <c r="B72" s="62" t="s">
        <v>143</v>
      </c>
      <c r="C72" s="63" t="s">
        <v>144</v>
      </c>
      <c r="D72" s="64">
        <v>741</v>
      </c>
      <c r="E72" s="65">
        <v>581</v>
      </c>
      <c r="F72" s="65">
        <v>326</v>
      </c>
      <c r="G72" s="54">
        <f t="shared" ref="G72:G87" si="3">SUM(D72:F72)</f>
        <v>1648</v>
      </c>
    </row>
    <row r="73" spans="1:7" ht="11.25" customHeight="1" x14ac:dyDescent="0.25">
      <c r="A73" s="61">
        <v>66</v>
      </c>
      <c r="B73" s="62" t="s">
        <v>147</v>
      </c>
      <c r="C73" s="63" t="s">
        <v>148</v>
      </c>
      <c r="D73" s="64">
        <v>2027</v>
      </c>
      <c r="E73" s="65">
        <v>1571</v>
      </c>
      <c r="F73" s="65">
        <v>881</v>
      </c>
      <c r="G73" s="54">
        <f t="shared" si="3"/>
        <v>4479</v>
      </c>
    </row>
    <row r="74" spans="1:7" ht="11.25" customHeight="1" x14ac:dyDescent="0.25">
      <c r="A74" s="61">
        <v>67</v>
      </c>
      <c r="B74" s="62" t="s">
        <v>149</v>
      </c>
      <c r="C74" s="72" t="s">
        <v>150</v>
      </c>
      <c r="D74" s="64">
        <v>1056</v>
      </c>
      <c r="E74" s="65">
        <v>594</v>
      </c>
      <c r="F74" s="65">
        <v>333</v>
      </c>
      <c r="G74" s="54">
        <f t="shared" si="3"/>
        <v>1983</v>
      </c>
    </row>
    <row r="75" spans="1:7" ht="11.25" customHeight="1" x14ac:dyDescent="0.25">
      <c r="A75" s="61">
        <v>68</v>
      </c>
      <c r="B75" s="62" t="s">
        <v>151</v>
      </c>
      <c r="C75" s="63" t="s">
        <v>152</v>
      </c>
      <c r="D75" s="64">
        <v>1566</v>
      </c>
      <c r="E75" s="65">
        <v>934</v>
      </c>
      <c r="F75" s="65">
        <v>523</v>
      </c>
      <c r="G75" s="54">
        <f t="shared" si="3"/>
        <v>3023</v>
      </c>
    </row>
    <row r="76" spans="1:7" ht="11.25" customHeight="1" x14ac:dyDescent="0.25">
      <c r="A76" s="61">
        <v>69</v>
      </c>
      <c r="B76" s="62" t="s">
        <v>157</v>
      </c>
      <c r="C76" s="63" t="s">
        <v>158</v>
      </c>
      <c r="D76" s="64">
        <v>722</v>
      </c>
      <c r="E76" s="65">
        <v>0</v>
      </c>
      <c r="F76" s="65">
        <v>0</v>
      </c>
      <c r="G76" s="54">
        <f t="shared" si="3"/>
        <v>722</v>
      </c>
    </row>
    <row r="77" spans="1:7" ht="11.25" customHeight="1" x14ac:dyDescent="0.25">
      <c r="A77" s="61">
        <v>70</v>
      </c>
      <c r="B77" s="62" t="s">
        <v>161</v>
      </c>
      <c r="C77" s="63" t="s">
        <v>162</v>
      </c>
      <c r="D77" s="64">
        <v>1453</v>
      </c>
      <c r="E77" s="65">
        <v>802</v>
      </c>
      <c r="F77" s="65">
        <v>450</v>
      </c>
      <c r="G77" s="54">
        <f t="shared" si="3"/>
        <v>2705</v>
      </c>
    </row>
    <row r="78" spans="1:7" ht="11.25" customHeight="1" x14ac:dyDescent="0.25">
      <c r="A78" s="61">
        <v>71</v>
      </c>
      <c r="B78" s="62" t="s">
        <v>163</v>
      </c>
      <c r="C78" s="63" t="s">
        <v>164</v>
      </c>
      <c r="D78" s="64">
        <v>2685</v>
      </c>
      <c r="E78" s="65">
        <v>2644</v>
      </c>
      <c r="F78" s="65">
        <v>1203</v>
      </c>
      <c r="G78" s="54">
        <f t="shared" si="3"/>
        <v>6532</v>
      </c>
    </row>
    <row r="79" spans="1:7" ht="11.25" customHeight="1" x14ac:dyDescent="0.25">
      <c r="A79" s="61">
        <v>72</v>
      </c>
      <c r="B79" s="62" t="s">
        <v>165</v>
      </c>
      <c r="C79" s="63" t="s">
        <v>166</v>
      </c>
      <c r="D79" s="64">
        <v>347</v>
      </c>
      <c r="E79" s="65">
        <v>256</v>
      </c>
      <c r="F79" s="65">
        <v>144</v>
      </c>
      <c r="G79" s="54">
        <f t="shared" si="3"/>
        <v>747</v>
      </c>
    </row>
    <row r="80" spans="1:7" ht="11.25" customHeight="1" x14ac:dyDescent="0.25">
      <c r="A80" s="61">
        <v>73</v>
      </c>
      <c r="B80" s="62" t="s">
        <v>167</v>
      </c>
      <c r="C80" s="63" t="s">
        <v>168</v>
      </c>
      <c r="D80" s="64">
        <v>1638</v>
      </c>
      <c r="E80" s="65">
        <v>951</v>
      </c>
      <c r="F80" s="65">
        <v>533</v>
      </c>
      <c r="G80" s="54">
        <f t="shared" si="3"/>
        <v>3122</v>
      </c>
    </row>
    <row r="81" spans="1:7" ht="11.25" customHeight="1" x14ac:dyDescent="0.25">
      <c r="A81" s="61">
        <v>74</v>
      </c>
      <c r="B81" s="62" t="s">
        <v>169</v>
      </c>
      <c r="C81" s="63" t="s">
        <v>170</v>
      </c>
      <c r="D81" s="64">
        <v>3163</v>
      </c>
      <c r="E81" s="65">
        <v>2328</v>
      </c>
      <c r="F81" s="65">
        <v>1305</v>
      </c>
      <c r="G81" s="54">
        <f t="shared" si="3"/>
        <v>6796</v>
      </c>
    </row>
    <row r="82" spans="1:7" ht="11.25" customHeight="1" x14ac:dyDescent="0.25">
      <c r="A82" s="61">
        <v>75</v>
      </c>
      <c r="B82" s="62" t="s">
        <v>15</v>
      </c>
      <c r="C82" s="63" t="s">
        <v>180</v>
      </c>
      <c r="D82" s="64">
        <v>2780</v>
      </c>
      <c r="E82" s="65">
        <v>3037</v>
      </c>
      <c r="F82" s="65">
        <v>1919</v>
      </c>
      <c r="G82" s="54">
        <f t="shared" si="3"/>
        <v>7736</v>
      </c>
    </row>
    <row r="83" spans="1:7" ht="11.25" customHeight="1" x14ac:dyDescent="0.25">
      <c r="A83" s="61">
        <v>76</v>
      </c>
      <c r="B83" s="62" t="s">
        <v>181</v>
      </c>
      <c r="C83" s="63" t="s">
        <v>182</v>
      </c>
      <c r="D83" s="64">
        <v>3500</v>
      </c>
      <c r="E83" s="65">
        <v>0</v>
      </c>
      <c r="F83" s="65">
        <v>0</v>
      </c>
      <c r="G83" s="54">
        <f t="shared" si="3"/>
        <v>3500</v>
      </c>
    </row>
    <row r="84" spans="1:7" ht="11.25" customHeight="1" x14ac:dyDescent="0.25">
      <c r="A84" s="61">
        <v>77</v>
      </c>
      <c r="B84" s="62" t="s">
        <v>14</v>
      </c>
      <c r="C84" s="63" t="s">
        <v>13</v>
      </c>
      <c r="D84" s="64">
        <v>8500</v>
      </c>
      <c r="E84" s="65">
        <v>500</v>
      </c>
      <c r="F84" s="65">
        <v>255</v>
      </c>
      <c r="G84" s="54">
        <f t="shared" si="3"/>
        <v>9255</v>
      </c>
    </row>
    <row r="85" spans="1:7" ht="11.25" customHeight="1" x14ac:dyDescent="0.25">
      <c r="A85" s="61">
        <v>78</v>
      </c>
      <c r="B85" s="62" t="s">
        <v>10</v>
      </c>
      <c r="C85" s="63" t="s">
        <v>7</v>
      </c>
      <c r="D85" s="64">
        <v>2500</v>
      </c>
      <c r="E85" s="65">
        <v>0</v>
      </c>
      <c r="F85" s="65">
        <v>0</v>
      </c>
      <c r="G85" s="54">
        <f t="shared" si="3"/>
        <v>2500</v>
      </c>
    </row>
    <row r="86" spans="1:7" ht="11.25" customHeight="1" x14ac:dyDescent="0.25">
      <c r="A86" s="61">
        <v>79</v>
      </c>
      <c r="B86" s="62" t="s">
        <v>189</v>
      </c>
      <c r="C86" s="63" t="s">
        <v>190</v>
      </c>
      <c r="D86" s="64">
        <v>432</v>
      </c>
      <c r="E86" s="65">
        <v>850</v>
      </c>
      <c r="F86" s="65">
        <v>550</v>
      </c>
      <c r="G86" s="54">
        <f t="shared" si="3"/>
        <v>1832</v>
      </c>
    </row>
    <row r="87" spans="1:7" ht="11.25" customHeight="1" x14ac:dyDescent="0.25">
      <c r="A87" s="61">
        <v>80</v>
      </c>
      <c r="B87" s="62" t="s">
        <v>3</v>
      </c>
      <c r="C87" s="63" t="s">
        <v>191</v>
      </c>
      <c r="D87" s="64">
        <v>7422</v>
      </c>
      <c r="E87" s="65">
        <v>4417</v>
      </c>
      <c r="F87" s="65">
        <v>2477</v>
      </c>
      <c r="G87" s="54">
        <f t="shared" si="3"/>
        <v>14316</v>
      </c>
    </row>
  </sheetData>
  <mergeCells count="5">
    <mergeCell ref="A1:G1"/>
    <mergeCell ref="A3:A4"/>
    <mergeCell ref="B3:B4"/>
    <mergeCell ref="C3:C4"/>
    <mergeCell ref="D3:G3"/>
  </mergeCells>
  <pageMargins left="0.31496062992125984" right="0" top="0" bottom="0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3"/>
  <sheetViews>
    <sheetView zoomScale="80" zoomScaleNormal="80" zoomScaleSheetLayoutView="85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G13" sqref="G13"/>
    </sheetView>
  </sheetViews>
  <sheetFormatPr defaultRowHeight="15" x14ac:dyDescent="0.25"/>
  <cols>
    <col min="1" max="1" width="4" style="88" customWidth="1"/>
    <col min="2" max="2" width="8.28515625" style="88" customWidth="1"/>
    <col min="3" max="3" width="33.85546875" style="126" customWidth="1"/>
    <col min="4" max="4" width="8.7109375" style="124" customWidth="1"/>
    <col min="5" max="5" width="7.42578125" style="122" customWidth="1"/>
    <col min="6" max="6" width="8.85546875" style="88" customWidth="1"/>
    <col min="7" max="9" width="9" style="88" customWidth="1"/>
    <col min="10" max="10" width="8.7109375" style="88" customWidth="1"/>
    <col min="11" max="11" width="8.85546875" style="88" customWidth="1"/>
    <col min="12" max="12" width="8.85546875" style="91" customWidth="1"/>
    <col min="13" max="13" width="8.42578125" style="88" customWidth="1"/>
    <col min="14" max="14" width="9.28515625" style="88" customWidth="1"/>
    <col min="15" max="15" width="8.7109375" style="88" customWidth="1"/>
    <col min="16" max="16" width="8" style="88" customWidth="1"/>
    <col min="17" max="17" width="11.85546875" style="88" customWidth="1"/>
    <col min="18" max="19" width="11.42578125" style="88" customWidth="1"/>
    <col min="20" max="20" width="13.42578125" style="88" customWidth="1"/>
    <col min="21" max="21" width="12.140625" style="88" customWidth="1"/>
    <col min="22" max="22" width="12" style="88" customWidth="1"/>
    <col min="23" max="23" width="13.42578125" style="88" customWidth="1"/>
    <col min="24" max="24" width="7.28515625" style="88" customWidth="1"/>
    <col min="25" max="25" width="7.7109375" style="88" customWidth="1"/>
    <col min="26" max="16384" width="9.140625" style="88"/>
  </cols>
  <sheetData>
    <row r="1" spans="1:26" ht="27" customHeight="1" x14ac:dyDescent="0.25">
      <c r="A1" s="679" t="s">
        <v>241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9"/>
      <c r="W1" s="679"/>
      <c r="X1" s="679"/>
      <c r="Y1" s="679"/>
    </row>
    <row r="2" spans="1:26" ht="2.25" customHeight="1" thickBot="1" x14ac:dyDescent="0.3">
      <c r="C2" s="89"/>
      <c r="D2" s="90"/>
      <c r="E2" s="90"/>
      <c r="P2" s="92"/>
      <c r="Q2" s="92"/>
      <c r="R2" s="92"/>
      <c r="S2" s="92"/>
      <c r="T2" s="92"/>
      <c r="U2" s="92"/>
      <c r="V2" s="92"/>
      <c r="W2" s="680" t="s">
        <v>194</v>
      </c>
      <c r="X2" s="680"/>
      <c r="Y2" s="680"/>
    </row>
    <row r="3" spans="1:26" s="93" customFormat="1" ht="69.75" customHeight="1" x14ac:dyDescent="0.25">
      <c r="A3" s="681" t="s">
        <v>0</v>
      </c>
      <c r="B3" s="684" t="s">
        <v>219</v>
      </c>
      <c r="C3" s="687" t="s">
        <v>220</v>
      </c>
      <c r="D3" s="689" t="s">
        <v>242</v>
      </c>
      <c r="E3" s="690"/>
      <c r="F3" s="690"/>
      <c r="G3" s="690"/>
      <c r="H3" s="690"/>
      <c r="I3" s="690"/>
      <c r="J3" s="690"/>
      <c r="K3" s="691"/>
      <c r="L3" s="692" t="s">
        <v>243</v>
      </c>
      <c r="M3" s="693"/>
      <c r="N3" s="693"/>
      <c r="O3" s="693"/>
      <c r="P3" s="694"/>
      <c r="Q3" s="692" t="s">
        <v>244</v>
      </c>
      <c r="R3" s="693"/>
      <c r="S3" s="693"/>
      <c r="T3" s="693"/>
      <c r="U3" s="693"/>
      <c r="V3" s="693"/>
      <c r="W3" s="693"/>
      <c r="X3" s="695"/>
      <c r="Y3" s="694"/>
    </row>
    <row r="4" spans="1:26" s="93" customFormat="1" ht="69.75" customHeight="1" x14ac:dyDescent="0.25">
      <c r="A4" s="682"/>
      <c r="B4" s="685"/>
      <c r="C4" s="688"/>
      <c r="D4" s="696" t="s">
        <v>245</v>
      </c>
      <c r="E4" s="698" t="s">
        <v>246</v>
      </c>
      <c r="F4" s="94" t="s">
        <v>247</v>
      </c>
      <c r="G4" s="688" t="s">
        <v>248</v>
      </c>
      <c r="H4" s="688"/>
      <c r="I4" s="688"/>
      <c r="J4" s="698" t="s">
        <v>249</v>
      </c>
      <c r="K4" s="699" t="s">
        <v>1</v>
      </c>
      <c r="L4" s="701" t="s">
        <v>250</v>
      </c>
      <c r="M4" s="674" t="s">
        <v>251</v>
      </c>
      <c r="N4" s="674" t="s">
        <v>252</v>
      </c>
      <c r="O4" s="674" t="s">
        <v>253</v>
      </c>
      <c r="P4" s="676" t="s">
        <v>1</v>
      </c>
      <c r="Q4" s="677" t="s">
        <v>254</v>
      </c>
      <c r="R4" s="668" t="s">
        <v>255</v>
      </c>
      <c r="S4" s="668" t="s">
        <v>256</v>
      </c>
      <c r="T4" s="668" t="s">
        <v>257</v>
      </c>
      <c r="U4" s="668" t="s">
        <v>258</v>
      </c>
      <c r="V4" s="668" t="s">
        <v>259</v>
      </c>
      <c r="W4" s="670" t="s">
        <v>260</v>
      </c>
      <c r="X4" s="672" t="s">
        <v>261</v>
      </c>
      <c r="Y4" s="666" t="s">
        <v>1</v>
      </c>
    </row>
    <row r="5" spans="1:26" s="93" customFormat="1" ht="59.25" customHeight="1" x14ac:dyDescent="0.25">
      <c r="A5" s="683"/>
      <c r="B5" s="686"/>
      <c r="C5" s="688"/>
      <c r="D5" s="697"/>
      <c r="E5" s="686"/>
      <c r="F5" s="95" t="s">
        <v>262</v>
      </c>
      <c r="G5" s="96" t="s">
        <v>263</v>
      </c>
      <c r="H5" s="96" t="s">
        <v>264</v>
      </c>
      <c r="I5" s="96" t="s">
        <v>265</v>
      </c>
      <c r="J5" s="686"/>
      <c r="K5" s="700"/>
      <c r="L5" s="702"/>
      <c r="M5" s="675"/>
      <c r="N5" s="675"/>
      <c r="O5" s="675"/>
      <c r="P5" s="667"/>
      <c r="Q5" s="678"/>
      <c r="R5" s="669"/>
      <c r="S5" s="669"/>
      <c r="T5" s="669"/>
      <c r="U5" s="669"/>
      <c r="V5" s="669"/>
      <c r="W5" s="671"/>
      <c r="X5" s="673"/>
      <c r="Y5" s="667"/>
    </row>
    <row r="6" spans="1:26" s="110" customFormat="1" ht="12.75" customHeight="1" x14ac:dyDescent="0.25">
      <c r="A6" s="97"/>
      <c r="B6" s="98"/>
      <c r="C6" s="99" t="s">
        <v>1</v>
      </c>
      <c r="D6" s="100">
        <f>D7+D8</f>
        <v>166788</v>
      </c>
      <c r="E6" s="101">
        <f t="shared" ref="E6:Y6" si="0">E7+E8</f>
        <v>6057</v>
      </c>
      <c r="F6" s="102">
        <f t="shared" si="0"/>
        <v>15321</v>
      </c>
      <c r="G6" s="103">
        <f t="shared" si="0"/>
        <v>6355</v>
      </c>
      <c r="H6" s="103">
        <f t="shared" si="0"/>
        <v>832</v>
      </c>
      <c r="I6" s="103">
        <f t="shared" si="0"/>
        <v>1233</v>
      </c>
      <c r="J6" s="101">
        <f t="shared" si="0"/>
        <v>23741</v>
      </c>
      <c r="K6" s="104">
        <f t="shared" si="0"/>
        <v>196586</v>
      </c>
      <c r="L6" s="105">
        <f t="shared" si="0"/>
        <v>2600</v>
      </c>
      <c r="M6" s="106">
        <f t="shared" si="0"/>
        <v>12740</v>
      </c>
      <c r="N6" s="106">
        <f t="shared" si="0"/>
        <v>28896</v>
      </c>
      <c r="O6" s="106">
        <f t="shared" si="0"/>
        <v>13023</v>
      </c>
      <c r="P6" s="107">
        <f t="shared" si="0"/>
        <v>57259</v>
      </c>
      <c r="Q6" s="108">
        <f t="shared" si="0"/>
        <v>220</v>
      </c>
      <c r="R6" s="109">
        <f t="shared" si="0"/>
        <v>568</v>
      </c>
      <c r="S6" s="109">
        <f t="shared" si="0"/>
        <v>380</v>
      </c>
      <c r="T6" s="109">
        <f t="shared" si="0"/>
        <v>485</v>
      </c>
      <c r="U6" s="109">
        <f t="shared" si="0"/>
        <v>555</v>
      </c>
      <c r="V6" s="109">
        <f t="shared" si="0"/>
        <v>1433</v>
      </c>
      <c r="W6" s="109">
        <f t="shared" si="0"/>
        <v>1088</v>
      </c>
      <c r="X6" s="109">
        <f t="shared" si="0"/>
        <v>9</v>
      </c>
      <c r="Y6" s="107">
        <f t="shared" si="0"/>
        <v>4738</v>
      </c>
    </row>
    <row r="7" spans="1:26" s="110" customFormat="1" ht="12.75" customHeight="1" x14ac:dyDescent="0.25">
      <c r="A7" s="97"/>
      <c r="B7" s="98"/>
      <c r="C7" s="111" t="s">
        <v>19</v>
      </c>
      <c r="D7" s="100">
        <v>0</v>
      </c>
      <c r="E7" s="101">
        <v>0</v>
      </c>
      <c r="F7" s="102">
        <v>0</v>
      </c>
      <c r="G7" s="103">
        <v>0</v>
      </c>
      <c r="H7" s="103">
        <v>0</v>
      </c>
      <c r="I7" s="103">
        <v>0</v>
      </c>
      <c r="J7" s="101">
        <v>0</v>
      </c>
      <c r="K7" s="104">
        <v>0</v>
      </c>
      <c r="L7" s="105">
        <v>0</v>
      </c>
      <c r="M7" s="106">
        <v>0</v>
      </c>
      <c r="N7" s="106">
        <v>0</v>
      </c>
      <c r="O7" s="106">
        <v>0</v>
      </c>
      <c r="P7" s="107">
        <v>0</v>
      </c>
      <c r="Q7" s="108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7">
        <v>0</v>
      </c>
    </row>
    <row r="8" spans="1:26" s="110" customFormat="1" ht="12.75" customHeight="1" x14ac:dyDescent="0.25">
      <c r="A8" s="97"/>
      <c r="B8" s="98"/>
      <c r="C8" s="111" t="s">
        <v>20</v>
      </c>
      <c r="D8" s="100">
        <f>SUM(D9:D102)</f>
        <v>166788</v>
      </c>
      <c r="E8" s="101">
        <f t="shared" ref="E8:Y8" si="1">SUM(E9:E102)</f>
        <v>6057</v>
      </c>
      <c r="F8" s="102">
        <f t="shared" si="1"/>
        <v>15321</v>
      </c>
      <c r="G8" s="103">
        <f t="shared" si="1"/>
        <v>6355</v>
      </c>
      <c r="H8" s="103">
        <f t="shared" si="1"/>
        <v>832</v>
      </c>
      <c r="I8" s="103">
        <f t="shared" si="1"/>
        <v>1233</v>
      </c>
      <c r="J8" s="101">
        <f t="shared" si="1"/>
        <v>23741</v>
      </c>
      <c r="K8" s="104">
        <f t="shared" si="1"/>
        <v>196586</v>
      </c>
      <c r="L8" s="105">
        <f t="shared" si="1"/>
        <v>2600</v>
      </c>
      <c r="M8" s="106">
        <f t="shared" si="1"/>
        <v>12740</v>
      </c>
      <c r="N8" s="106">
        <f t="shared" si="1"/>
        <v>28896</v>
      </c>
      <c r="O8" s="106">
        <f t="shared" si="1"/>
        <v>13023</v>
      </c>
      <c r="P8" s="107">
        <f t="shared" si="1"/>
        <v>57259</v>
      </c>
      <c r="Q8" s="108">
        <f t="shared" si="1"/>
        <v>220</v>
      </c>
      <c r="R8" s="109">
        <f t="shared" si="1"/>
        <v>568</v>
      </c>
      <c r="S8" s="109">
        <f t="shared" si="1"/>
        <v>380</v>
      </c>
      <c r="T8" s="109">
        <f t="shared" si="1"/>
        <v>485</v>
      </c>
      <c r="U8" s="109">
        <f t="shared" si="1"/>
        <v>555</v>
      </c>
      <c r="V8" s="109">
        <f t="shared" si="1"/>
        <v>1433</v>
      </c>
      <c r="W8" s="109">
        <f t="shared" si="1"/>
        <v>1088</v>
      </c>
      <c r="X8" s="109">
        <f t="shared" si="1"/>
        <v>9</v>
      </c>
      <c r="Y8" s="112">
        <f t="shared" si="1"/>
        <v>4738</v>
      </c>
    </row>
    <row r="9" spans="1:26" s="93" customFormat="1" ht="13.5" customHeight="1" x14ac:dyDescent="0.25">
      <c r="A9" s="113">
        <v>1</v>
      </c>
      <c r="B9" s="114" t="s">
        <v>21</v>
      </c>
      <c r="C9" s="115" t="s">
        <v>22</v>
      </c>
      <c r="D9" s="100">
        <v>689</v>
      </c>
      <c r="E9" s="101"/>
      <c r="F9" s="116"/>
      <c r="G9" s="103"/>
      <c r="H9" s="103"/>
      <c r="I9" s="103"/>
      <c r="J9" s="101"/>
      <c r="K9" s="117">
        <f>D9+E9+J9</f>
        <v>689</v>
      </c>
      <c r="L9" s="100"/>
      <c r="M9" s="118"/>
      <c r="N9" s="118"/>
      <c r="O9" s="118"/>
      <c r="P9" s="119"/>
      <c r="Q9" s="97"/>
      <c r="R9" s="101"/>
      <c r="S9" s="101"/>
      <c r="T9" s="101"/>
      <c r="U9" s="101"/>
      <c r="V9" s="101"/>
      <c r="W9" s="101"/>
      <c r="X9" s="120"/>
      <c r="Y9" s="107"/>
      <c r="Z9" s="110"/>
    </row>
    <row r="10" spans="1:26" s="93" customFormat="1" ht="13.5" customHeight="1" x14ac:dyDescent="0.25">
      <c r="A10" s="113">
        <v>2</v>
      </c>
      <c r="B10" s="114" t="s">
        <v>23</v>
      </c>
      <c r="C10" s="115" t="s">
        <v>195</v>
      </c>
      <c r="D10" s="100">
        <v>708</v>
      </c>
      <c r="E10" s="101"/>
      <c r="F10" s="116"/>
      <c r="G10" s="103"/>
      <c r="H10" s="103"/>
      <c r="I10" s="103"/>
      <c r="J10" s="101"/>
      <c r="K10" s="117">
        <f t="shared" ref="K10:K74" si="2">D10+E10+J10</f>
        <v>708</v>
      </c>
      <c r="L10" s="100"/>
      <c r="M10" s="118"/>
      <c r="N10" s="118"/>
      <c r="O10" s="118"/>
      <c r="P10" s="119"/>
      <c r="Q10" s="97"/>
      <c r="R10" s="101"/>
      <c r="S10" s="101"/>
      <c r="T10" s="101"/>
      <c r="U10" s="101"/>
      <c r="V10" s="101"/>
      <c r="W10" s="101"/>
      <c r="X10" s="120"/>
      <c r="Y10" s="107"/>
    </row>
    <row r="11" spans="1:26" s="93" customFormat="1" ht="13.5" customHeight="1" x14ac:dyDescent="0.25">
      <c r="A11" s="113">
        <v>3</v>
      </c>
      <c r="B11" s="114" t="s">
        <v>24</v>
      </c>
      <c r="C11" s="115" t="s">
        <v>25</v>
      </c>
      <c r="D11" s="100">
        <v>2000</v>
      </c>
      <c r="E11" s="101">
        <v>106</v>
      </c>
      <c r="F11" s="116">
        <v>334</v>
      </c>
      <c r="G11" s="103"/>
      <c r="H11" s="103"/>
      <c r="I11" s="103"/>
      <c r="J11" s="101">
        <f t="shared" ref="J11:J49" si="3">F11+G11+H11+I11</f>
        <v>334</v>
      </c>
      <c r="K11" s="117">
        <f t="shared" si="2"/>
        <v>2440</v>
      </c>
      <c r="L11" s="100">
        <f>8+203</f>
        <v>211</v>
      </c>
      <c r="M11" s="118">
        <v>183</v>
      </c>
      <c r="N11" s="118">
        <f>536-136</f>
        <v>400</v>
      </c>
      <c r="O11" s="118">
        <v>99</v>
      </c>
      <c r="P11" s="119">
        <f t="shared" ref="P11:P48" si="4">L11+M11+N11+O11</f>
        <v>893</v>
      </c>
      <c r="Q11" s="97"/>
      <c r="R11" s="101"/>
      <c r="S11" s="101"/>
      <c r="T11" s="101"/>
      <c r="U11" s="101"/>
      <c r="V11" s="101"/>
      <c r="W11" s="101"/>
      <c r="X11" s="120"/>
      <c r="Y11" s="107"/>
    </row>
    <row r="12" spans="1:26" s="93" customFormat="1" ht="13.5" customHeight="1" x14ac:dyDescent="0.25">
      <c r="A12" s="113">
        <v>4</v>
      </c>
      <c r="B12" s="114" t="s">
        <v>26</v>
      </c>
      <c r="C12" s="115" t="s">
        <v>196</v>
      </c>
      <c r="D12" s="100">
        <v>1105</v>
      </c>
      <c r="E12" s="101"/>
      <c r="F12" s="116"/>
      <c r="G12" s="103"/>
      <c r="H12" s="103"/>
      <c r="I12" s="103"/>
      <c r="J12" s="101"/>
      <c r="K12" s="117">
        <f t="shared" si="2"/>
        <v>1105</v>
      </c>
      <c r="L12" s="100"/>
      <c r="M12" s="118"/>
      <c r="N12" s="118"/>
      <c r="O12" s="118"/>
      <c r="P12" s="119"/>
      <c r="Q12" s="97"/>
      <c r="R12" s="101"/>
      <c r="S12" s="101"/>
      <c r="T12" s="101"/>
      <c r="U12" s="101"/>
      <c r="V12" s="101"/>
      <c r="W12" s="101"/>
      <c r="X12" s="120"/>
      <c r="Y12" s="107"/>
    </row>
    <row r="13" spans="1:26" s="93" customFormat="1" ht="13.5" customHeight="1" x14ac:dyDescent="0.25">
      <c r="A13" s="113">
        <v>5</v>
      </c>
      <c r="B13" s="114" t="s">
        <v>27</v>
      </c>
      <c r="C13" s="115" t="s">
        <v>28</v>
      </c>
      <c r="D13" s="100">
        <v>822</v>
      </c>
      <c r="E13" s="101">
        <v>26</v>
      </c>
      <c r="F13" s="116">
        <v>81</v>
      </c>
      <c r="G13" s="103"/>
      <c r="H13" s="103"/>
      <c r="I13" s="103"/>
      <c r="J13" s="101">
        <f t="shared" si="3"/>
        <v>81</v>
      </c>
      <c r="K13" s="117">
        <f t="shared" si="2"/>
        <v>929</v>
      </c>
      <c r="L13" s="100"/>
      <c r="M13" s="118"/>
      <c r="N13" s="118"/>
      <c r="O13" s="118"/>
      <c r="P13" s="119"/>
      <c r="Q13" s="97"/>
      <c r="R13" s="101"/>
      <c r="S13" s="101"/>
      <c r="T13" s="101"/>
      <c r="U13" s="101"/>
      <c r="V13" s="101"/>
      <c r="W13" s="101"/>
      <c r="X13" s="120"/>
      <c r="Y13" s="107"/>
    </row>
    <row r="14" spans="1:26" s="93" customFormat="1" ht="13.5" customHeight="1" x14ac:dyDescent="0.25">
      <c r="A14" s="113">
        <v>6</v>
      </c>
      <c r="B14" s="114" t="s">
        <v>4</v>
      </c>
      <c r="C14" s="115" t="s">
        <v>29</v>
      </c>
      <c r="D14" s="100">
        <v>2351</v>
      </c>
      <c r="E14" s="101">
        <v>99</v>
      </c>
      <c r="F14" s="116">
        <v>319</v>
      </c>
      <c r="G14" s="103">
        <v>425</v>
      </c>
      <c r="H14" s="103">
        <v>60</v>
      </c>
      <c r="I14" s="103">
        <v>66</v>
      </c>
      <c r="J14" s="101">
        <f t="shared" si="3"/>
        <v>870</v>
      </c>
      <c r="K14" s="117">
        <f t="shared" si="2"/>
        <v>3320</v>
      </c>
      <c r="L14" s="100">
        <f>16+19</f>
        <v>35</v>
      </c>
      <c r="M14" s="118">
        <f>333-73</f>
        <v>260</v>
      </c>
      <c r="N14" s="118">
        <f>985+300</f>
        <v>1285</v>
      </c>
      <c r="O14" s="118">
        <f>182+618</f>
        <v>800</v>
      </c>
      <c r="P14" s="119">
        <f t="shared" si="4"/>
        <v>2380</v>
      </c>
      <c r="Q14" s="97"/>
      <c r="R14" s="101"/>
      <c r="S14" s="101"/>
      <c r="T14" s="101"/>
      <c r="U14" s="101"/>
      <c r="V14" s="101"/>
      <c r="W14" s="101"/>
      <c r="X14" s="120"/>
      <c r="Y14" s="107"/>
    </row>
    <row r="15" spans="1:26" s="93" customFormat="1" ht="13.5" customHeight="1" x14ac:dyDescent="0.25">
      <c r="A15" s="113">
        <v>7</v>
      </c>
      <c r="B15" s="114" t="s">
        <v>30</v>
      </c>
      <c r="C15" s="115" t="s">
        <v>197</v>
      </c>
      <c r="D15" s="100">
        <v>2077</v>
      </c>
      <c r="E15" s="101">
        <v>66</v>
      </c>
      <c r="F15" s="116">
        <v>204</v>
      </c>
      <c r="G15" s="103">
        <v>173</v>
      </c>
      <c r="H15" s="103">
        <v>26</v>
      </c>
      <c r="I15" s="103">
        <v>30</v>
      </c>
      <c r="J15" s="101">
        <f t="shared" si="3"/>
        <v>433</v>
      </c>
      <c r="K15" s="117">
        <f t="shared" si="2"/>
        <v>2576</v>
      </c>
      <c r="L15" s="100"/>
      <c r="M15" s="118"/>
      <c r="N15" s="118"/>
      <c r="O15" s="118"/>
      <c r="P15" s="119"/>
      <c r="Q15" s="97"/>
      <c r="R15" s="101"/>
      <c r="S15" s="101"/>
      <c r="T15" s="101"/>
      <c r="U15" s="101"/>
      <c r="V15" s="101"/>
      <c r="W15" s="101"/>
      <c r="X15" s="120"/>
      <c r="Y15" s="107"/>
    </row>
    <row r="16" spans="1:26" s="93" customFormat="1" ht="13.5" customHeight="1" x14ac:dyDescent="0.25">
      <c r="A16" s="113">
        <v>8</v>
      </c>
      <c r="B16" s="114" t="s">
        <v>31</v>
      </c>
      <c r="C16" s="115" t="s">
        <v>32</v>
      </c>
      <c r="D16" s="100">
        <v>0</v>
      </c>
      <c r="E16" s="101"/>
      <c r="F16" s="116">
        <v>85</v>
      </c>
      <c r="G16" s="103"/>
      <c r="H16" s="103"/>
      <c r="I16" s="103"/>
      <c r="J16" s="101">
        <f t="shared" si="3"/>
        <v>85</v>
      </c>
      <c r="K16" s="117">
        <f t="shared" si="2"/>
        <v>85</v>
      </c>
      <c r="L16" s="100"/>
      <c r="M16" s="118"/>
      <c r="N16" s="118"/>
      <c r="O16" s="118"/>
      <c r="P16" s="119"/>
      <c r="Q16" s="97"/>
      <c r="R16" s="101"/>
      <c r="S16" s="101"/>
      <c r="T16" s="101"/>
      <c r="U16" s="101"/>
      <c r="V16" s="101"/>
      <c r="W16" s="101"/>
      <c r="X16" s="120"/>
      <c r="Y16" s="107"/>
    </row>
    <row r="17" spans="1:25" s="93" customFormat="1" ht="13.5" customHeight="1" x14ac:dyDescent="0.25">
      <c r="A17" s="113">
        <v>9</v>
      </c>
      <c r="B17" s="114" t="s">
        <v>33</v>
      </c>
      <c r="C17" s="115" t="s">
        <v>34</v>
      </c>
      <c r="D17" s="100">
        <v>770</v>
      </c>
      <c r="E17" s="101"/>
      <c r="F17" s="116">
        <v>49</v>
      </c>
      <c r="G17" s="103"/>
      <c r="H17" s="103"/>
      <c r="I17" s="103"/>
      <c r="J17" s="101">
        <f t="shared" si="3"/>
        <v>49</v>
      </c>
      <c r="K17" s="117">
        <f t="shared" si="2"/>
        <v>819</v>
      </c>
      <c r="L17" s="100"/>
      <c r="M17" s="118"/>
      <c r="N17" s="118"/>
      <c r="O17" s="118"/>
      <c r="P17" s="119"/>
      <c r="Q17" s="97"/>
      <c r="R17" s="101"/>
      <c r="S17" s="101"/>
      <c r="T17" s="101"/>
      <c r="U17" s="101"/>
      <c r="V17" s="101"/>
      <c r="W17" s="101"/>
      <c r="X17" s="120"/>
      <c r="Y17" s="107"/>
    </row>
    <row r="18" spans="1:25" s="93" customFormat="1" ht="13.5" customHeight="1" x14ac:dyDescent="0.25">
      <c r="A18" s="113">
        <v>10</v>
      </c>
      <c r="B18" s="114" t="s">
        <v>35</v>
      </c>
      <c r="C18" s="115" t="s">
        <v>36</v>
      </c>
      <c r="D18" s="100">
        <v>998</v>
      </c>
      <c r="E18" s="101"/>
      <c r="F18" s="116"/>
      <c r="G18" s="103"/>
      <c r="H18" s="103"/>
      <c r="I18" s="103"/>
      <c r="J18" s="101"/>
      <c r="K18" s="117">
        <f t="shared" si="2"/>
        <v>998</v>
      </c>
      <c r="L18" s="100"/>
      <c r="M18" s="118"/>
      <c r="N18" s="118"/>
      <c r="O18" s="118"/>
      <c r="P18" s="119"/>
      <c r="Q18" s="97"/>
      <c r="R18" s="101"/>
      <c r="S18" s="101"/>
      <c r="T18" s="101"/>
      <c r="U18" s="101"/>
      <c r="V18" s="101"/>
      <c r="W18" s="101"/>
      <c r="X18" s="120"/>
      <c r="Y18" s="107"/>
    </row>
    <row r="19" spans="1:25" s="93" customFormat="1" ht="13.5" customHeight="1" x14ac:dyDescent="0.25">
      <c r="A19" s="113">
        <v>11</v>
      </c>
      <c r="B19" s="114" t="s">
        <v>37</v>
      </c>
      <c r="C19" s="115" t="s">
        <v>38</v>
      </c>
      <c r="D19" s="100">
        <v>769</v>
      </c>
      <c r="E19" s="101"/>
      <c r="F19" s="116">
        <v>76</v>
      </c>
      <c r="G19" s="103"/>
      <c r="H19" s="103"/>
      <c r="I19" s="103"/>
      <c r="J19" s="101">
        <f t="shared" si="3"/>
        <v>76</v>
      </c>
      <c r="K19" s="117">
        <f t="shared" si="2"/>
        <v>845</v>
      </c>
      <c r="L19" s="100"/>
      <c r="M19" s="118"/>
      <c r="N19" s="118"/>
      <c r="O19" s="118"/>
      <c r="P19" s="119"/>
      <c r="Q19" s="97"/>
      <c r="R19" s="101"/>
      <c r="S19" s="101"/>
      <c r="T19" s="101"/>
      <c r="U19" s="101"/>
      <c r="V19" s="101"/>
      <c r="W19" s="101"/>
      <c r="X19" s="120"/>
      <c r="Y19" s="107"/>
    </row>
    <row r="20" spans="1:25" s="93" customFormat="1" ht="13.5" customHeight="1" x14ac:dyDescent="0.25">
      <c r="A20" s="113">
        <v>12</v>
      </c>
      <c r="B20" s="114" t="s">
        <v>39</v>
      </c>
      <c r="C20" s="115" t="s">
        <v>40</v>
      </c>
      <c r="D20" s="100">
        <v>1570</v>
      </c>
      <c r="E20" s="101"/>
      <c r="F20" s="116">
        <v>154</v>
      </c>
      <c r="G20" s="103"/>
      <c r="H20" s="103"/>
      <c r="I20" s="103"/>
      <c r="J20" s="101">
        <f t="shared" si="3"/>
        <v>154</v>
      </c>
      <c r="K20" s="117">
        <f t="shared" si="2"/>
        <v>1724</v>
      </c>
      <c r="L20" s="100"/>
      <c r="M20" s="118"/>
      <c r="N20" s="118"/>
      <c r="O20" s="118"/>
      <c r="P20" s="119"/>
      <c r="Q20" s="97"/>
      <c r="R20" s="101"/>
      <c r="S20" s="101"/>
      <c r="T20" s="101"/>
      <c r="U20" s="101"/>
      <c r="V20" s="101"/>
      <c r="W20" s="101"/>
      <c r="X20" s="120"/>
      <c r="Y20" s="107"/>
    </row>
    <row r="21" spans="1:25" s="93" customFormat="1" ht="13.5" customHeight="1" x14ac:dyDescent="0.25">
      <c r="A21" s="113">
        <v>13</v>
      </c>
      <c r="B21" s="114" t="s">
        <v>41</v>
      </c>
      <c r="C21" s="115" t="s">
        <v>42</v>
      </c>
      <c r="D21" s="100">
        <v>995</v>
      </c>
      <c r="E21" s="101"/>
      <c r="F21" s="116">
        <v>98</v>
      </c>
      <c r="G21" s="103">
        <v>89</v>
      </c>
      <c r="H21" s="103"/>
      <c r="I21" s="103"/>
      <c r="J21" s="101">
        <f t="shared" si="3"/>
        <v>187</v>
      </c>
      <c r="K21" s="117">
        <f t="shared" si="2"/>
        <v>1182</v>
      </c>
      <c r="L21" s="100"/>
      <c r="M21" s="118"/>
      <c r="N21" s="118"/>
      <c r="O21" s="118"/>
      <c r="P21" s="119"/>
      <c r="Q21" s="97"/>
      <c r="R21" s="101"/>
      <c r="S21" s="101"/>
      <c r="T21" s="101"/>
      <c r="U21" s="101"/>
      <c r="V21" s="101"/>
      <c r="W21" s="101"/>
      <c r="X21" s="120"/>
      <c r="Y21" s="107"/>
    </row>
    <row r="22" spans="1:25" s="93" customFormat="1" ht="13.5" customHeight="1" x14ac:dyDescent="0.25">
      <c r="A22" s="113">
        <v>14</v>
      </c>
      <c r="B22" s="114" t="s">
        <v>43</v>
      </c>
      <c r="C22" s="115" t="s">
        <v>44</v>
      </c>
      <c r="D22" s="100">
        <v>1351</v>
      </c>
      <c r="E22" s="101"/>
      <c r="F22" s="116">
        <v>0</v>
      </c>
      <c r="G22" s="103"/>
      <c r="H22" s="103"/>
      <c r="I22" s="103"/>
      <c r="J22" s="101">
        <f t="shared" si="3"/>
        <v>0</v>
      </c>
      <c r="K22" s="117">
        <f t="shared" si="2"/>
        <v>1351</v>
      </c>
      <c r="L22" s="100"/>
      <c r="M22" s="118"/>
      <c r="N22" s="118"/>
      <c r="O22" s="118"/>
      <c r="P22" s="119"/>
      <c r="Q22" s="97"/>
      <c r="R22" s="101"/>
      <c r="S22" s="101"/>
      <c r="T22" s="101"/>
      <c r="U22" s="101"/>
      <c r="V22" s="101"/>
      <c r="W22" s="101"/>
      <c r="X22" s="120"/>
      <c r="Y22" s="107"/>
    </row>
    <row r="23" spans="1:25" s="93" customFormat="1" ht="13.5" customHeight="1" x14ac:dyDescent="0.25">
      <c r="A23" s="113">
        <v>15</v>
      </c>
      <c r="B23" s="114" t="s">
        <v>45</v>
      </c>
      <c r="C23" s="115" t="s">
        <v>198</v>
      </c>
      <c r="D23" s="100">
        <v>1846</v>
      </c>
      <c r="E23" s="101">
        <v>58</v>
      </c>
      <c r="F23" s="116">
        <v>208</v>
      </c>
      <c r="G23" s="103"/>
      <c r="H23" s="103"/>
      <c r="I23" s="103"/>
      <c r="J23" s="101">
        <f t="shared" si="3"/>
        <v>208</v>
      </c>
      <c r="K23" s="117">
        <f t="shared" si="2"/>
        <v>2112</v>
      </c>
      <c r="L23" s="100"/>
      <c r="M23" s="118"/>
      <c r="N23" s="118"/>
      <c r="O23" s="118"/>
      <c r="P23" s="119"/>
      <c r="Q23" s="97"/>
      <c r="R23" s="101"/>
      <c r="S23" s="101"/>
      <c r="T23" s="101"/>
      <c r="U23" s="101"/>
      <c r="V23" s="101"/>
      <c r="W23" s="101"/>
      <c r="X23" s="120"/>
      <c r="Y23" s="107"/>
    </row>
    <row r="24" spans="1:25" s="93" customFormat="1" ht="13.5" customHeight="1" x14ac:dyDescent="0.25">
      <c r="A24" s="113">
        <v>16</v>
      </c>
      <c r="B24" s="114" t="s">
        <v>46</v>
      </c>
      <c r="C24" s="115" t="s">
        <v>47</v>
      </c>
      <c r="D24" s="100">
        <v>3246</v>
      </c>
      <c r="E24" s="101">
        <v>121</v>
      </c>
      <c r="F24" s="116">
        <v>401</v>
      </c>
      <c r="G24" s="103">
        <v>344</v>
      </c>
      <c r="H24" s="103">
        <v>48</v>
      </c>
      <c r="I24" s="103">
        <v>31</v>
      </c>
      <c r="J24" s="101">
        <f t="shared" si="3"/>
        <v>824</v>
      </c>
      <c r="K24" s="117">
        <f t="shared" si="2"/>
        <v>4191</v>
      </c>
      <c r="L24" s="100">
        <f>13+7</f>
        <v>20</v>
      </c>
      <c r="M24" s="118">
        <v>311</v>
      </c>
      <c r="N24" s="118">
        <f>915-370</f>
        <v>545</v>
      </c>
      <c r="O24" s="118">
        <f>171-146</f>
        <v>25</v>
      </c>
      <c r="P24" s="119">
        <f t="shared" si="4"/>
        <v>901</v>
      </c>
      <c r="Q24" s="97"/>
      <c r="R24" s="101"/>
      <c r="S24" s="101"/>
      <c r="T24" s="101"/>
      <c r="U24" s="101"/>
      <c r="V24" s="101"/>
      <c r="W24" s="101"/>
      <c r="X24" s="120"/>
      <c r="Y24" s="107"/>
    </row>
    <row r="25" spans="1:25" s="93" customFormat="1" ht="13.5" customHeight="1" x14ac:dyDescent="0.25">
      <c r="A25" s="113">
        <v>17</v>
      </c>
      <c r="B25" s="114" t="s">
        <v>48</v>
      </c>
      <c r="C25" s="115" t="s">
        <v>49</v>
      </c>
      <c r="D25" s="100">
        <v>544</v>
      </c>
      <c r="E25" s="101"/>
      <c r="F25" s="116"/>
      <c r="G25" s="103"/>
      <c r="H25" s="103"/>
      <c r="I25" s="103"/>
      <c r="J25" s="101"/>
      <c r="K25" s="117">
        <f t="shared" si="2"/>
        <v>544</v>
      </c>
      <c r="L25" s="100"/>
      <c r="M25" s="118"/>
      <c r="N25" s="118"/>
      <c r="O25" s="118"/>
      <c r="P25" s="119"/>
      <c r="Q25" s="97"/>
      <c r="R25" s="101"/>
      <c r="S25" s="101"/>
      <c r="T25" s="101"/>
      <c r="U25" s="101"/>
      <c r="V25" s="101"/>
      <c r="W25" s="101"/>
      <c r="X25" s="120"/>
      <c r="Y25" s="107"/>
    </row>
    <row r="26" spans="1:25" s="93" customFormat="1" ht="13.5" customHeight="1" x14ac:dyDescent="0.25">
      <c r="A26" s="113">
        <v>18</v>
      </c>
      <c r="B26" s="114" t="s">
        <v>50</v>
      </c>
      <c r="C26" s="115" t="s">
        <v>199</v>
      </c>
      <c r="D26" s="100">
        <v>0</v>
      </c>
      <c r="E26" s="101"/>
      <c r="F26" s="116">
        <v>0</v>
      </c>
      <c r="G26" s="103"/>
      <c r="H26" s="103"/>
      <c r="I26" s="103"/>
      <c r="J26" s="101">
        <f t="shared" si="3"/>
        <v>0</v>
      </c>
      <c r="K26" s="117">
        <f t="shared" si="2"/>
        <v>0</v>
      </c>
      <c r="L26" s="100"/>
      <c r="M26" s="118"/>
      <c r="N26" s="118"/>
      <c r="O26" s="118"/>
      <c r="P26" s="119"/>
      <c r="Q26" s="97"/>
      <c r="R26" s="101"/>
      <c r="S26" s="101"/>
      <c r="T26" s="101"/>
      <c r="U26" s="101"/>
      <c r="V26" s="101"/>
      <c r="W26" s="101"/>
      <c r="X26" s="120"/>
      <c r="Y26" s="107"/>
    </row>
    <row r="27" spans="1:25" s="93" customFormat="1" ht="13.5" customHeight="1" x14ac:dyDescent="0.25">
      <c r="A27" s="113">
        <v>19</v>
      </c>
      <c r="B27" s="114" t="s">
        <v>51</v>
      </c>
      <c r="C27" s="115" t="s">
        <v>52</v>
      </c>
      <c r="D27" s="100">
        <v>2443</v>
      </c>
      <c r="E27" s="101">
        <v>53</v>
      </c>
      <c r="F27" s="116">
        <v>240</v>
      </c>
      <c r="G27" s="103">
        <v>110</v>
      </c>
      <c r="H27" s="103">
        <v>16</v>
      </c>
      <c r="I27" s="103">
        <v>11</v>
      </c>
      <c r="J27" s="101">
        <f t="shared" si="3"/>
        <v>377</v>
      </c>
      <c r="K27" s="117">
        <f t="shared" si="2"/>
        <v>2873</v>
      </c>
      <c r="L27" s="100">
        <f>5-4-1</f>
        <v>0</v>
      </c>
      <c r="M27" s="118">
        <f>127-92</f>
        <v>35</v>
      </c>
      <c r="N27" s="118">
        <f>373-317</f>
        <v>56</v>
      </c>
      <c r="O27" s="118">
        <f>69-55</f>
        <v>14</v>
      </c>
      <c r="P27" s="119">
        <f t="shared" si="4"/>
        <v>105</v>
      </c>
      <c r="Q27" s="97"/>
      <c r="R27" s="101"/>
      <c r="S27" s="101"/>
      <c r="T27" s="101"/>
      <c r="U27" s="101"/>
      <c r="V27" s="101"/>
      <c r="W27" s="101"/>
      <c r="X27" s="120"/>
      <c r="Y27" s="107"/>
    </row>
    <row r="28" spans="1:25" s="93" customFormat="1" ht="13.5" customHeight="1" x14ac:dyDescent="0.25">
      <c r="A28" s="113">
        <v>20</v>
      </c>
      <c r="B28" s="114" t="s">
        <v>53</v>
      </c>
      <c r="C28" s="115" t="s">
        <v>54</v>
      </c>
      <c r="D28" s="100">
        <v>2149</v>
      </c>
      <c r="E28" s="101">
        <v>115</v>
      </c>
      <c r="F28" s="116">
        <v>211</v>
      </c>
      <c r="G28" s="103">
        <v>120</v>
      </c>
      <c r="H28" s="103"/>
      <c r="I28" s="103"/>
      <c r="J28" s="101">
        <f t="shared" si="3"/>
        <v>331</v>
      </c>
      <c r="K28" s="117">
        <f t="shared" si="2"/>
        <v>2595</v>
      </c>
      <c r="L28" s="100">
        <f>5-4+3</f>
        <v>4</v>
      </c>
      <c r="M28" s="118">
        <v>112</v>
      </c>
      <c r="N28" s="118">
        <v>330</v>
      </c>
      <c r="O28" s="118">
        <f>61-49</f>
        <v>12</v>
      </c>
      <c r="P28" s="119">
        <f t="shared" si="4"/>
        <v>458</v>
      </c>
      <c r="Q28" s="97"/>
      <c r="R28" s="101"/>
      <c r="S28" s="101"/>
      <c r="T28" s="101"/>
      <c r="U28" s="101"/>
      <c r="V28" s="101"/>
      <c r="W28" s="101"/>
      <c r="X28" s="120"/>
      <c r="Y28" s="107"/>
    </row>
    <row r="29" spans="1:25" s="93" customFormat="1" ht="13.5" customHeight="1" x14ac:dyDescent="0.25">
      <c r="A29" s="113">
        <v>21</v>
      </c>
      <c r="B29" s="114" t="s">
        <v>55</v>
      </c>
      <c r="C29" s="115" t="s">
        <v>56</v>
      </c>
      <c r="D29" s="100">
        <v>529</v>
      </c>
      <c r="E29" s="101"/>
      <c r="F29" s="116">
        <v>52</v>
      </c>
      <c r="G29" s="103"/>
      <c r="H29" s="103"/>
      <c r="I29" s="103"/>
      <c r="J29" s="101">
        <f t="shared" si="3"/>
        <v>52</v>
      </c>
      <c r="K29" s="117">
        <f t="shared" si="2"/>
        <v>581</v>
      </c>
      <c r="L29" s="100"/>
      <c r="M29" s="118"/>
      <c r="N29" s="118"/>
      <c r="O29" s="118"/>
      <c r="P29" s="119"/>
      <c r="Q29" s="97"/>
      <c r="R29" s="101"/>
      <c r="S29" s="101"/>
      <c r="T29" s="101"/>
      <c r="U29" s="101"/>
      <c r="V29" s="101"/>
      <c r="W29" s="101"/>
      <c r="X29" s="120"/>
      <c r="Y29" s="107"/>
    </row>
    <row r="30" spans="1:25" s="93" customFormat="1" ht="13.5" customHeight="1" x14ac:dyDescent="0.25">
      <c r="A30" s="113">
        <v>22</v>
      </c>
      <c r="B30" s="114" t="s">
        <v>6</v>
      </c>
      <c r="C30" s="115" t="s">
        <v>59</v>
      </c>
      <c r="D30" s="100">
        <v>5637</v>
      </c>
      <c r="E30" s="101">
        <v>192</v>
      </c>
      <c r="F30" s="116">
        <v>865</v>
      </c>
      <c r="G30" s="103">
        <v>474</v>
      </c>
      <c r="H30" s="103">
        <v>65</v>
      </c>
      <c r="I30" s="103">
        <v>62</v>
      </c>
      <c r="J30" s="101">
        <f t="shared" si="3"/>
        <v>1466</v>
      </c>
      <c r="K30" s="117">
        <f t="shared" si="2"/>
        <v>7295</v>
      </c>
      <c r="L30" s="100">
        <f>31+31+403</f>
        <v>465</v>
      </c>
      <c r="M30" s="118">
        <f>681+269</f>
        <v>950</v>
      </c>
      <c r="N30" s="118">
        <f>2013-1713</f>
        <v>300</v>
      </c>
      <c r="O30" s="118">
        <f>371-91</f>
        <v>280</v>
      </c>
      <c r="P30" s="119">
        <f t="shared" si="4"/>
        <v>1995</v>
      </c>
      <c r="Q30" s="97"/>
      <c r="R30" s="101"/>
      <c r="S30" s="101"/>
      <c r="T30" s="101"/>
      <c r="U30" s="101"/>
      <c r="V30" s="101"/>
      <c r="W30" s="101"/>
      <c r="X30" s="120"/>
      <c r="Y30" s="107"/>
    </row>
    <row r="31" spans="1:25" s="93" customFormat="1" ht="13.5" customHeight="1" x14ac:dyDescent="0.25">
      <c r="A31" s="113">
        <v>23</v>
      </c>
      <c r="B31" s="114" t="s">
        <v>5</v>
      </c>
      <c r="C31" s="115" t="s">
        <v>17</v>
      </c>
      <c r="D31" s="100">
        <v>5624</v>
      </c>
      <c r="E31" s="101">
        <v>168</v>
      </c>
      <c r="F31" s="116">
        <v>606</v>
      </c>
      <c r="G31" s="103">
        <v>244</v>
      </c>
      <c r="H31" s="103">
        <v>34</v>
      </c>
      <c r="I31" s="103">
        <v>49</v>
      </c>
      <c r="J31" s="101">
        <f t="shared" si="3"/>
        <v>933</v>
      </c>
      <c r="K31" s="117">
        <f t="shared" si="2"/>
        <v>6725</v>
      </c>
      <c r="L31" s="100"/>
      <c r="M31" s="118"/>
      <c r="N31" s="118"/>
      <c r="O31" s="118"/>
      <c r="P31" s="119"/>
      <c r="Q31" s="97"/>
      <c r="R31" s="101"/>
      <c r="S31" s="101"/>
      <c r="T31" s="101"/>
      <c r="U31" s="101"/>
      <c r="V31" s="101"/>
      <c r="W31" s="101"/>
      <c r="X31" s="120"/>
      <c r="Y31" s="107"/>
    </row>
    <row r="32" spans="1:25" s="93" customFormat="1" ht="13.5" customHeight="1" x14ac:dyDescent="0.25">
      <c r="A32" s="113">
        <v>24</v>
      </c>
      <c r="B32" s="114" t="s">
        <v>60</v>
      </c>
      <c r="C32" s="115" t="s">
        <v>61</v>
      </c>
      <c r="D32" s="100">
        <v>3471</v>
      </c>
      <c r="E32" s="101"/>
      <c r="F32" s="116"/>
      <c r="G32" s="103"/>
      <c r="H32" s="103"/>
      <c r="I32" s="103"/>
      <c r="J32" s="101"/>
      <c r="K32" s="117">
        <f t="shared" si="2"/>
        <v>3471</v>
      </c>
      <c r="L32" s="100"/>
      <c r="M32" s="118"/>
      <c r="N32" s="118"/>
      <c r="O32" s="118"/>
      <c r="P32" s="119"/>
      <c r="Q32" s="97"/>
      <c r="R32" s="101"/>
      <c r="S32" s="101"/>
      <c r="T32" s="101"/>
      <c r="U32" s="101"/>
      <c r="V32" s="101"/>
      <c r="W32" s="101"/>
      <c r="X32" s="120"/>
      <c r="Y32" s="107"/>
    </row>
    <row r="33" spans="1:25" s="93" customFormat="1" ht="13.5" customHeight="1" x14ac:dyDescent="0.25">
      <c r="A33" s="113">
        <v>25</v>
      </c>
      <c r="B33" s="114" t="s">
        <v>62</v>
      </c>
      <c r="C33" s="115" t="s">
        <v>63</v>
      </c>
      <c r="D33" s="100">
        <v>384</v>
      </c>
      <c r="E33" s="101"/>
      <c r="F33" s="116"/>
      <c r="G33" s="103"/>
      <c r="H33" s="103"/>
      <c r="I33" s="103"/>
      <c r="J33" s="101"/>
      <c r="K33" s="117">
        <f t="shared" si="2"/>
        <v>384</v>
      </c>
      <c r="L33" s="100"/>
      <c r="M33" s="118"/>
      <c r="N33" s="118"/>
      <c r="O33" s="118"/>
      <c r="P33" s="119"/>
      <c r="Q33" s="97"/>
      <c r="R33" s="101"/>
      <c r="S33" s="101"/>
      <c r="T33" s="101"/>
      <c r="U33" s="101"/>
      <c r="V33" s="101"/>
      <c r="W33" s="101"/>
      <c r="X33" s="120"/>
      <c r="Y33" s="107"/>
    </row>
    <row r="34" spans="1:25" s="93" customFormat="1" ht="13.5" customHeight="1" x14ac:dyDescent="0.25">
      <c r="A34" s="113">
        <v>26</v>
      </c>
      <c r="B34" s="114" t="s">
        <v>64</v>
      </c>
      <c r="C34" s="115" t="s">
        <v>65</v>
      </c>
      <c r="D34" s="100">
        <v>3725</v>
      </c>
      <c r="E34" s="101">
        <v>92</v>
      </c>
      <c r="F34" s="116">
        <v>366</v>
      </c>
      <c r="G34" s="103">
        <v>335</v>
      </c>
      <c r="H34" s="103">
        <v>47</v>
      </c>
      <c r="I34" s="103">
        <v>54</v>
      </c>
      <c r="J34" s="101">
        <f t="shared" si="3"/>
        <v>802</v>
      </c>
      <c r="K34" s="117">
        <f t="shared" si="2"/>
        <v>4619</v>
      </c>
      <c r="L34" s="100">
        <f>6+1</f>
        <v>7</v>
      </c>
      <c r="M34" s="118">
        <f>158-18</f>
        <v>140</v>
      </c>
      <c r="N34" s="118">
        <f>463-425</f>
        <v>38</v>
      </c>
      <c r="O34" s="118">
        <f>85-70</f>
        <v>15</v>
      </c>
      <c r="P34" s="119">
        <f t="shared" si="4"/>
        <v>200</v>
      </c>
      <c r="Q34" s="97"/>
      <c r="R34" s="101"/>
      <c r="S34" s="101"/>
      <c r="T34" s="101"/>
      <c r="U34" s="101"/>
      <c r="V34" s="101"/>
      <c r="W34" s="101"/>
      <c r="X34" s="120"/>
      <c r="Y34" s="107"/>
    </row>
    <row r="35" spans="1:25" s="93" customFormat="1" ht="13.5" customHeight="1" x14ac:dyDescent="0.25">
      <c r="A35" s="113">
        <v>27</v>
      </c>
      <c r="B35" s="114" t="s">
        <v>66</v>
      </c>
      <c r="C35" s="115" t="s">
        <v>67</v>
      </c>
      <c r="D35" s="100">
        <v>5005</v>
      </c>
      <c r="E35" s="101">
        <v>157</v>
      </c>
      <c r="F35" s="116">
        <v>423</v>
      </c>
      <c r="G35" s="103">
        <v>354</v>
      </c>
      <c r="H35" s="103">
        <v>50</v>
      </c>
      <c r="I35" s="103">
        <v>47</v>
      </c>
      <c r="J35" s="101">
        <f t="shared" si="3"/>
        <v>874</v>
      </c>
      <c r="K35" s="117">
        <f t="shared" si="2"/>
        <v>6036</v>
      </c>
      <c r="L35" s="100">
        <f>10+11</f>
        <v>21</v>
      </c>
      <c r="M35" s="118">
        <v>249</v>
      </c>
      <c r="N35" s="118">
        <v>735</v>
      </c>
      <c r="O35" s="118">
        <v>136</v>
      </c>
      <c r="P35" s="119">
        <f t="shared" si="4"/>
        <v>1141</v>
      </c>
      <c r="Q35" s="97"/>
      <c r="R35" s="101"/>
      <c r="S35" s="101"/>
      <c r="T35" s="101"/>
      <c r="U35" s="101"/>
      <c r="V35" s="101"/>
      <c r="W35" s="101"/>
      <c r="X35" s="120"/>
      <c r="Y35" s="107"/>
    </row>
    <row r="36" spans="1:25" s="93" customFormat="1" ht="13.5" customHeight="1" x14ac:dyDescent="0.25">
      <c r="A36" s="113">
        <v>28</v>
      </c>
      <c r="B36" s="114" t="s">
        <v>68</v>
      </c>
      <c r="C36" s="115" t="s">
        <v>69</v>
      </c>
      <c r="D36" s="100">
        <v>860</v>
      </c>
      <c r="E36" s="101">
        <v>0</v>
      </c>
      <c r="F36" s="116">
        <v>84</v>
      </c>
      <c r="G36" s="103"/>
      <c r="H36" s="103"/>
      <c r="I36" s="103"/>
      <c r="J36" s="101">
        <f t="shared" si="3"/>
        <v>84</v>
      </c>
      <c r="K36" s="117">
        <f t="shared" si="2"/>
        <v>944</v>
      </c>
      <c r="L36" s="100"/>
      <c r="M36" s="118"/>
      <c r="N36" s="118"/>
      <c r="O36" s="118"/>
      <c r="P36" s="119"/>
      <c r="Q36" s="97"/>
      <c r="R36" s="101"/>
      <c r="S36" s="101"/>
      <c r="T36" s="101"/>
      <c r="U36" s="101"/>
      <c r="V36" s="101"/>
      <c r="W36" s="101"/>
      <c r="X36" s="120"/>
      <c r="Y36" s="107"/>
    </row>
    <row r="37" spans="1:25" s="93" customFormat="1" ht="13.5" customHeight="1" x14ac:dyDescent="0.25">
      <c r="A37" s="113">
        <v>29</v>
      </c>
      <c r="B37" s="114" t="s">
        <v>70</v>
      </c>
      <c r="C37" s="115" t="s">
        <v>71</v>
      </c>
      <c r="D37" s="100">
        <v>2956</v>
      </c>
      <c r="E37" s="101">
        <v>62</v>
      </c>
      <c r="F37" s="116">
        <v>290</v>
      </c>
      <c r="G37" s="103"/>
      <c r="H37" s="103"/>
      <c r="I37" s="103"/>
      <c r="J37" s="101">
        <f t="shared" si="3"/>
        <v>290</v>
      </c>
      <c r="K37" s="117">
        <f t="shared" si="2"/>
        <v>3308</v>
      </c>
      <c r="L37" s="100">
        <f>6-4+5</f>
        <v>7</v>
      </c>
      <c r="M37" s="118">
        <f>150-50</f>
        <v>100</v>
      </c>
      <c r="N37" s="118">
        <f>442-324</f>
        <v>118</v>
      </c>
      <c r="O37" s="118">
        <v>82</v>
      </c>
      <c r="P37" s="119">
        <f t="shared" si="4"/>
        <v>307</v>
      </c>
      <c r="Q37" s="97"/>
      <c r="R37" s="101"/>
      <c r="S37" s="101"/>
      <c r="T37" s="101"/>
      <c r="U37" s="101"/>
      <c r="V37" s="101"/>
      <c r="W37" s="101"/>
      <c r="X37" s="120"/>
      <c r="Y37" s="107"/>
    </row>
    <row r="38" spans="1:25" s="93" customFormat="1" ht="13.5" customHeight="1" x14ac:dyDescent="0.25">
      <c r="A38" s="113">
        <v>30</v>
      </c>
      <c r="B38" s="114" t="s">
        <v>72</v>
      </c>
      <c r="C38" s="115" t="s">
        <v>73</v>
      </c>
      <c r="D38" s="100">
        <v>1105</v>
      </c>
      <c r="E38" s="101"/>
      <c r="F38" s="116">
        <v>155</v>
      </c>
      <c r="G38" s="103"/>
      <c r="H38" s="103"/>
      <c r="I38" s="103"/>
      <c r="J38" s="101">
        <f t="shared" si="3"/>
        <v>155</v>
      </c>
      <c r="K38" s="117">
        <f t="shared" si="2"/>
        <v>1260</v>
      </c>
      <c r="L38" s="100"/>
      <c r="M38" s="118"/>
      <c r="N38" s="118"/>
      <c r="O38" s="118"/>
      <c r="P38" s="119"/>
      <c r="Q38" s="97"/>
      <c r="R38" s="101"/>
      <c r="S38" s="101"/>
      <c r="T38" s="101"/>
      <c r="U38" s="101"/>
      <c r="V38" s="101"/>
      <c r="W38" s="101"/>
      <c r="X38" s="120"/>
      <c r="Y38" s="107"/>
    </row>
    <row r="39" spans="1:25" s="93" customFormat="1" ht="13.5" customHeight="1" x14ac:dyDescent="0.25">
      <c r="A39" s="113">
        <v>31</v>
      </c>
      <c r="B39" s="114" t="s">
        <v>74</v>
      </c>
      <c r="C39" s="115" t="s">
        <v>200</v>
      </c>
      <c r="D39" s="100">
        <v>3874</v>
      </c>
      <c r="E39" s="101">
        <v>124</v>
      </c>
      <c r="F39" s="116">
        <v>381</v>
      </c>
      <c r="G39" s="103"/>
      <c r="H39" s="103"/>
      <c r="I39" s="103"/>
      <c r="J39" s="101">
        <f t="shared" si="3"/>
        <v>381</v>
      </c>
      <c r="K39" s="117">
        <f t="shared" si="2"/>
        <v>4379</v>
      </c>
      <c r="L39" s="100">
        <f>7-5-2</f>
        <v>0</v>
      </c>
      <c r="M39" s="118">
        <f>146+100</f>
        <v>246</v>
      </c>
      <c r="N39" s="118">
        <v>432</v>
      </c>
      <c r="O39" s="118">
        <f>80+180</f>
        <v>260</v>
      </c>
      <c r="P39" s="119">
        <f t="shared" si="4"/>
        <v>938</v>
      </c>
      <c r="Q39" s="97"/>
      <c r="R39" s="101"/>
      <c r="S39" s="101"/>
      <c r="T39" s="101"/>
      <c r="U39" s="101"/>
      <c r="V39" s="101"/>
      <c r="W39" s="101"/>
      <c r="X39" s="120"/>
      <c r="Y39" s="107"/>
    </row>
    <row r="40" spans="1:25" s="93" customFormat="1" ht="13.5" customHeight="1" x14ac:dyDescent="0.25">
      <c r="A40" s="113">
        <v>32</v>
      </c>
      <c r="B40" s="114" t="s">
        <v>76</v>
      </c>
      <c r="C40" s="115" t="s">
        <v>202</v>
      </c>
      <c r="D40" s="100">
        <v>683</v>
      </c>
      <c r="E40" s="101">
        <v>0</v>
      </c>
      <c r="F40" s="116"/>
      <c r="G40" s="103"/>
      <c r="H40" s="103"/>
      <c r="I40" s="103"/>
      <c r="J40" s="101"/>
      <c r="K40" s="117">
        <f t="shared" si="2"/>
        <v>683</v>
      </c>
      <c r="L40" s="100"/>
      <c r="M40" s="118"/>
      <c r="N40" s="118"/>
      <c r="O40" s="118"/>
      <c r="P40" s="119"/>
      <c r="Q40" s="97"/>
      <c r="R40" s="101"/>
      <c r="S40" s="101"/>
      <c r="T40" s="101"/>
      <c r="U40" s="101"/>
      <c r="V40" s="101"/>
      <c r="W40" s="101"/>
      <c r="X40" s="120"/>
      <c r="Y40" s="107"/>
    </row>
    <row r="41" spans="1:25" s="93" customFormat="1" ht="13.5" customHeight="1" x14ac:dyDescent="0.25">
      <c r="A41" s="113">
        <v>33</v>
      </c>
      <c r="B41" s="114" t="s">
        <v>77</v>
      </c>
      <c r="C41" s="115" t="s">
        <v>78</v>
      </c>
      <c r="D41" s="100">
        <v>1179</v>
      </c>
      <c r="E41" s="101">
        <v>25</v>
      </c>
      <c r="F41" s="116"/>
      <c r="G41" s="103"/>
      <c r="H41" s="103"/>
      <c r="I41" s="103"/>
      <c r="J41" s="101"/>
      <c r="K41" s="117">
        <f t="shared" si="2"/>
        <v>1204</v>
      </c>
      <c r="L41" s="100"/>
      <c r="M41" s="118"/>
      <c r="N41" s="118"/>
      <c r="O41" s="118"/>
      <c r="P41" s="119"/>
      <c r="Q41" s="97"/>
      <c r="R41" s="101"/>
      <c r="S41" s="101"/>
      <c r="T41" s="101"/>
      <c r="U41" s="101"/>
      <c r="V41" s="101"/>
      <c r="W41" s="101"/>
      <c r="X41" s="120"/>
      <c r="Y41" s="107"/>
    </row>
    <row r="42" spans="1:25" s="93" customFormat="1" ht="13.5" customHeight="1" x14ac:dyDescent="0.25">
      <c r="A42" s="113">
        <v>34</v>
      </c>
      <c r="B42" s="114" t="s">
        <v>79</v>
      </c>
      <c r="C42" s="115" t="s">
        <v>80</v>
      </c>
      <c r="D42" s="100">
        <v>780</v>
      </c>
      <c r="E42" s="101">
        <v>0</v>
      </c>
      <c r="F42" s="116">
        <v>79</v>
      </c>
      <c r="G42" s="103"/>
      <c r="H42" s="103"/>
      <c r="I42" s="103"/>
      <c r="J42" s="101">
        <f t="shared" si="3"/>
        <v>79</v>
      </c>
      <c r="K42" s="117">
        <f t="shared" si="2"/>
        <v>859</v>
      </c>
      <c r="L42" s="100">
        <f>1-1</f>
        <v>0</v>
      </c>
      <c r="M42" s="118">
        <f>31+110</f>
        <v>141</v>
      </c>
      <c r="N42" s="118">
        <v>90</v>
      </c>
      <c r="O42" s="118">
        <v>17</v>
      </c>
      <c r="P42" s="119">
        <f t="shared" si="4"/>
        <v>248</v>
      </c>
      <c r="Q42" s="97"/>
      <c r="R42" s="101"/>
      <c r="S42" s="101"/>
      <c r="T42" s="101"/>
      <c r="U42" s="101"/>
      <c r="V42" s="101"/>
      <c r="W42" s="101"/>
      <c r="X42" s="120"/>
      <c r="Y42" s="107"/>
    </row>
    <row r="43" spans="1:25" s="93" customFormat="1" ht="13.5" customHeight="1" x14ac:dyDescent="0.25">
      <c r="A43" s="113">
        <v>35</v>
      </c>
      <c r="B43" s="114" t="s">
        <v>81</v>
      </c>
      <c r="C43" s="115" t="s">
        <v>82</v>
      </c>
      <c r="D43" s="100">
        <v>3739</v>
      </c>
      <c r="E43" s="101">
        <v>130</v>
      </c>
      <c r="F43" s="116">
        <v>367</v>
      </c>
      <c r="G43" s="103">
        <v>636</v>
      </c>
      <c r="H43" s="103">
        <v>90</v>
      </c>
      <c r="I43" s="103">
        <v>50</v>
      </c>
      <c r="J43" s="101">
        <f t="shared" si="3"/>
        <v>1143</v>
      </c>
      <c r="K43" s="117">
        <f t="shared" si="2"/>
        <v>5012</v>
      </c>
      <c r="L43" s="100">
        <f>9-7-2</f>
        <v>0</v>
      </c>
      <c r="M43" s="118">
        <f>193-188</f>
        <v>5</v>
      </c>
      <c r="N43" s="118">
        <f>571+500</f>
        <v>1071</v>
      </c>
      <c r="O43" s="118">
        <f>105-90</f>
        <v>15</v>
      </c>
      <c r="P43" s="119">
        <f t="shared" si="4"/>
        <v>1091</v>
      </c>
      <c r="Q43" s="97"/>
      <c r="R43" s="101"/>
      <c r="S43" s="101"/>
      <c r="T43" s="101"/>
      <c r="U43" s="101"/>
      <c r="V43" s="101"/>
      <c r="W43" s="101"/>
      <c r="X43" s="120"/>
      <c r="Y43" s="107"/>
    </row>
    <row r="44" spans="1:25" s="93" customFormat="1" ht="13.5" customHeight="1" x14ac:dyDescent="0.25">
      <c r="A44" s="113">
        <v>36</v>
      </c>
      <c r="B44" s="114" t="s">
        <v>83</v>
      </c>
      <c r="C44" s="115" t="s">
        <v>203</v>
      </c>
      <c r="D44" s="100">
        <v>967</v>
      </c>
      <c r="E44" s="101"/>
      <c r="F44" s="116">
        <v>95</v>
      </c>
      <c r="G44" s="103"/>
      <c r="H44" s="103"/>
      <c r="I44" s="103"/>
      <c r="J44" s="101">
        <f t="shared" si="3"/>
        <v>95</v>
      </c>
      <c r="K44" s="117">
        <f t="shared" si="2"/>
        <v>1062</v>
      </c>
      <c r="L44" s="100"/>
      <c r="M44" s="118"/>
      <c r="N44" s="118"/>
      <c r="O44" s="118"/>
      <c r="P44" s="119"/>
      <c r="Q44" s="97"/>
      <c r="R44" s="101"/>
      <c r="S44" s="101"/>
      <c r="T44" s="101"/>
      <c r="U44" s="101"/>
      <c r="V44" s="101"/>
      <c r="W44" s="101"/>
      <c r="X44" s="120"/>
      <c r="Y44" s="107"/>
    </row>
    <row r="45" spans="1:25" s="93" customFormat="1" ht="13.5" customHeight="1" x14ac:dyDescent="0.25">
      <c r="A45" s="113">
        <v>37</v>
      </c>
      <c r="B45" s="114" t="s">
        <v>84</v>
      </c>
      <c r="C45" s="115" t="s">
        <v>85</v>
      </c>
      <c r="D45" s="100">
        <v>3270</v>
      </c>
      <c r="E45" s="101">
        <v>79</v>
      </c>
      <c r="F45" s="116">
        <v>321</v>
      </c>
      <c r="G45" s="103"/>
      <c r="H45" s="103"/>
      <c r="I45" s="103"/>
      <c r="J45" s="101">
        <f t="shared" si="3"/>
        <v>321</v>
      </c>
      <c r="K45" s="117">
        <f t="shared" si="2"/>
        <v>3670</v>
      </c>
      <c r="L45" s="100">
        <f>8+3</f>
        <v>11</v>
      </c>
      <c r="M45" s="118">
        <f>186+173</f>
        <v>359</v>
      </c>
      <c r="N45" s="118">
        <f>550+627</f>
        <v>1177</v>
      </c>
      <c r="O45" s="118">
        <v>101</v>
      </c>
      <c r="P45" s="119">
        <f t="shared" si="4"/>
        <v>1648</v>
      </c>
      <c r="Q45" s="97"/>
      <c r="R45" s="101"/>
      <c r="S45" s="101"/>
      <c r="T45" s="101"/>
      <c r="U45" s="101"/>
      <c r="V45" s="101"/>
      <c r="W45" s="101"/>
      <c r="X45" s="120"/>
      <c r="Y45" s="107"/>
    </row>
    <row r="46" spans="1:25" s="93" customFormat="1" ht="13.5" customHeight="1" x14ac:dyDescent="0.25">
      <c r="A46" s="113">
        <v>38</v>
      </c>
      <c r="B46" s="114" t="s">
        <v>86</v>
      </c>
      <c r="C46" s="115" t="s">
        <v>87</v>
      </c>
      <c r="D46" s="100">
        <v>737</v>
      </c>
      <c r="E46" s="101">
        <v>0</v>
      </c>
      <c r="F46" s="116">
        <v>72</v>
      </c>
      <c r="G46" s="103"/>
      <c r="H46" s="103"/>
      <c r="I46" s="103"/>
      <c r="J46" s="101">
        <f t="shared" si="3"/>
        <v>72</v>
      </c>
      <c r="K46" s="117">
        <f t="shared" si="2"/>
        <v>809</v>
      </c>
      <c r="L46" s="100"/>
      <c r="M46" s="118"/>
      <c r="N46" s="118"/>
      <c r="O46" s="118"/>
      <c r="P46" s="119"/>
      <c r="Q46" s="97"/>
      <c r="R46" s="101"/>
      <c r="S46" s="101"/>
      <c r="T46" s="101"/>
      <c r="U46" s="101"/>
      <c r="V46" s="101"/>
      <c r="W46" s="101"/>
      <c r="X46" s="120"/>
      <c r="Y46" s="107"/>
    </row>
    <row r="47" spans="1:25" s="93" customFormat="1" ht="13.5" customHeight="1" x14ac:dyDescent="0.25">
      <c r="A47" s="113">
        <v>39</v>
      </c>
      <c r="B47" s="114" t="s">
        <v>88</v>
      </c>
      <c r="C47" s="115" t="s">
        <v>204</v>
      </c>
      <c r="D47" s="100">
        <v>1135</v>
      </c>
      <c r="E47" s="101">
        <v>0</v>
      </c>
      <c r="F47" s="116">
        <v>111</v>
      </c>
      <c r="G47" s="103"/>
      <c r="H47" s="103"/>
      <c r="I47" s="103"/>
      <c r="J47" s="101">
        <f t="shared" si="3"/>
        <v>111</v>
      </c>
      <c r="K47" s="117">
        <f t="shared" si="2"/>
        <v>1246</v>
      </c>
      <c r="L47" s="100"/>
      <c r="M47" s="118"/>
      <c r="N47" s="118"/>
      <c r="O47" s="118"/>
      <c r="P47" s="119"/>
      <c r="Q47" s="97"/>
      <c r="R47" s="101"/>
      <c r="S47" s="101"/>
      <c r="T47" s="101"/>
      <c r="U47" s="101"/>
      <c r="V47" s="101"/>
      <c r="W47" s="101"/>
      <c r="X47" s="120"/>
      <c r="Y47" s="107"/>
    </row>
    <row r="48" spans="1:25" s="93" customFormat="1" ht="13.5" customHeight="1" x14ac:dyDescent="0.25">
      <c r="A48" s="113">
        <v>40</v>
      </c>
      <c r="B48" s="114" t="s">
        <v>89</v>
      </c>
      <c r="C48" s="115" t="s">
        <v>90</v>
      </c>
      <c r="D48" s="100">
        <v>1323</v>
      </c>
      <c r="E48" s="101">
        <v>42</v>
      </c>
      <c r="F48" s="116">
        <v>130</v>
      </c>
      <c r="G48" s="103"/>
      <c r="H48" s="103"/>
      <c r="I48" s="103"/>
      <c r="J48" s="101">
        <f t="shared" si="3"/>
        <v>130</v>
      </c>
      <c r="K48" s="117">
        <f t="shared" si="2"/>
        <v>1495</v>
      </c>
      <c r="L48" s="100">
        <f>7+81</f>
        <v>88</v>
      </c>
      <c r="M48" s="118">
        <f>134+58</f>
        <v>192</v>
      </c>
      <c r="N48" s="118">
        <f>397-382</f>
        <v>15</v>
      </c>
      <c r="O48" s="118">
        <f>73-58</f>
        <v>15</v>
      </c>
      <c r="P48" s="119">
        <f t="shared" si="4"/>
        <v>310</v>
      </c>
      <c r="Q48" s="97"/>
      <c r="R48" s="101"/>
      <c r="S48" s="101"/>
      <c r="T48" s="101"/>
      <c r="U48" s="101"/>
      <c r="V48" s="101"/>
      <c r="W48" s="101"/>
      <c r="X48" s="120"/>
      <c r="Y48" s="107"/>
    </row>
    <row r="49" spans="1:25" s="93" customFormat="1" ht="13.5" customHeight="1" x14ac:dyDescent="0.25">
      <c r="A49" s="113">
        <v>41</v>
      </c>
      <c r="B49" s="114" t="s">
        <v>91</v>
      </c>
      <c r="C49" s="115" t="s">
        <v>92</v>
      </c>
      <c r="D49" s="100">
        <v>479</v>
      </c>
      <c r="E49" s="101"/>
      <c r="F49" s="116">
        <v>47</v>
      </c>
      <c r="G49" s="103"/>
      <c r="H49" s="103"/>
      <c r="I49" s="103"/>
      <c r="J49" s="101">
        <f t="shared" si="3"/>
        <v>47</v>
      </c>
      <c r="K49" s="117">
        <f t="shared" si="2"/>
        <v>526</v>
      </c>
      <c r="L49" s="100"/>
      <c r="M49" s="118"/>
      <c r="N49" s="118"/>
      <c r="O49" s="118"/>
      <c r="P49" s="119"/>
      <c r="Q49" s="97"/>
      <c r="R49" s="101"/>
      <c r="S49" s="101"/>
      <c r="T49" s="101"/>
      <c r="U49" s="101"/>
      <c r="V49" s="101"/>
      <c r="W49" s="101"/>
      <c r="X49" s="120"/>
      <c r="Y49" s="107"/>
    </row>
    <row r="50" spans="1:25" s="93" customFormat="1" ht="13.5" customHeight="1" x14ac:dyDescent="0.25">
      <c r="A50" s="113">
        <v>42</v>
      </c>
      <c r="B50" s="114" t="s">
        <v>93</v>
      </c>
      <c r="C50" s="115" t="s">
        <v>94</v>
      </c>
      <c r="D50" s="100">
        <v>917</v>
      </c>
      <c r="E50" s="101">
        <v>0</v>
      </c>
      <c r="F50" s="116"/>
      <c r="G50" s="103"/>
      <c r="H50" s="103"/>
      <c r="I50" s="103"/>
      <c r="J50" s="101"/>
      <c r="K50" s="117">
        <f t="shared" si="2"/>
        <v>917</v>
      </c>
      <c r="L50" s="100"/>
      <c r="M50" s="118"/>
      <c r="N50" s="118"/>
      <c r="O50" s="118"/>
      <c r="P50" s="119"/>
      <c r="Q50" s="97"/>
      <c r="R50" s="101"/>
      <c r="S50" s="101"/>
      <c r="T50" s="101"/>
      <c r="U50" s="101"/>
      <c r="V50" s="101"/>
      <c r="W50" s="101"/>
      <c r="X50" s="120"/>
      <c r="Y50" s="107"/>
    </row>
    <row r="51" spans="1:25" s="93" customFormat="1" ht="13.5" customHeight="1" x14ac:dyDescent="0.25">
      <c r="A51" s="113">
        <v>43</v>
      </c>
      <c r="B51" s="114" t="s">
        <v>95</v>
      </c>
      <c r="C51" s="115" t="s">
        <v>205</v>
      </c>
      <c r="D51" s="100">
        <v>1364</v>
      </c>
      <c r="E51" s="101">
        <v>0</v>
      </c>
      <c r="F51" s="116">
        <v>134</v>
      </c>
      <c r="G51" s="103"/>
      <c r="H51" s="103"/>
      <c r="I51" s="103"/>
      <c r="J51" s="101">
        <f t="shared" ref="J51:J94" si="5">F51+G51+H51+I51</f>
        <v>134</v>
      </c>
      <c r="K51" s="117">
        <f t="shared" si="2"/>
        <v>1498</v>
      </c>
      <c r="L51" s="100"/>
      <c r="M51" s="118"/>
      <c r="N51" s="118"/>
      <c r="O51" s="118"/>
      <c r="P51" s="119"/>
      <c r="Q51" s="97"/>
      <c r="R51" s="101"/>
      <c r="S51" s="101"/>
      <c r="T51" s="101"/>
      <c r="U51" s="101"/>
      <c r="V51" s="101"/>
      <c r="W51" s="101"/>
      <c r="X51" s="120"/>
      <c r="Y51" s="107"/>
    </row>
    <row r="52" spans="1:25" s="93" customFormat="1" ht="13.5" customHeight="1" x14ac:dyDescent="0.25">
      <c r="A52" s="113">
        <v>44</v>
      </c>
      <c r="B52" s="114" t="s">
        <v>96</v>
      </c>
      <c r="C52" s="115" t="s">
        <v>97</v>
      </c>
      <c r="D52" s="100">
        <v>4538</v>
      </c>
      <c r="E52" s="101"/>
      <c r="F52" s="116">
        <v>0</v>
      </c>
      <c r="G52" s="103"/>
      <c r="H52" s="103"/>
      <c r="I52" s="103"/>
      <c r="J52" s="101">
        <f t="shared" si="5"/>
        <v>0</v>
      </c>
      <c r="K52" s="117">
        <f t="shared" si="2"/>
        <v>4538</v>
      </c>
      <c r="L52" s="100">
        <f>10+370</f>
        <v>380</v>
      </c>
      <c r="M52" s="118">
        <f>233+70</f>
        <v>303</v>
      </c>
      <c r="N52" s="118">
        <v>688</v>
      </c>
      <c r="O52" s="118">
        <f>127-37</f>
        <v>90</v>
      </c>
      <c r="P52" s="119">
        <f t="shared" ref="P52:P75" si="6">L52+M52+N52+O52</f>
        <v>1461</v>
      </c>
      <c r="Q52" s="97"/>
      <c r="R52" s="101"/>
      <c r="S52" s="101"/>
      <c r="T52" s="101"/>
      <c r="U52" s="101"/>
      <c r="V52" s="101"/>
      <c r="W52" s="101"/>
      <c r="X52" s="120"/>
      <c r="Y52" s="107"/>
    </row>
    <row r="53" spans="1:25" s="93" customFormat="1" ht="13.5" customHeight="1" x14ac:dyDescent="0.25">
      <c r="A53" s="113">
        <v>45</v>
      </c>
      <c r="B53" s="114" t="s">
        <v>98</v>
      </c>
      <c r="C53" s="115" t="s">
        <v>206</v>
      </c>
      <c r="D53" s="100">
        <v>747</v>
      </c>
      <c r="E53" s="101"/>
      <c r="F53" s="116">
        <v>73</v>
      </c>
      <c r="G53" s="103"/>
      <c r="H53" s="103"/>
      <c r="I53" s="103"/>
      <c r="J53" s="101">
        <f t="shared" si="5"/>
        <v>73</v>
      </c>
      <c r="K53" s="117">
        <f t="shared" si="2"/>
        <v>820</v>
      </c>
      <c r="L53" s="100"/>
      <c r="M53" s="118"/>
      <c r="N53" s="118"/>
      <c r="O53" s="118"/>
      <c r="P53" s="119"/>
      <c r="Q53" s="97"/>
      <c r="R53" s="101"/>
      <c r="S53" s="101"/>
      <c r="T53" s="101"/>
      <c r="U53" s="101"/>
      <c r="V53" s="101"/>
      <c r="W53" s="101"/>
      <c r="X53" s="120"/>
      <c r="Y53" s="107"/>
    </row>
    <row r="54" spans="1:25" s="93" customFormat="1" ht="13.5" customHeight="1" x14ac:dyDescent="0.25">
      <c r="A54" s="113">
        <v>46</v>
      </c>
      <c r="B54" s="114" t="s">
        <v>99</v>
      </c>
      <c r="C54" s="115" t="s">
        <v>100</v>
      </c>
      <c r="D54" s="100">
        <v>1900</v>
      </c>
      <c r="E54" s="101"/>
      <c r="F54" s="116"/>
      <c r="G54" s="103"/>
      <c r="H54" s="103"/>
      <c r="I54" s="103"/>
      <c r="J54" s="101"/>
      <c r="K54" s="117">
        <f t="shared" si="2"/>
        <v>1900</v>
      </c>
      <c r="L54" s="100"/>
      <c r="M54" s="118"/>
      <c r="N54" s="118"/>
      <c r="O54" s="118"/>
      <c r="P54" s="119"/>
      <c r="Q54" s="97"/>
      <c r="R54" s="101"/>
      <c r="S54" s="101"/>
      <c r="T54" s="101"/>
      <c r="U54" s="101"/>
      <c r="V54" s="101"/>
      <c r="W54" s="101"/>
      <c r="X54" s="120"/>
      <c r="Y54" s="107"/>
    </row>
    <row r="55" spans="1:25" s="93" customFormat="1" ht="13.5" customHeight="1" x14ac:dyDescent="0.25">
      <c r="A55" s="113">
        <v>47</v>
      </c>
      <c r="B55" s="114" t="s">
        <v>101</v>
      </c>
      <c r="C55" s="115" t="s">
        <v>235</v>
      </c>
      <c r="D55" s="100">
        <v>940</v>
      </c>
      <c r="E55" s="101"/>
      <c r="F55" s="116"/>
      <c r="G55" s="103"/>
      <c r="H55" s="103"/>
      <c r="I55" s="103"/>
      <c r="J55" s="101"/>
      <c r="K55" s="117">
        <f t="shared" si="2"/>
        <v>940</v>
      </c>
      <c r="L55" s="100"/>
      <c r="M55" s="118"/>
      <c r="N55" s="118"/>
      <c r="O55" s="118"/>
      <c r="P55" s="119"/>
      <c r="Q55" s="97"/>
      <c r="R55" s="101"/>
      <c r="S55" s="101"/>
      <c r="T55" s="101"/>
      <c r="U55" s="101"/>
      <c r="V55" s="101"/>
      <c r="W55" s="101"/>
      <c r="X55" s="120"/>
      <c r="Y55" s="107"/>
    </row>
    <row r="56" spans="1:25" s="93" customFormat="1" ht="13.5" customHeight="1" x14ac:dyDescent="0.25">
      <c r="A56" s="113">
        <v>48</v>
      </c>
      <c r="B56" s="114" t="s">
        <v>102</v>
      </c>
      <c r="C56" s="115" t="s">
        <v>103</v>
      </c>
      <c r="D56" s="100">
        <v>2248</v>
      </c>
      <c r="E56" s="101"/>
      <c r="F56" s="116"/>
      <c r="G56" s="103"/>
      <c r="H56" s="103"/>
      <c r="I56" s="103"/>
      <c r="J56" s="101"/>
      <c r="K56" s="117">
        <f t="shared" si="2"/>
        <v>2248</v>
      </c>
      <c r="L56" s="100"/>
      <c r="M56" s="118"/>
      <c r="N56" s="118"/>
      <c r="O56" s="118"/>
      <c r="P56" s="119"/>
      <c r="Q56" s="97"/>
      <c r="R56" s="101"/>
      <c r="S56" s="101"/>
      <c r="T56" s="101"/>
      <c r="U56" s="101"/>
      <c r="V56" s="101"/>
      <c r="W56" s="101"/>
      <c r="X56" s="120"/>
      <c r="Y56" s="107"/>
    </row>
    <row r="57" spans="1:25" s="93" customFormat="1" ht="13.5" customHeight="1" x14ac:dyDescent="0.25">
      <c r="A57" s="113">
        <v>49</v>
      </c>
      <c r="B57" s="114" t="s">
        <v>104</v>
      </c>
      <c r="C57" s="115" t="s">
        <v>236</v>
      </c>
      <c r="D57" s="100">
        <v>1107</v>
      </c>
      <c r="E57" s="101"/>
      <c r="F57" s="116"/>
      <c r="G57" s="103"/>
      <c r="H57" s="103"/>
      <c r="I57" s="103"/>
      <c r="J57" s="101"/>
      <c r="K57" s="117">
        <f t="shared" si="2"/>
        <v>1107</v>
      </c>
      <c r="L57" s="100"/>
      <c r="M57" s="118"/>
      <c r="N57" s="118"/>
      <c r="O57" s="118"/>
      <c r="P57" s="119"/>
      <c r="Q57" s="97"/>
      <c r="R57" s="101"/>
      <c r="S57" s="101"/>
      <c r="T57" s="101"/>
      <c r="U57" s="101"/>
      <c r="V57" s="101"/>
      <c r="W57" s="101"/>
      <c r="X57" s="120"/>
      <c r="Y57" s="107"/>
    </row>
    <row r="58" spans="1:25" s="93" customFormat="1" ht="13.5" customHeight="1" x14ac:dyDescent="0.25">
      <c r="A58" s="113">
        <v>50</v>
      </c>
      <c r="B58" s="114" t="s">
        <v>105</v>
      </c>
      <c r="C58" s="115" t="s">
        <v>106</v>
      </c>
      <c r="D58" s="100">
        <v>343</v>
      </c>
      <c r="E58" s="101"/>
      <c r="F58" s="116"/>
      <c r="G58" s="103"/>
      <c r="H58" s="103"/>
      <c r="I58" s="103"/>
      <c r="J58" s="101"/>
      <c r="K58" s="117">
        <f t="shared" si="2"/>
        <v>343</v>
      </c>
      <c r="L58" s="100"/>
      <c r="M58" s="118"/>
      <c r="N58" s="118"/>
      <c r="O58" s="118"/>
      <c r="P58" s="119"/>
      <c r="Q58" s="97"/>
      <c r="R58" s="101"/>
      <c r="S58" s="101"/>
      <c r="T58" s="101"/>
      <c r="U58" s="101"/>
      <c r="V58" s="101"/>
      <c r="W58" s="101"/>
      <c r="X58" s="120"/>
      <c r="Y58" s="107"/>
    </row>
    <row r="59" spans="1:25" s="93" customFormat="1" ht="13.5" customHeight="1" x14ac:dyDescent="0.25">
      <c r="A59" s="113">
        <v>51</v>
      </c>
      <c r="B59" s="114" t="s">
        <v>107</v>
      </c>
      <c r="C59" s="115" t="s">
        <v>210</v>
      </c>
      <c r="D59" s="100">
        <v>3182</v>
      </c>
      <c r="E59" s="101"/>
      <c r="F59" s="116"/>
      <c r="G59" s="103"/>
      <c r="H59" s="103"/>
      <c r="I59" s="103"/>
      <c r="J59" s="101"/>
      <c r="K59" s="117">
        <f t="shared" si="2"/>
        <v>3182</v>
      </c>
      <c r="L59" s="100"/>
      <c r="M59" s="118"/>
      <c r="N59" s="118"/>
      <c r="O59" s="118"/>
      <c r="P59" s="119"/>
      <c r="Q59" s="97"/>
      <c r="R59" s="101"/>
      <c r="S59" s="101"/>
      <c r="T59" s="101"/>
      <c r="U59" s="101"/>
      <c r="V59" s="101"/>
      <c r="W59" s="101"/>
      <c r="X59" s="120"/>
      <c r="Y59" s="107"/>
    </row>
    <row r="60" spans="1:25" s="93" customFormat="1" ht="13.5" customHeight="1" x14ac:dyDescent="0.25">
      <c r="A60" s="113">
        <v>52</v>
      </c>
      <c r="B60" s="114" t="s">
        <v>108</v>
      </c>
      <c r="C60" s="115" t="s">
        <v>211</v>
      </c>
      <c r="D60" s="100">
        <v>2048</v>
      </c>
      <c r="E60" s="101"/>
      <c r="F60" s="116"/>
      <c r="G60" s="103"/>
      <c r="H60" s="103"/>
      <c r="I60" s="103"/>
      <c r="J60" s="101"/>
      <c r="K60" s="117">
        <f t="shared" si="2"/>
        <v>2048</v>
      </c>
      <c r="L60" s="100"/>
      <c r="M60" s="118"/>
      <c r="N60" s="118"/>
      <c r="O60" s="118"/>
      <c r="P60" s="119"/>
      <c r="Q60" s="97"/>
      <c r="R60" s="101"/>
      <c r="S60" s="101"/>
      <c r="T60" s="101"/>
      <c r="U60" s="101"/>
      <c r="V60" s="101"/>
      <c r="W60" s="101"/>
      <c r="X60" s="120"/>
      <c r="Y60" s="107"/>
    </row>
    <row r="61" spans="1:25" s="93" customFormat="1" ht="13.5" customHeight="1" x14ac:dyDescent="0.25">
      <c r="A61" s="113">
        <v>53</v>
      </c>
      <c r="B61" s="114" t="s">
        <v>109</v>
      </c>
      <c r="C61" s="115" t="s">
        <v>212</v>
      </c>
      <c r="D61" s="100">
        <v>2174</v>
      </c>
      <c r="E61" s="101"/>
      <c r="F61" s="116">
        <v>196</v>
      </c>
      <c r="G61" s="103">
        <v>0</v>
      </c>
      <c r="H61" s="103">
        <v>0</v>
      </c>
      <c r="I61" s="103">
        <v>0</v>
      </c>
      <c r="J61" s="101">
        <f t="shared" si="5"/>
        <v>196</v>
      </c>
      <c r="K61" s="117">
        <f t="shared" si="2"/>
        <v>2370</v>
      </c>
      <c r="L61" s="100"/>
      <c r="M61" s="118"/>
      <c r="N61" s="118"/>
      <c r="O61" s="118"/>
      <c r="P61" s="119"/>
      <c r="Q61" s="97"/>
      <c r="R61" s="101"/>
      <c r="S61" s="101"/>
      <c r="T61" s="101"/>
      <c r="U61" s="101"/>
      <c r="V61" s="101"/>
      <c r="W61" s="101"/>
      <c r="X61" s="120"/>
      <c r="Y61" s="107"/>
    </row>
    <row r="62" spans="1:25" s="93" customFormat="1" ht="13.5" customHeight="1" x14ac:dyDescent="0.25">
      <c r="A62" s="113">
        <v>54</v>
      </c>
      <c r="B62" s="114" t="s">
        <v>110</v>
      </c>
      <c r="C62" s="115" t="s">
        <v>213</v>
      </c>
      <c r="D62" s="100">
        <v>1507</v>
      </c>
      <c r="E62" s="101"/>
      <c r="F62" s="116"/>
      <c r="G62" s="103"/>
      <c r="H62" s="103"/>
      <c r="I62" s="103"/>
      <c r="J62" s="101"/>
      <c r="K62" s="117">
        <f t="shared" si="2"/>
        <v>1507</v>
      </c>
      <c r="L62" s="100"/>
      <c r="M62" s="118"/>
      <c r="N62" s="118"/>
      <c r="O62" s="118"/>
      <c r="P62" s="119"/>
      <c r="Q62" s="97"/>
      <c r="R62" s="101"/>
      <c r="S62" s="101"/>
      <c r="T62" s="101"/>
      <c r="U62" s="101"/>
      <c r="V62" s="101"/>
      <c r="W62" s="101"/>
      <c r="X62" s="120"/>
      <c r="Y62" s="107"/>
    </row>
    <row r="63" spans="1:25" s="93" customFormat="1" ht="13.5" customHeight="1" x14ac:dyDescent="0.25">
      <c r="A63" s="113">
        <v>55</v>
      </c>
      <c r="B63" s="114" t="s">
        <v>111</v>
      </c>
      <c r="C63" s="115" t="s">
        <v>214</v>
      </c>
      <c r="D63" s="100">
        <v>3948</v>
      </c>
      <c r="E63" s="101"/>
      <c r="F63" s="116">
        <v>388</v>
      </c>
      <c r="G63" s="103">
        <v>0</v>
      </c>
      <c r="H63" s="103">
        <v>0</v>
      </c>
      <c r="I63" s="103">
        <v>0</v>
      </c>
      <c r="J63" s="101">
        <f t="shared" si="5"/>
        <v>388</v>
      </c>
      <c r="K63" s="117">
        <f t="shared" si="2"/>
        <v>4336</v>
      </c>
      <c r="L63" s="100"/>
      <c r="M63" s="118"/>
      <c r="N63" s="118"/>
      <c r="O63" s="118"/>
      <c r="P63" s="119"/>
      <c r="Q63" s="97"/>
      <c r="R63" s="101"/>
      <c r="S63" s="101"/>
      <c r="T63" s="101"/>
      <c r="U63" s="101"/>
      <c r="V63" s="101"/>
      <c r="W63" s="101"/>
      <c r="X63" s="120"/>
      <c r="Y63" s="107"/>
    </row>
    <row r="64" spans="1:25" s="93" customFormat="1" ht="13.5" customHeight="1" x14ac:dyDescent="0.25">
      <c r="A64" s="113">
        <v>56</v>
      </c>
      <c r="B64" s="114" t="s">
        <v>112</v>
      </c>
      <c r="C64" s="115" t="s">
        <v>113</v>
      </c>
      <c r="D64" s="100">
        <v>0</v>
      </c>
      <c r="E64" s="101"/>
      <c r="F64" s="116"/>
      <c r="G64" s="103"/>
      <c r="H64" s="103"/>
      <c r="I64" s="103"/>
      <c r="J64" s="101"/>
      <c r="K64" s="117">
        <f t="shared" si="2"/>
        <v>0</v>
      </c>
      <c r="L64" s="100"/>
      <c r="M64" s="118"/>
      <c r="N64" s="118"/>
      <c r="O64" s="118"/>
      <c r="P64" s="119"/>
      <c r="Q64" s="97"/>
      <c r="R64" s="101"/>
      <c r="S64" s="101"/>
      <c r="T64" s="101"/>
      <c r="U64" s="101"/>
      <c r="V64" s="101"/>
      <c r="W64" s="101"/>
      <c r="X64" s="120"/>
      <c r="Y64" s="107"/>
    </row>
    <row r="65" spans="1:25" s="93" customFormat="1" ht="13.5" customHeight="1" x14ac:dyDescent="0.25">
      <c r="A65" s="113">
        <v>57</v>
      </c>
      <c r="B65" s="114" t="s">
        <v>114</v>
      </c>
      <c r="C65" s="115" t="s">
        <v>115</v>
      </c>
      <c r="D65" s="100">
        <v>2910</v>
      </c>
      <c r="E65" s="101"/>
      <c r="F65" s="116"/>
      <c r="G65" s="103"/>
      <c r="H65" s="103"/>
      <c r="I65" s="103"/>
      <c r="J65" s="101"/>
      <c r="K65" s="117">
        <f t="shared" si="2"/>
        <v>2910</v>
      </c>
      <c r="L65" s="100"/>
      <c r="M65" s="118"/>
      <c r="N65" s="118"/>
      <c r="O65" s="118"/>
      <c r="P65" s="119"/>
      <c r="Q65" s="97"/>
      <c r="R65" s="101"/>
      <c r="S65" s="101"/>
      <c r="T65" s="101"/>
      <c r="U65" s="101"/>
      <c r="V65" s="101"/>
      <c r="W65" s="101"/>
      <c r="X65" s="120"/>
      <c r="Y65" s="107"/>
    </row>
    <row r="66" spans="1:25" s="93" customFormat="1" ht="13.5" customHeight="1" x14ac:dyDescent="0.25">
      <c r="A66" s="113">
        <v>58</v>
      </c>
      <c r="B66" s="114" t="s">
        <v>116</v>
      </c>
      <c r="C66" s="115" t="s">
        <v>117</v>
      </c>
      <c r="D66" s="100">
        <v>1342</v>
      </c>
      <c r="E66" s="101"/>
      <c r="F66" s="116">
        <v>362</v>
      </c>
      <c r="G66" s="103"/>
      <c r="H66" s="103"/>
      <c r="I66" s="103"/>
      <c r="J66" s="101">
        <f t="shared" si="5"/>
        <v>362</v>
      </c>
      <c r="K66" s="117">
        <f t="shared" si="2"/>
        <v>1704</v>
      </c>
      <c r="L66" s="100"/>
      <c r="M66" s="118"/>
      <c r="N66" s="118"/>
      <c r="O66" s="118"/>
      <c r="P66" s="119"/>
      <c r="Q66" s="97"/>
      <c r="R66" s="101"/>
      <c r="S66" s="101"/>
      <c r="T66" s="101"/>
      <c r="U66" s="101"/>
      <c r="V66" s="101"/>
      <c r="W66" s="101"/>
      <c r="X66" s="120"/>
      <c r="Y66" s="107"/>
    </row>
    <row r="67" spans="1:25" s="93" customFormat="1" ht="13.5" customHeight="1" x14ac:dyDescent="0.25">
      <c r="A67" s="113">
        <v>59</v>
      </c>
      <c r="B67" s="114" t="s">
        <v>118</v>
      </c>
      <c r="C67" s="115" t="s">
        <v>215</v>
      </c>
      <c r="D67" s="100">
        <v>3945</v>
      </c>
      <c r="E67" s="101">
        <v>232</v>
      </c>
      <c r="F67" s="116">
        <v>374</v>
      </c>
      <c r="G67" s="103"/>
      <c r="H67" s="103"/>
      <c r="I67" s="103"/>
      <c r="J67" s="101">
        <f t="shared" si="5"/>
        <v>374</v>
      </c>
      <c r="K67" s="117">
        <f t="shared" si="2"/>
        <v>4551</v>
      </c>
      <c r="L67" s="100"/>
      <c r="M67" s="118"/>
      <c r="N67" s="118"/>
      <c r="O67" s="118"/>
      <c r="P67" s="119"/>
      <c r="Q67" s="97"/>
      <c r="R67" s="101"/>
      <c r="S67" s="101"/>
      <c r="T67" s="101"/>
      <c r="U67" s="101"/>
      <c r="V67" s="101"/>
      <c r="W67" s="101"/>
      <c r="X67" s="120"/>
      <c r="Y67" s="107"/>
    </row>
    <row r="68" spans="1:25" s="93" customFormat="1" ht="13.5" customHeight="1" x14ac:dyDescent="0.25">
      <c r="A68" s="113">
        <v>60</v>
      </c>
      <c r="B68" s="114" t="s">
        <v>119</v>
      </c>
      <c r="C68" s="115" t="s">
        <v>120</v>
      </c>
      <c r="D68" s="100">
        <v>1729</v>
      </c>
      <c r="E68" s="101"/>
      <c r="F68" s="116">
        <v>170</v>
      </c>
      <c r="G68" s="103"/>
      <c r="H68" s="103"/>
      <c r="I68" s="103"/>
      <c r="J68" s="101">
        <f t="shared" si="5"/>
        <v>170</v>
      </c>
      <c r="K68" s="117">
        <f t="shared" si="2"/>
        <v>1899</v>
      </c>
      <c r="L68" s="100"/>
      <c r="M68" s="118"/>
      <c r="N68" s="118"/>
      <c r="O68" s="118"/>
      <c r="P68" s="119"/>
      <c r="Q68" s="97"/>
      <c r="R68" s="101"/>
      <c r="S68" s="101"/>
      <c r="T68" s="101"/>
      <c r="U68" s="101"/>
      <c r="V68" s="101"/>
      <c r="W68" s="101"/>
      <c r="X68" s="120"/>
      <c r="Y68" s="107"/>
    </row>
    <row r="69" spans="1:25" s="93" customFormat="1" ht="13.5" customHeight="1" x14ac:dyDescent="0.25">
      <c r="A69" s="113">
        <v>61</v>
      </c>
      <c r="B69" s="121" t="s">
        <v>121</v>
      </c>
      <c r="C69" s="115" t="s">
        <v>122</v>
      </c>
      <c r="D69" s="100">
        <v>1135</v>
      </c>
      <c r="E69" s="101"/>
      <c r="F69" s="116"/>
      <c r="G69" s="103"/>
      <c r="H69" s="103"/>
      <c r="I69" s="103"/>
      <c r="J69" s="101">
        <f t="shared" si="5"/>
        <v>0</v>
      </c>
      <c r="K69" s="117">
        <f t="shared" si="2"/>
        <v>1135</v>
      </c>
      <c r="L69" s="100"/>
      <c r="M69" s="118"/>
      <c r="N69" s="118"/>
      <c r="O69" s="118"/>
      <c r="P69" s="119"/>
      <c r="Q69" s="97"/>
      <c r="R69" s="101"/>
      <c r="S69" s="101"/>
      <c r="T69" s="101"/>
      <c r="U69" s="101"/>
      <c r="V69" s="101"/>
      <c r="W69" s="101"/>
      <c r="X69" s="120"/>
      <c r="Y69" s="107"/>
    </row>
    <row r="70" spans="1:25" s="93" customFormat="1" ht="13.5" customHeight="1" x14ac:dyDescent="0.25">
      <c r="A70" s="113">
        <v>62</v>
      </c>
      <c r="B70" s="114" t="s">
        <v>123</v>
      </c>
      <c r="C70" s="115" t="s">
        <v>124</v>
      </c>
      <c r="D70" s="100">
        <v>2295</v>
      </c>
      <c r="E70" s="101">
        <v>73</v>
      </c>
      <c r="F70" s="116">
        <v>225</v>
      </c>
      <c r="G70" s="103"/>
      <c r="H70" s="103"/>
      <c r="I70" s="103"/>
      <c r="J70" s="101">
        <f t="shared" si="5"/>
        <v>225</v>
      </c>
      <c r="K70" s="117">
        <f t="shared" si="2"/>
        <v>2593</v>
      </c>
      <c r="L70" s="100"/>
      <c r="M70" s="118"/>
      <c r="N70" s="118"/>
      <c r="O70" s="118"/>
      <c r="P70" s="119"/>
      <c r="Q70" s="97"/>
      <c r="R70" s="101"/>
      <c r="S70" s="101"/>
      <c r="T70" s="101"/>
      <c r="U70" s="101"/>
      <c r="V70" s="101"/>
      <c r="W70" s="101"/>
      <c r="X70" s="120"/>
      <c r="Y70" s="107"/>
    </row>
    <row r="71" spans="1:25" s="93" customFormat="1" ht="13.5" customHeight="1" x14ac:dyDescent="0.25">
      <c r="A71" s="113">
        <v>63</v>
      </c>
      <c r="B71" s="114" t="s">
        <v>125</v>
      </c>
      <c r="C71" s="115" t="s">
        <v>209</v>
      </c>
      <c r="D71" s="100">
        <v>0</v>
      </c>
      <c r="E71" s="101">
        <v>58</v>
      </c>
      <c r="F71" s="116">
        <v>220</v>
      </c>
      <c r="G71" s="103"/>
      <c r="H71" s="103"/>
      <c r="I71" s="103"/>
      <c r="J71" s="101">
        <f t="shared" si="5"/>
        <v>220</v>
      </c>
      <c r="K71" s="117">
        <f t="shared" si="2"/>
        <v>278</v>
      </c>
      <c r="L71" s="100"/>
      <c r="M71" s="118"/>
      <c r="N71" s="118"/>
      <c r="O71" s="118"/>
      <c r="P71" s="119"/>
      <c r="Q71" s="97"/>
      <c r="R71" s="101"/>
      <c r="S71" s="101"/>
      <c r="T71" s="101"/>
      <c r="U71" s="101"/>
      <c r="V71" s="101"/>
      <c r="W71" s="101"/>
      <c r="X71" s="120"/>
      <c r="Y71" s="107"/>
    </row>
    <row r="72" spans="1:25" s="93" customFormat="1" ht="13.5" customHeight="1" x14ac:dyDescent="0.25">
      <c r="A72" s="113">
        <v>64</v>
      </c>
      <c r="B72" s="114" t="s">
        <v>126</v>
      </c>
      <c r="C72" s="115" t="s">
        <v>127</v>
      </c>
      <c r="D72" s="100">
        <v>1921</v>
      </c>
      <c r="E72" s="101">
        <v>0</v>
      </c>
      <c r="F72" s="116">
        <v>239</v>
      </c>
      <c r="G72" s="103">
        <v>82</v>
      </c>
      <c r="H72" s="103">
        <v>13</v>
      </c>
      <c r="I72" s="103">
        <v>17</v>
      </c>
      <c r="J72" s="101">
        <f t="shared" si="5"/>
        <v>351</v>
      </c>
      <c r="K72" s="117">
        <f t="shared" si="2"/>
        <v>2272</v>
      </c>
      <c r="L72" s="100"/>
      <c r="M72" s="118"/>
      <c r="N72" s="118"/>
      <c r="O72" s="118"/>
      <c r="P72" s="119"/>
      <c r="Q72" s="97"/>
      <c r="R72" s="101"/>
      <c r="S72" s="101"/>
      <c r="T72" s="101"/>
      <c r="U72" s="101"/>
      <c r="V72" s="101"/>
      <c r="W72" s="101"/>
      <c r="X72" s="120"/>
      <c r="Y72" s="107"/>
    </row>
    <row r="73" spans="1:25" s="93" customFormat="1" ht="13.5" customHeight="1" x14ac:dyDescent="0.25">
      <c r="A73" s="113">
        <v>65</v>
      </c>
      <c r="B73" s="114" t="s">
        <v>128</v>
      </c>
      <c r="C73" s="115" t="s">
        <v>129</v>
      </c>
      <c r="D73" s="100">
        <v>1140</v>
      </c>
      <c r="E73" s="101"/>
      <c r="F73" s="116"/>
      <c r="G73" s="103"/>
      <c r="H73" s="103"/>
      <c r="I73" s="103"/>
      <c r="J73" s="101"/>
      <c r="K73" s="117">
        <f t="shared" si="2"/>
        <v>1140</v>
      </c>
      <c r="L73" s="100"/>
      <c r="M73" s="118"/>
      <c r="N73" s="118"/>
      <c r="O73" s="118"/>
      <c r="P73" s="119"/>
      <c r="Q73" s="97"/>
      <c r="R73" s="101"/>
      <c r="S73" s="101"/>
      <c r="T73" s="101"/>
      <c r="U73" s="101"/>
      <c r="V73" s="101"/>
      <c r="W73" s="101"/>
      <c r="X73" s="120"/>
      <c r="Y73" s="107"/>
    </row>
    <row r="74" spans="1:25" s="93" customFormat="1" ht="13.5" customHeight="1" x14ac:dyDescent="0.25">
      <c r="A74" s="113">
        <v>66</v>
      </c>
      <c r="B74" s="114" t="s">
        <v>130</v>
      </c>
      <c r="C74" s="115" t="s">
        <v>207</v>
      </c>
      <c r="D74" s="100">
        <v>338</v>
      </c>
      <c r="E74" s="101"/>
      <c r="F74" s="116"/>
      <c r="G74" s="103"/>
      <c r="H74" s="103"/>
      <c r="I74" s="103"/>
      <c r="J74" s="101"/>
      <c r="K74" s="117">
        <f t="shared" si="2"/>
        <v>338</v>
      </c>
      <c r="L74" s="100"/>
      <c r="M74" s="118"/>
      <c r="N74" s="118"/>
      <c r="O74" s="118"/>
      <c r="P74" s="119"/>
      <c r="Q74" s="97"/>
      <c r="R74" s="101"/>
      <c r="S74" s="101"/>
      <c r="T74" s="101"/>
      <c r="U74" s="101"/>
      <c r="V74" s="101"/>
      <c r="W74" s="101"/>
      <c r="X74" s="120"/>
      <c r="Y74" s="107"/>
    </row>
    <row r="75" spans="1:25" s="93" customFormat="1" ht="13.5" customHeight="1" x14ac:dyDescent="0.25">
      <c r="A75" s="113">
        <v>67</v>
      </c>
      <c r="B75" s="114" t="s">
        <v>131</v>
      </c>
      <c r="C75" s="115" t="s">
        <v>132</v>
      </c>
      <c r="D75" s="100">
        <v>6836</v>
      </c>
      <c r="E75" s="101">
        <v>282</v>
      </c>
      <c r="F75" s="116">
        <v>927</v>
      </c>
      <c r="G75" s="103">
        <v>607</v>
      </c>
      <c r="H75" s="103">
        <v>84</v>
      </c>
      <c r="I75" s="103">
        <v>113</v>
      </c>
      <c r="J75" s="101">
        <f t="shared" si="5"/>
        <v>1731</v>
      </c>
      <c r="K75" s="117">
        <f t="shared" ref="K75:K102" si="7">D75+E75+J75</f>
        <v>8849</v>
      </c>
      <c r="L75" s="100">
        <f>92+762</f>
        <v>854</v>
      </c>
      <c r="M75" s="118">
        <f>1971+4015</f>
        <v>5986</v>
      </c>
      <c r="N75" s="118">
        <f>5837+4919</f>
        <v>10756</v>
      </c>
      <c r="O75" s="118">
        <f>1077+410</f>
        <v>1487</v>
      </c>
      <c r="P75" s="119">
        <f t="shared" si="6"/>
        <v>19083</v>
      </c>
      <c r="Q75" s="97"/>
      <c r="R75" s="101"/>
      <c r="S75" s="101"/>
      <c r="T75" s="101"/>
      <c r="U75" s="101"/>
      <c r="V75" s="101"/>
      <c r="W75" s="101"/>
      <c r="X75" s="120"/>
      <c r="Y75" s="107"/>
    </row>
    <row r="76" spans="1:25" s="93" customFormat="1" ht="13.5" customHeight="1" x14ac:dyDescent="0.25">
      <c r="A76" s="113">
        <v>68</v>
      </c>
      <c r="B76" s="114" t="s">
        <v>133</v>
      </c>
      <c r="C76" s="115" t="s">
        <v>134</v>
      </c>
      <c r="D76" s="100">
        <v>1680</v>
      </c>
      <c r="E76" s="101"/>
      <c r="F76" s="116"/>
      <c r="G76" s="103"/>
      <c r="H76" s="103"/>
      <c r="I76" s="103"/>
      <c r="J76" s="101"/>
      <c r="K76" s="117">
        <f t="shared" si="7"/>
        <v>1680</v>
      </c>
      <c r="L76" s="100"/>
      <c r="M76" s="118"/>
      <c r="N76" s="118"/>
      <c r="O76" s="118"/>
      <c r="P76" s="119"/>
      <c r="Q76" s="97"/>
      <c r="R76" s="101"/>
      <c r="S76" s="101"/>
      <c r="T76" s="101"/>
      <c r="U76" s="101"/>
      <c r="V76" s="101"/>
      <c r="W76" s="101"/>
      <c r="X76" s="120"/>
      <c r="Y76" s="107"/>
    </row>
    <row r="77" spans="1:25" s="93" customFormat="1" ht="13.5" customHeight="1" x14ac:dyDescent="0.25">
      <c r="A77" s="113">
        <v>69</v>
      </c>
      <c r="B77" s="114" t="s">
        <v>9</v>
      </c>
      <c r="C77" s="115" t="s">
        <v>208</v>
      </c>
      <c r="D77" s="100">
        <v>2163</v>
      </c>
      <c r="E77" s="101">
        <v>0</v>
      </c>
      <c r="F77" s="116">
        <v>758</v>
      </c>
      <c r="G77" s="103">
        <v>359</v>
      </c>
      <c r="H77" s="103">
        <v>50</v>
      </c>
      <c r="I77" s="103">
        <v>72</v>
      </c>
      <c r="J77" s="101">
        <f t="shared" si="5"/>
        <v>1239</v>
      </c>
      <c r="K77" s="117">
        <f t="shared" si="7"/>
        <v>3402</v>
      </c>
      <c r="L77" s="100"/>
      <c r="M77" s="118"/>
      <c r="N77" s="118"/>
      <c r="O77" s="118"/>
      <c r="P77" s="119"/>
      <c r="Q77" s="97"/>
      <c r="R77" s="101"/>
      <c r="S77" s="101"/>
      <c r="T77" s="101"/>
      <c r="U77" s="101"/>
      <c r="V77" s="101"/>
      <c r="W77" s="101"/>
      <c r="X77" s="120"/>
      <c r="Y77" s="107"/>
    </row>
    <row r="78" spans="1:25" s="93" customFormat="1" ht="13.5" customHeight="1" x14ac:dyDescent="0.25">
      <c r="A78" s="113">
        <v>70</v>
      </c>
      <c r="B78" s="114" t="s">
        <v>137</v>
      </c>
      <c r="C78" s="115" t="s">
        <v>138</v>
      </c>
      <c r="D78" s="100">
        <v>352</v>
      </c>
      <c r="E78" s="101">
        <v>85</v>
      </c>
      <c r="F78" s="116">
        <v>147</v>
      </c>
      <c r="G78" s="103"/>
      <c r="H78" s="103"/>
      <c r="I78" s="103"/>
      <c r="J78" s="101">
        <f t="shared" si="5"/>
        <v>147</v>
      </c>
      <c r="K78" s="117">
        <f t="shared" si="7"/>
        <v>584</v>
      </c>
      <c r="L78" s="100"/>
      <c r="M78" s="118"/>
      <c r="N78" s="118"/>
      <c r="O78" s="118"/>
      <c r="P78" s="119"/>
      <c r="Q78" s="97"/>
      <c r="R78" s="101"/>
      <c r="S78" s="101"/>
      <c r="T78" s="101"/>
      <c r="U78" s="101"/>
      <c r="V78" s="101"/>
      <c r="W78" s="101"/>
      <c r="X78" s="120"/>
      <c r="Y78" s="107"/>
    </row>
    <row r="79" spans="1:25" s="93" customFormat="1" ht="13.5" customHeight="1" x14ac:dyDescent="0.25">
      <c r="A79" s="113">
        <v>71</v>
      </c>
      <c r="B79" s="114" t="s">
        <v>139</v>
      </c>
      <c r="C79" s="115" t="s">
        <v>140</v>
      </c>
      <c r="D79" s="100">
        <v>299</v>
      </c>
      <c r="E79" s="101"/>
      <c r="F79" s="116"/>
      <c r="G79" s="103"/>
      <c r="H79" s="103"/>
      <c r="I79" s="103"/>
      <c r="J79" s="101"/>
      <c r="K79" s="117">
        <f t="shared" si="7"/>
        <v>299</v>
      </c>
      <c r="L79" s="100"/>
      <c r="M79" s="118"/>
      <c r="N79" s="118"/>
      <c r="O79" s="118"/>
      <c r="P79" s="119"/>
      <c r="Q79" s="97"/>
      <c r="R79" s="101"/>
      <c r="S79" s="101"/>
      <c r="T79" s="101"/>
      <c r="U79" s="101"/>
      <c r="V79" s="101"/>
      <c r="W79" s="101"/>
      <c r="X79" s="120"/>
      <c r="Y79" s="107"/>
    </row>
    <row r="80" spans="1:25" s="93" customFormat="1" ht="13.5" customHeight="1" x14ac:dyDescent="0.25">
      <c r="A80" s="113">
        <v>72</v>
      </c>
      <c r="B80" s="114" t="s">
        <v>141</v>
      </c>
      <c r="C80" s="115" t="s">
        <v>142</v>
      </c>
      <c r="D80" s="100">
        <v>5293</v>
      </c>
      <c r="E80" s="101">
        <v>113</v>
      </c>
      <c r="F80" s="116">
        <v>133</v>
      </c>
      <c r="G80" s="103">
        <v>129</v>
      </c>
      <c r="H80" s="103">
        <v>22</v>
      </c>
      <c r="I80" s="103">
        <v>28</v>
      </c>
      <c r="J80" s="101">
        <f t="shared" si="5"/>
        <v>312</v>
      </c>
      <c r="K80" s="117">
        <f t="shared" si="7"/>
        <v>5718</v>
      </c>
      <c r="L80" s="100"/>
      <c r="M80" s="118"/>
      <c r="N80" s="118"/>
      <c r="O80" s="118"/>
      <c r="P80" s="119"/>
      <c r="Q80" s="97"/>
      <c r="R80" s="101"/>
      <c r="S80" s="101"/>
      <c r="T80" s="101"/>
      <c r="U80" s="101"/>
      <c r="V80" s="101"/>
      <c r="W80" s="101"/>
      <c r="X80" s="120"/>
      <c r="Y80" s="107"/>
    </row>
    <row r="81" spans="1:25" s="93" customFormat="1" ht="13.5" customHeight="1" x14ac:dyDescent="0.25">
      <c r="A81" s="113">
        <v>73</v>
      </c>
      <c r="B81" s="114" t="s">
        <v>143</v>
      </c>
      <c r="C81" s="115" t="s">
        <v>144</v>
      </c>
      <c r="D81" s="100">
        <v>0</v>
      </c>
      <c r="E81" s="101">
        <v>20</v>
      </c>
      <c r="F81" s="116"/>
      <c r="G81" s="103"/>
      <c r="H81" s="103"/>
      <c r="I81" s="103"/>
      <c r="J81" s="101"/>
      <c r="K81" s="117">
        <f t="shared" si="7"/>
        <v>20</v>
      </c>
      <c r="L81" s="100"/>
      <c r="M81" s="118"/>
      <c r="N81" s="118"/>
      <c r="O81" s="118"/>
      <c r="P81" s="119"/>
      <c r="Q81" s="97"/>
      <c r="R81" s="101"/>
      <c r="S81" s="101"/>
      <c r="T81" s="101"/>
      <c r="U81" s="101"/>
      <c r="V81" s="101"/>
      <c r="W81" s="101"/>
      <c r="X81" s="120"/>
      <c r="Y81" s="107"/>
    </row>
    <row r="82" spans="1:25" s="93" customFormat="1" ht="13.5" customHeight="1" x14ac:dyDescent="0.25">
      <c r="A82" s="113">
        <v>74</v>
      </c>
      <c r="B82" s="114" t="s">
        <v>145</v>
      </c>
      <c r="C82" s="115" t="s">
        <v>146</v>
      </c>
      <c r="D82" s="100">
        <v>626</v>
      </c>
      <c r="E82" s="101"/>
      <c r="F82" s="116">
        <v>61</v>
      </c>
      <c r="G82" s="103"/>
      <c r="H82" s="103"/>
      <c r="I82" s="103"/>
      <c r="J82" s="101">
        <f t="shared" si="5"/>
        <v>61</v>
      </c>
      <c r="K82" s="117">
        <f t="shared" si="7"/>
        <v>687</v>
      </c>
      <c r="L82" s="100"/>
      <c r="M82" s="118"/>
      <c r="N82" s="118"/>
      <c r="O82" s="118"/>
      <c r="P82" s="119"/>
      <c r="Q82" s="97"/>
      <c r="R82" s="101"/>
      <c r="S82" s="101"/>
      <c r="T82" s="101"/>
      <c r="U82" s="101"/>
      <c r="V82" s="101"/>
      <c r="W82" s="101"/>
      <c r="X82" s="120"/>
      <c r="Y82" s="107"/>
    </row>
    <row r="83" spans="1:25" s="93" customFormat="1" ht="13.5" customHeight="1" x14ac:dyDescent="0.25">
      <c r="A83" s="113">
        <v>75</v>
      </c>
      <c r="B83" s="114" t="s">
        <v>147</v>
      </c>
      <c r="C83" s="115" t="s">
        <v>148</v>
      </c>
      <c r="D83" s="100">
        <v>1663</v>
      </c>
      <c r="E83" s="101"/>
      <c r="F83" s="116">
        <v>163</v>
      </c>
      <c r="G83" s="103"/>
      <c r="H83" s="103"/>
      <c r="I83" s="103"/>
      <c r="J83" s="101">
        <f t="shared" si="5"/>
        <v>163</v>
      </c>
      <c r="K83" s="117">
        <f t="shared" si="7"/>
        <v>1826</v>
      </c>
      <c r="L83" s="100"/>
      <c r="M83" s="118"/>
      <c r="N83" s="118"/>
      <c r="O83" s="118"/>
      <c r="P83" s="119"/>
      <c r="Q83" s="97"/>
      <c r="R83" s="101"/>
      <c r="S83" s="101"/>
      <c r="T83" s="101"/>
      <c r="U83" s="101"/>
      <c r="V83" s="101"/>
      <c r="W83" s="101"/>
      <c r="X83" s="120"/>
      <c r="Y83" s="107"/>
    </row>
    <row r="84" spans="1:25" s="93" customFormat="1" ht="13.5" customHeight="1" x14ac:dyDescent="0.25">
      <c r="A84" s="113">
        <v>76</v>
      </c>
      <c r="B84" s="114" t="s">
        <v>149</v>
      </c>
      <c r="C84" s="115" t="s">
        <v>150</v>
      </c>
      <c r="D84" s="100">
        <v>755</v>
      </c>
      <c r="E84" s="101">
        <v>24</v>
      </c>
      <c r="F84" s="116">
        <v>74</v>
      </c>
      <c r="G84" s="103"/>
      <c r="H84" s="103"/>
      <c r="I84" s="103"/>
      <c r="J84" s="101">
        <f t="shared" si="5"/>
        <v>74</v>
      </c>
      <c r="K84" s="117">
        <f t="shared" si="7"/>
        <v>853</v>
      </c>
      <c r="L84" s="100"/>
      <c r="M84" s="118"/>
      <c r="N84" s="118"/>
      <c r="O84" s="118"/>
      <c r="P84" s="119"/>
      <c r="Q84" s="97"/>
      <c r="R84" s="101"/>
      <c r="S84" s="101"/>
      <c r="T84" s="101"/>
      <c r="U84" s="101"/>
      <c r="V84" s="101"/>
      <c r="W84" s="101"/>
      <c r="X84" s="120"/>
      <c r="Y84" s="107"/>
    </row>
    <row r="85" spans="1:25" s="93" customFormat="1" ht="13.5" customHeight="1" x14ac:dyDescent="0.25">
      <c r="A85" s="113">
        <v>77</v>
      </c>
      <c r="B85" s="114" t="s">
        <v>151</v>
      </c>
      <c r="C85" s="115" t="s">
        <v>152</v>
      </c>
      <c r="D85" s="100">
        <v>1003</v>
      </c>
      <c r="E85" s="101">
        <v>31</v>
      </c>
      <c r="F85" s="116"/>
      <c r="G85" s="103"/>
      <c r="H85" s="103"/>
      <c r="I85" s="103"/>
      <c r="J85" s="101"/>
      <c r="K85" s="117">
        <f t="shared" si="7"/>
        <v>1034</v>
      </c>
      <c r="L85" s="100"/>
      <c r="M85" s="118"/>
      <c r="N85" s="118"/>
      <c r="O85" s="118"/>
      <c r="P85" s="119"/>
      <c r="Q85" s="97"/>
      <c r="R85" s="101"/>
      <c r="S85" s="101"/>
      <c r="T85" s="101"/>
      <c r="U85" s="101"/>
      <c r="V85" s="101"/>
      <c r="W85" s="101"/>
      <c r="X85" s="120"/>
      <c r="Y85" s="107"/>
    </row>
    <row r="86" spans="1:25" s="93" customFormat="1" ht="13.5" customHeight="1" x14ac:dyDescent="0.25">
      <c r="A86" s="113">
        <v>78</v>
      </c>
      <c r="B86" s="114" t="s">
        <v>153</v>
      </c>
      <c r="C86" s="115" t="s">
        <v>154</v>
      </c>
      <c r="D86" s="100">
        <v>1790</v>
      </c>
      <c r="E86" s="101">
        <v>40</v>
      </c>
      <c r="F86" s="116"/>
      <c r="G86" s="103"/>
      <c r="H86" s="103"/>
      <c r="I86" s="103"/>
      <c r="J86" s="101"/>
      <c r="K86" s="117">
        <f t="shared" si="7"/>
        <v>1830</v>
      </c>
      <c r="L86" s="100"/>
      <c r="M86" s="118"/>
      <c r="N86" s="118"/>
      <c r="O86" s="118"/>
      <c r="P86" s="119"/>
      <c r="Q86" s="97"/>
      <c r="R86" s="101"/>
      <c r="S86" s="101"/>
      <c r="T86" s="101"/>
      <c r="U86" s="101"/>
      <c r="V86" s="101"/>
      <c r="W86" s="101"/>
      <c r="X86" s="120"/>
      <c r="Y86" s="107"/>
    </row>
    <row r="87" spans="1:25" s="93" customFormat="1" ht="13.5" customHeight="1" x14ac:dyDescent="0.25">
      <c r="A87" s="113">
        <v>79</v>
      </c>
      <c r="B87" s="114" t="s">
        <v>155</v>
      </c>
      <c r="C87" s="115" t="s">
        <v>156</v>
      </c>
      <c r="D87" s="100">
        <v>1592</v>
      </c>
      <c r="E87" s="101"/>
      <c r="F87" s="116">
        <v>0</v>
      </c>
      <c r="G87" s="103"/>
      <c r="H87" s="103"/>
      <c r="I87" s="103"/>
      <c r="J87" s="101">
        <f t="shared" si="5"/>
        <v>0</v>
      </c>
      <c r="K87" s="117">
        <f t="shared" si="7"/>
        <v>1592</v>
      </c>
      <c r="L87" s="100"/>
      <c r="M87" s="118"/>
      <c r="N87" s="118"/>
      <c r="O87" s="118"/>
      <c r="P87" s="119"/>
      <c r="Q87" s="97"/>
      <c r="R87" s="101"/>
      <c r="S87" s="101"/>
      <c r="T87" s="101"/>
      <c r="U87" s="101"/>
      <c r="V87" s="101"/>
      <c r="W87" s="101"/>
      <c r="X87" s="120"/>
      <c r="Y87" s="107"/>
    </row>
    <row r="88" spans="1:25" s="93" customFormat="1" ht="13.5" customHeight="1" x14ac:dyDescent="0.25">
      <c r="A88" s="113">
        <v>80</v>
      </c>
      <c r="B88" s="114" t="s">
        <v>157</v>
      </c>
      <c r="C88" s="115" t="s">
        <v>158</v>
      </c>
      <c r="D88" s="100">
        <v>562</v>
      </c>
      <c r="E88" s="101">
        <v>18</v>
      </c>
      <c r="F88" s="116">
        <v>55</v>
      </c>
      <c r="G88" s="103"/>
      <c r="H88" s="103"/>
      <c r="I88" s="103"/>
      <c r="J88" s="101">
        <f t="shared" si="5"/>
        <v>55</v>
      </c>
      <c r="K88" s="117">
        <f t="shared" si="7"/>
        <v>635</v>
      </c>
      <c r="L88" s="100"/>
      <c r="M88" s="118"/>
      <c r="N88" s="118"/>
      <c r="O88" s="118"/>
      <c r="P88" s="119"/>
      <c r="Q88" s="97"/>
      <c r="R88" s="101"/>
      <c r="S88" s="101"/>
      <c r="T88" s="101"/>
      <c r="U88" s="101"/>
      <c r="V88" s="101"/>
      <c r="W88" s="101"/>
      <c r="X88" s="120"/>
      <c r="Y88" s="107"/>
    </row>
    <row r="89" spans="1:25" s="93" customFormat="1" ht="13.5" customHeight="1" x14ac:dyDescent="0.25">
      <c r="A89" s="113">
        <v>81</v>
      </c>
      <c r="B89" s="114" t="s">
        <v>159</v>
      </c>
      <c r="C89" s="115" t="s">
        <v>160</v>
      </c>
      <c r="D89" s="100">
        <v>901</v>
      </c>
      <c r="E89" s="101">
        <v>0</v>
      </c>
      <c r="F89" s="116"/>
      <c r="G89" s="103"/>
      <c r="H89" s="103"/>
      <c r="I89" s="103"/>
      <c r="J89" s="101"/>
      <c r="K89" s="117">
        <f t="shared" si="7"/>
        <v>901</v>
      </c>
      <c r="L89" s="100"/>
      <c r="M89" s="118"/>
      <c r="N89" s="118"/>
      <c r="O89" s="118"/>
      <c r="P89" s="119"/>
      <c r="Q89" s="97"/>
      <c r="R89" s="101"/>
      <c r="S89" s="101"/>
      <c r="T89" s="101"/>
      <c r="U89" s="101"/>
      <c r="V89" s="101"/>
      <c r="W89" s="101"/>
      <c r="X89" s="120"/>
      <c r="Y89" s="107"/>
    </row>
    <row r="90" spans="1:25" s="93" customFormat="1" ht="13.5" customHeight="1" x14ac:dyDescent="0.25">
      <c r="A90" s="113">
        <v>82</v>
      </c>
      <c r="B90" s="114" t="s">
        <v>161</v>
      </c>
      <c r="C90" s="115" t="s">
        <v>162</v>
      </c>
      <c r="D90" s="100">
        <v>849</v>
      </c>
      <c r="E90" s="101">
        <v>27</v>
      </c>
      <c r="F90" s="116">
        <v>83</v>
      </c>
      <c r="G90" s="103"/>
      <c r="H90" s="103"/>
      <c r="I90" s="103"/>
      <c r="J90" s="101">
        <f t="shared" si="5"/>
        <v>83</v>
      </c>
      <c r="K90" s="117">
        <f t="shared" si="7"/>
        <v>959</v>
      </c>
      <c r="L90" s="100"/>
      <c r="M90" s="118"/>
      <c r="N90" s="118"/>
      <c r="O90" s="118"/>
      <c r="P90" s="119"/>
      <c r="Q90" s="97"/>
      <c r="R90" s="101"/>
      <c r="S90" s="101"/>
      <c r="T90" s="101"/>
      <c r="U90" s="101"/>
      <c r="V90" s="101"/>
      <c r="W90" s="101"/>
      <c r="X90" s="120"/>
      <c r="Y90" s="107"/>
    </row>
    <row r="91" spans="1:25" s="93" customFormat="1" ht="13.5" customHeight="1" x14ac:dyDescent="0.25">
      <c r="A91" s="113">
        <v>83</v>
      </c>
      <c r="B91" s="114" t="s">
        <v>163</v>
      </c>
      <c r="C91" s="115" t="s">
        <v>164</v>
      </c>
      <c r="D91" s="100">
        <v>1356</v>
      </c>
      <c r="E91" s="101">
        <v>100</v>
      </c>
      <c r="F91" s="116">
        <v>94</v>
      </c>
      <c r="G91" s="103"/>
      <c r="H91" s="103"/>
      <c r="I91" s="103"/>
      <c r="J91" s="101">
        <f t="shared" si="5"/>
        <v>94</v>
      </c>
      <c r="K91" s="117">
        <f t="shared" si="7"/>
        <v>1550</v>
      </c>
      <c r="L91" s="100"/>
      <c r="M91" s="118"/>
      <c r="N91" s="118"/>
      <c r="O91" s="118"/>
      <c r="P91" s="119"/>
      <c r="Q91" s="97"/>
      <c r="R91" s="101"/>
      <c r="S91" s="101"/>
      <c r="T91" s="101"/>
      <c r="U91" s="101"/>
      <c r="V91" s="101"/>
      <c r="W91" s="101"/>
      <c r="X91" s="120"/>
      <c r="Y91" s="107"/>
    </row>
    <row r="92" spans="1:25" s="93" customFormat="1" ht="13.5" customHeight="1" x14ac:dyDescent="0.25">
      <c r="A92" s="113">
        <v>84</v>
      </c>
      <c r="B92" s="114" t="s">
        <v>165</v>
      </c>
      <c r="C92" s="115" t="s">
        <v>166</v>
      </c>
      <c r="D92" s="100">
        <v>649</v>
      </c>
      <c r="E92" s="101"/>
      <c r="F92" s="116"/>
      <c r="G92" s="103"/>
      <c r="H92" s="103"/>
      <c r="I92" s="103"/>
      <c r="J92" s="101"/>
      <c r="K92" s="117">
        <f t="shared" si="7"/>
        <v>649</v>
      </c>
      <c r="L92" s="100"/>
      <c r="M92" s="118"/>
      <c r="N92" s="118"/>
      <c r="O92" s="118"/>
      <c r="P92" s="119"/>
      <c r="Q92" s="97"/>
      <c r="R92" s="101"/>
      <c r="S92" s="101"/>
      <c r="T92" s="101"/>
      <c r="U92" s="101"/>
      <c r="V92" s="101"/>
      <c r="W92" s="101"/>
      <c r="X92" s="120"/>
      <c r="Y92" s="107"/>
    </row>
    <row r="93" spans="1:25" s="93" customFormat="1" ht="13.5" customHeight="1" x14ac:dyDescent="0.25">
      <c r="A93" s="113">
        <v>85</v>
      </c>
      <c r="B93" s="114" t="s">
        <v>167</v>
      </c>
      <c r="C93" s="115" t="s">
        <v>168</v>
      </c>
      <c r="D93" s="100">
        <v>1006</v>
      </c>
      <c r="E93" s="101">
        <v>32</v>
      </c>
      <c r="F93" s="116">
        <v>99</v>
      </c>
      <c r="G93" s="103"/>
      <c r="H93" s="103"/>
      <c r="I93" s="103"/>
      <c r="J93" s="101">
        <f t="shared" si="5"/>
        <v>99</v>
      </c>
      <c r="K93" s="117">
        <f t="shared" si="7"/>
        <v>1137</v>
      </c>
      <c r="L93" s="100"/>
      <c r="M93" s="118"/>
      <c r="N93" s="118"/>
      <c r="O93" s="118"/>
      <c r="P93" s="119"/>
      <c r="Q93" s="97"/>
      <c r="R93" s="101"/>
      <c r="S93" s="101"/>
      <c r="T93" s="101"/>
      <c r="U93" s="101"/>
      <c r="V93" s="101"/>
      <c r="W93" s="101"/>
      <c r="X93" s="120"/>
      <c r="Y93" s="107"/>
    </row>
    <row r="94" spans="1:25" s="93" customFormat="1" ht="13.5" customHeight="1" x14ac:dyDescent="0.25">
      <c r="A94" s="113">
        <v>86</v>
      </c>
      <c r="B94" s="114" t="s">
        <v>169</v>
      </c>
      <c r="C94" s="115" t="s">
        <v>170</v>
      </c>
      <c r="D94" s="100">
        <v>1685</v>
      </c>
      <c r="E94" s="101">
        <v>54</v>
      </c>
      <c r="F94" s="116">
        <v>166</v>
      </c>
      <c r="G94" s="103"/>
      <c r="H94" s="103"/>
      <c r="I94" s="103"/>
      <c r="J94" s="101">
        <f t="shared" si="5"/>
        <v>166</v>
      </c>
      <c r="K94" s="117">
        <f t="shared" si="7"/>
        <v>1905</v>
      </c>
      <c r="L94" s="100"/>
      <c r="M94" s="118"/>
      <c r="N94" s="118"/>
      <c r="O94" s="118"/>
      <c r="P94" s="119"/>
      <c r="Q94" s="97"/>
      <c r="R94" s="101"/>
      <c r="S94" s="101"/>
      <c r="T94" s="101"/>
      <c r="U94" s="101"/>
      <c r="V94" s="101"/>
      <c r="W94" s="101"/>
      <c r="X94" s="120"/>
      <c r="Y94" s="107"/>
    </row>
    <row r="95" spans="1:25" s="93" customFormat="1" ht="13.5" customHeight="1" x14ac:dyDescent="0.25">
      <c r="A95" s="113">
        <v>87</v>
      </c>
      <c r="B95" s="114" t="s">
        <v>171</v>
      </c>
      <c r="C95" s="115" t="s">
        <v>216</v>
      </c>
      <c r="D95" s="100">
        <v>778</v>
      </c>
      <c r="E95" s="101"/>
      <c r="F95" s="116"/>
      <c r="G95" s="103"/>
      <c r="H95" s="103"/>
      <c r="I95" s="103"/>
      <c r="J95" s="101"/>
      <c r="K95" s="117">
        <f t="shared" si="7"/>
        <v>778</v>
      </c>
      <c r="L95" s="100"/>
      <c r="M95" s="118"/>
      <c r="N95" s="118"/>
      <c r="O95" s="118"/>
      <c r="P95" s="119"/>
      <c r="Q95" s="97"/>
      <c r="R95" s="101"/>
      <c r="S95" s="101"/>
      <c r="T95" s="101"/>
      <c r="U95" s="101"/>
      <c r="V95" s="101"/>
      <c r="W95" s="101"/>
      <c r="X95" s="120"/>
      <c r="Y95" s="107"/>
    </row>
    <row r="96" spans="1:25" s="93" customFormat="1" ht="13.5" customHeight="1" x14ac:dyDescent="0.25">
      <c r="A96" s="113">
        <v>88</v>
      </c>
      <c r="B96" s="114" t="s">
        <v>15</v>
      </c>
      <c r="C96" s="115" t="s">
        <v>180</v>
      </c>
      <c r="D96" s="100">
        <v>6204</v>
      </c>
      <c r="E96" s="101">
        <v>718</v>
      </c>
      <c r="F96" s="116">
        <v>1387</v>
      </c>
      <c r="G96" s="103">
        <v>482</v>
      </c>
      <c r="H96" s="103">
        <v>68</v>
      </c>
      <c r="I96" s="103">
        <v>66</v>
      </c>
      <c r="J96" s="101">
        <f t="shared" ref="J96:J102" si="8">F96+G96+H96+I96</f>
        <v>2003</v>
      </c>
      <c r="K96" s="117">
        <f t="shared" si="7"/>
        <v>8925</v>
      </c>
      <c r="L96" s="100">
        <f>103+160</f>
        <v>263</v>
      </c>
      <c r="M96" s="118">
        <f>2191-321</f>
        <v>1870</v>
      </c>
      <c r="N96" s="118">
        <f>6474-2574</f>
        <v>3900</v>
      </c>
      <c r="O96" s="118">
        <f>1194+2206</f>
        <v>3400</v>
      </c>
      <c r="P96" s="119">
        <f t="shared" ref="P96:P102" si="9">L96+M96+N96+O96</f>
        <v>9433</v>
      </c>
      <c r="Q96" s="97"/>
      <c r="R96" s="101"/>
      <c r="S96" s="101"/>
      <c r="T96" s="101"/>
      <c r="U96" s="101"/>
      <c r="V96" s="101"/>
      <c r="W96" s="101"/>
      <c r="X96" s="120"/>
      <c r="Y96" s="107"/>
    </row>
    <row r="97" spans="1:25" s="93" customFormat="1" ht="13.5" customHeight="1" x14ac:dyDescent="0.25">
      <c r="A97" s="113">
        <v>89</v>
      </c>
      <c r="B97" s="114" t="s">
        <v>181</v>
      </c>
      <c r="C97" s="115" t="s">
        <v>182</v>
      </c>
      <c r="D97" s="100">
        <v>2400</v>
      </c>
      <c r="E97" s="101">
        <v>1980</v>
      </c>
      <c r="F97" s="116">
        <v>950</v>
      </c>
      <c r="G97" s="103">
        <v>740</v>
      </c>
      <c r="H97" s="103">
        <v>67</v>
      </c>
      <c r="I97" s="103">
        <v>411</v>
      </c>
      <c r="J97" s="101">
        <f t="shared" si="8"/>
        <v>2168</v>
      </c>
      <c r="K97" s="117">
        <f t="shared" si="7"/>
        <v>6548</v>
      </c>
      <c r="L97" s="100">
        <f>205-7-138</f>
        <v>60</v>
      </c>
      <c r="M97" s="118">
        <f>4510-4310</f>
        <v>200</v>
      </c>
      <c r="N97" s="118">
        <f>13327-8927</f>
        <v>4400</v>
      </c>
      <c r="O97" s="118">
        <f>2462+2938</f>
        <v>5400</v>
      </c>
      <c r="P97" s="119">
        <f t="shared" si="9"/>
        <v>10060</v>
      </c>
      <c r="Q97" s="97"/>
      <c r="R97" s="101"/>
      <c r="S97" s="101"/>
      <c r="T97" s="101"/>
      <c r="U97" s="101"/>
      <c r="V97" s="101"/>
      <c r="W97" s="101"/>
      <c r="X97" s="120"/>
      <c r="Y97" s="107"/>
    </row>
    <row r="98" spans="1:25" s="93" customFormat="1" ht="13.5" customHeight="1" x14ac:dyDescent="0.25">
      <c r="A98" s="113">
        <v>90</v>
      </c>
      <c r="B98" s="114" t="s">
        <v>10</v>
      </c>
      <c r="C98" s="115" t="s">
        <v>7</v>
      </c>
      <c r="D98" s="100">
        <v>2500</v>
      </c>
      <c r="E98" s="101"/>
      <c r="F98" s="116"/>
      <c r="G98" s="103"/>
      <c r="H98" s="103"/>
      <c r="I98" s="103"/>
      <c r="J98" s="101"/>
      <c r="K98" s="117">
        <f t="shared" si="7"/>
        <v>2500</v>
      </c>
      <c r="L98" s="100"/>
      <c r="M98" s="118"/>
      <c r="N98" s="118"/>
      <c r="O98" s="118"/>
      <c r="P98" s="119"/>
      <c r="Q98" s="97"/>
      <c r="R98" s="101"/>
      <c r="S98" s="101"/>
      <c r="T98" s="101"/>
      <c r="U98" s="101"/>
      <c r="V98" s="101"/>
      <c r="W98" s="101"/>
      <c r="X98" s="120"/>
      <c r="Y98" s="107"/>
    </row>
    <row r="99" spans="1:25" s="93" customFormat="1" ht="13.5" customHeight="1" x14ac:dyDescent="0.25">
      <c r="A99" s="113">
        <v>91</v>
      </c>
      <c r="B99" s="114" t="s">
        <v>187</v>
      </c>
      <c r="C99" s="115" t="s">
        <v>188</v>
      </c>
      <c r="D99" s="100"/>
      <c r="E99" s="101"/>
      <c r="F99" s="116"/>
      <c r="G99" s="103"/>
      <c r="H99" s="103"/>
      <c r="I99" s="103"/>
      <c r="J99" s="101"/>
      <c r="K99" s="117"/>
      <c r="L99" s="100"/>
      <c r="M99" s="118"/>
      <c r="N99" s="118"/>
      <c r="O99" s="118"/>
      <c r="P99" s="119"/>
      <c r="Q99" s="97">
        <f>200-20+40</f>
        <v>220</v>
      </c>
      <c r="R99" s="101">
        <f>350+158+60</f>
        <v>568</v>
      </c>
      <c r="S99" s="101">
        <f>250+70+60</f>
        <v>380</v>
      </c>
      <c r="T99" s="101">
        <f>150+335</f>
        <v>485</v>
      </c>
      <c r="U99" s="101">
        <f>500-5+60</f>
        <v>555</v>
      </c>
      <c r="V99" s="101">
        <f>2200-547-220</f>
        <v>1433</v>
      </c>
      <c r="W99" s="101">
        <v>1088</v>
      </c>
      <c r="X99" s="120">
        <v>9</v>
      </c>
      <c r="Y99" s="107">
        <f>SUM(Q99:X99)</f>
        <v>4738</v>
      </c>
    </row>
    <row r="100" spans="1:25" s="93" customFormat="1" ht="13.5" customHeight="1" x14ac:dyDescent="0.25">
      <c r="A100" s="113">
        <v>92</v>
      </c>
      <c r="B100" s="114" t="s">
        <v>189</v>
      </c>
      <c r="C100" s="115" t="s">
        <v>190</v>
      </c>
      <c r="D100" s="100">
        <v>1560</v>
      </c>
      <c r="E100" s="101"/>
      <c r="F100" s="116"/>
      <c r="G100" s="103"/>
      <c r="H100" s="103"/>
      <c r="I100" s="103"/>
      <c r="J100" s="101"/>
      <c r="K100" s="117">
        <f t="shared" si="7"/>
        <v>1560</v>
      </c>
      <c r="L100" s="100"/>
      <c r="M100" s="118"/>
      <c r="N100" s="118"/>
      <c r="O100" s="118"/>
      <c r="P100" s="119"/>
      <c r="Q100" s="97"/>
      <c r="R100" s="101"/>
      <c r="S100" s="101"/>
      <c r="T100" s="101"/>
      <c r="U100" s="101"/>
      <c r="V100" s="101"/>
      <c r="W100" s="101"/>
      <c r="X100" s="120"/>
      <c r="Y100" s="107"/>
    </row>
    <row r="101" spans="1:25" s="93" customFormat="1" ht="13.5" customHeight="1" x14ac:dyDescent="0.25">
      <c r="A101" s="113">
        <v>93</v>
      </c>
      <c r="B101" s="114" t="s">
        <v>12</v>
      </c>
      <c r="C101" s="115" t="s">
        <v>2</v>
      </c>
      <c r="D101" s="100"/>
      <c r="E101" s="101"/>
      <c r="F101" s="116">
        <v>480</v>
      </c>
      <c r="G101" s="103"/>
      <c r="H101" s="103"/>
      <c r="I101" s="103"/>
      <c r="J101" s="101">
        <f t="shared" si="8"/>
        <v>480</v>
      </c>
      <c r="K101" s="117">
        <f t="shared" si="7"/>
        <v>480</v>
      </c>
      <c r="L101" s="100"/>
      <c r="M101" s="118"/>
      <c r="N101" s="118"/>
      <c r="O101" s="118"/>
      <c r="P101" s="119"/>
      <c r="Q101" s="97"/>
      <c r="R101" s="101"/>
      <c r="S101" s="101"/>
      <c r="T101" s="101"/>
      <c r="U101" s="101"/>
      <c r="V101" s="101"/>
      <c r="W101" s="101"/>
      <c r="X101" s="120"/>
      <c r="Y101" s="107"/>
    </row>
    <row r="102" spans="1:25" s="93" customFormat="1" ht="13.5" customHeight="1" x14ac:dyDescent="0.25">
      <c r="A102" s="113">
        <v>94</v>
      </c>
      <c r="B102" s="114" t="s">
        <v>3</v>
      </c>
      <c r="C102" s="115" t="s">
        <v>191</v>
      </c>
      <c r="D102" s="100">
        <v>4673</v>
      </c>
      <c r="E102" s="101">
        <v>455</v>
      </c>
      <c r="F102" s="116">
        <v>459</v>
      </c>
      <c r="G102" s="103">
        <v>652</v>
      </c>
      <c r="H102" s="103">
        <v>92</v>
      </c>
      <c r="I102" s="103">
        <v>126</v>
      </c>
      <c r="J102" s="101">
        <f t="shared" si="8"/>
        <v>1329</v>
      </c>
      <c r="K102" s="117">
        <f t="shared" si="7"/>
        <v>6457</v>
      </c>
      <c r="L102" s="100">
        <f>31+143</f>
        <v>174</v>
      </c>
      <c r="M102" s="118">
        <f>698+400</f>
        <v>1098</v>
      </c>
      <c r="N102" s="118">
        <f>2060+500</f>
        <v>2560</v>
      </c>
      <c r="O102" s="118">
        <f>379+396</f>
        <v>775</v>
      </c>
      <c r="P102" s="119">
        <f t="shared" si="9"/>
        <v>4607</v>
      </c>
      <c r="Q102" s="97"/>
      <c r="R102" s="101"/>
      <c r="S102" s="101"/>
      <c r="T102" s="101"/>
      <c r="U102" s="101"/>
      <c r="V102" s="101"/>
      <c r="W102" s="101"/>
      <c r="X102" s="120"/>
      <c r="Y102" s="107"/>
    </row>
    <row r="103" spans="1:25" s="122" customFormat="1" x14ac:dyDescent="0.25">
      <c r="C103" s="123"/>
    </row>
    <row r="104" spans="1:25" s="122" customFormat="1" x14ac:dyDescent="0.25">
      <c r="C104" s="123"/>
    </row>
    <row r="105" spans="1:25" s="122" customFormat="1" x14ac:dyDescent="0.25">
      <c r="C105" s="123"/>
    </row>
    <row r="106" spans="1:25" s="122" customFormat="1" x14ac:dyDescent="0.25">
      <c r="C106" s="123"/>
    </row>
    <row r="107" spans="1:25" s="122" customFormat="1" x14ac:dyDescent="0.25">
      <c r="C107" s="123"/>
    </row>
    <row r="108" spans="1:25" s="122" customFormat="1" x14ac:dyDescent="0.25">
      <c r="C108" s="123"/>
    </row>
    <row r="109" spans="1:25" s="122" customFormat="1" x14ac:dyDescent="0.25">
      <c r="C109" s="123"/>
    </row>
    <row r="110" spans="1:25" s="122" customFormat="1" x14ac:dyDescent="0.25">
      <c r="C110" s="123"/>
    </row>
    <row r="111" spans="1:25" s="122" customFormat="1" x14ac:dyDescent="0.25">
      <c r="C111" s="123"/>
    </row>
    <row r="112" spans="1:25" s="122" customFormat="1" x14ac:dyDescent="0.25">
      <c r="C112" s="123"/>
    </row>
    <row r="113" spans="3:3" s="122" customFormat="1" x14ac:dyDescent="0.25">
      <c r="C113" s="123"/>
    </row>
    <row r="114" spans="3:3" s="122" customFormat="1" x14ac:dyDescent="0.25">
      <c r="C114" s="123"/>
    </row>
    <row r="115" spans="3:3" s="122" customFormat="1" x14ac:dyDescent="0.25">
      <c r="C115" s="123"/>
    </row>
    <row r="116" spans="3:3" s="122" customFormat="1" x14ac:dyDescent="0.25">
      <c r="C116" s="123"/>
    </row>
    <row r="117" spans="3:3" s="122" customFormat="1" x14ac:dyDescent="0.25">
      <c r="C117" s="123"/>
    </row>
    <row r="118" spans="3:3" s="122" customFormat="1" x14ac:dyDescent="0.25">
      <c r="C118" s="123"/>
    </row>
    <row r="119" spans="3:3" s="122" customFormat="1" x14ac:dyDescent="0.25">
      <c r="C119" s="123"/>
    </row>
    <row r="120" spans="3:3" s="122" customFormat="1" x14ac:dyDescent="0.25">
      <c r="C120" s="123"/>
    </row>
    <row r="121" spans="3:3" s="122" customFormat="1" x14ac:dyDescent="0.25">
      <c r="C121" s="123"/>
    </row>
    <row r="122" spans="3:3" s="122" customFormat="1" x14ac:dyDescent="0.25">
      <c r="C122" s="123"/>
    </row>
    <row r="123" spans="3:3" s="122" customFormat="1" x14ac:dyDescent="0.25">
      <c r="C123" s="123"/>
    </row>
    <row r="124" spans="3:3" s="122" customFormat="1" x14ac:dyDescent="0.25">
      <c r="C124" s="123"/>
    </row>
    <row r="125" spans="3:3" s="122" customFormat="1" x14ac:dyDescent="0.25">
      <c r="C125" s="123"/>
    </row>
    <row r="126" spans="3:3" s="122" customFormat="1" x14ac:dyDescent="0.25">
      <c r="C126" s="123"/>
    </row>
    <row r="127" spans="3:3" s="122" customFormat="1" x14ac:dyDescent="0.25">
      <c r="C127" s="123"/>
    </row>
    <row r="128" spans="3:3" s="122" customFormat="1" x14ac:dyDescent="0.25">
      <c r="C128" s="123"/>
    </row>
    <row r="129" spans="3:3" s="122" customFormat="1" x14ac:dyDescent="0.25">
      <c r="C129" s="123"/>
    </row>
    <row r="130" spans="3:3" s="122" customFormat="1" x14ac:dyDescent="0.25">
      <c r="C130" s="123"/>
    </row>
    <row r="131" spans="3:3" s="122" customFormat="1" x14ac:dyDescent="0.25">
      <c r="C131" s="123"/>
    </row>
    <row r="132" spans="3:3" s="122" customFormat="1" x14ac:dyDescent="0.25">
      <c r="C132" s="123"/>
    </row>
    <row r="133" spans="3:3" s="122" customFormat="1" x14ac:dyDescent="0.25">
      <c r="C133" s="123"/>
    </row>
    <row r="134" spans="3:3" s="122" customFormat="1" x14ac:dyDescent="0.25">
      <c r="C134" s="123"/>
    </row>
    <row r="135" spans="3:3" s="122" customFormat="1" x14ac:dyDescent="0.25">
      <c r="C135" s="123"/>
    </row>
    <row r="136" spans="3:3" s="122" customFormat="1" x14ac:dyDescent="0.25">
      <c r="C136" s="123"/>
    </row>
    <row r="137" spans="3:3" s="122" customFormat="1" x14ac:dyDescent="0.25">
      <c r="C137" s="123"/>
    </row>
    <row r="138" spans="3:3" s="122" customFormat="1" x14ac:dyDescent="0.25">
      <c r="C138" s="123"/>
    </row>
    <row r="139" spans="3:3" s="122" customFormat="1" x14ac:dyDescent="0.25">
      <c r="C139" s="123"/>
    </row>
    <row r="140" spans="3:3" s="122" customFormat="1" x14ac:dyDescent="0.25">
      <c r="C140" s="123"/>
    </row>
    <row r="141" spans="3:3" s="122" customFormat="1" x14ac:dyDescent="0.25">
      <c r="C141" s="123"/>
    </row>
    <row r="142" spans="3:3" s="122" customFormat="1" x14ac:dyDescent="0.25">
      <c r="C142" s="123"/>
    </row>
    <row r="143" spans="3:3" s="122" customFormat="1" x14ac:dyDescent="0.25">
      <c r="C143" s="123"/>
    </row>
    <row r="144" spans="3:3" s="122" customFormat="1" x14ac:dyDescent="0.25">
      <c r="C144" s="123"/>
    </row>
    <row r="145" spans="3:3" s="122" customFormat="1" x14ac:dyDescent="0.25">
      <c r="C145" s="123"/>
    </row>
    <row r="146" spans="3:3" s="122" customFormat="1" x14ac:dyDescent="0.25">
      <c r="C146" s="123"/>
    </row>
    <row r="147" spans="3:3" s="122" customFormat="1" x14ac:dyDescent="0.25">
      <c r="C147" s="123"/>
    </row>
    <row r="148" spans="3:3" s="122" customFormat="1" x14ac:dyDescent="0.25">
      <c r="C148" s="123"/>
    </row>
    <row r="149" spans="3:3" s="122" customFormat="1" x14ac:dyDescent="0.25">
      <c r="C149" s="123"/>
    </row>
    <row r="150" spans="3:3" s="122" customFormat="1" x14ac:dyDescent="0.25">
      <c r="C150" s="123"/>
    </row>
    <row r="151" spans="3:3" s="122" customFormat="1" x14ac:dyDescent="0.25">
      <c r="C151" s="123"/>
    </row>
    <row r="152" spans="3:3" s="122" customFormat="1" x14ac:dyDescent="0.25">
      <c r="C152" s="123"/>
    </row>
    <row r="153" spans="3:3" s="122" customFormat="1" x14ac:dyDescent="0.25">
      <c r="C153" s="123"/>
    </row>
    <row r="154" spans="3:3" s="122" customFormat="1" x14ac:dyDescent="0.25">
      <c r="C154" s="123"/>
    </row>
    <row r="155" spans="3:3" s="122" customFormat="1" x14ac:dyDescent="0.25">
      <c r="C155" s="123"/>
    </row>
    <row r="156" spans="3:3" s="122" customFormat="1" x14ac:dyDescent="0.25">
      <c r="C156" s="123"/>
    </row>
    <row r="157" spans="3:3" s="122" customFormat="1" x14ac:dyDescent="0.25">
      <c r="C157" s="123"/>
    </row>
    <row r="158" spans="3:3" s="122" customFormat="1" x14ac:dyDescent="0.25">
      <c r="C158" s="123"/>
    </row>
    <row r="159" spans="3:3" s="122" customFormat="1" x14ac:dyDescent="0.25">
      <c r="C159" s="123"/>
    </row>
    <row r="160" spans="3:3" s="122" customFormat="1" x14ac:dyDescent="0.25">
      <c r="C160" s="123"/>
    </row>
    <row r="161" spans="3:3" s="122" customFormat="1" x14ac:dyDescent="0.25">
      <c r="C161" s="123"/>
    </row>
    <row r="162" spans="3:3" s="122" customFormat="1" x14ac:dyDescent="0.25">
      <c r="C162" s="123"/>
    </row>
    <row r="163" spans="3:3" s="122" customFormat="1" x14ac:dyDescent="0.25">
      <c r="C163" s="123"/>
    </row>
    <row r="164" spans="3:3" s="122" customFormat="1" x14ac:dyDescent="0.25">
      <c r="C164" s="123"/>
    </row>
    <row r="165" spans="3:3" s="122" customFormat="1" x14ac:dyDescent="0.25">
      <c r="C165" s="123"/>
    </row>
    <row r="166" spans="3:3" s="122" customFormat="1" x14ac:dyDescent="0.25">
      <c r="C166" s="123"/>
    </row>
    <row r="167" spans="3:3" s="122" customFormat="1" x14ac:dyDescent="0.25">
      <c r="C167" s="123"/>
    </row>
    <row r="168" spans="3:3" s="122" customFormat="1" x14ac:dyDescent="0.25">
      <c r="C168" s="123"/>
    </row>
    <row r="169" spans="3:3" s="122" customFormat="1" x14ac:dyDescent="0.25">
      <c r="C169" s="123"/>
    </row>
    <row r="170" spans="3:3" s="122" customFormat="1" x14ac:dyDescent="0.25">
      <c r="C170" s="123"/>
    </row>
    <row r="171" spans="3:3" s="122" customFormat="1" x14ac:dyDescent="0.25">
      <c r="C171" s="123"/>
    </row>
    <row r="172" spans="3:3" s="122" customFormat="1" x14ac:dyDescent="0.25">
      <c r="C172" s="123"/>
    </row>
    <row r="173" spans="3:3" s="122" customFormat="1" x14ac:dyDescent="0.25">
      <c r="C173" s="123"/>
    </row>
    <row r="174" spans="3:3" s="122" customFormat="1" x14ac:dyDescent="0.25">
      <c r="C174" s="123"/>
    </row>
    <row r="175" spans="3:3" s="122" customFormat="1" x14ac:dyDescent="0.25">
      <c r="C175" s="123"/>
    </row>
    <row r="176" spans="3:3" s="122" customFormat="1" x14ac:dyDescent="0.25">
      <c r="C176" s="123"/>
    </row>
    <row r="177" spans="3:3" s="122" customFormat="1" x14ac:dyDescent="0.25">
      <c r="C177" s="123"/>
    </row>
    <row r="178" spans="3:3" s="122" customFormat="1" x14ac:dyDescent="0.25">
      <c r="C178" s="123"/>
    </row>
    <row r="179" spans="3:3" s="122" customFormat="1" x14ac:dyDescent="0.25">
      <c r="C179" s="123"/>
    </row>
    <row r="180" spans="3:3" s="122" customFormat="1" x14ac:dyDescent="0.25">
      <c r="C180" s="123"/>
    </row>
    <row r="181" spans="3:3" s="122" customFormat="1" x14ac:dyDescent="0.25">
      <c r="C181" s="123"/>
    </row>
    <row r="182" spans="3:3" s="122" customFormat="1" x14ac:dyDescent="0.25">
      <c r="C182" s="123"/>
    </row>
    <row r="183" spans="3:3" s="122" customFormat="1" x14ac:dyDescent="0.25">
      <c r="C183" s="123"/>
    </row>
    <row r="184" spans="3:3" s="122" customFormat="1" x14ac:dyDescent="0.25">
      <c r="C184" s="123"/>
    </row>
    <row r="185" spans="3:3" s="122" customFormat="1" x14ac:dyDescent="0.25">
      <c r="C185" s="123"/>
    </row>
    <row r="186" spans="3:3" s="122" customFormat="1" x14ac:dyDescent="0.25">
      <c r="C186" s="123"/>
    </row>
    <row r="187" spans="3:3" s="122" customFormat="1" x14ac:dyDescent="0.25">
      <c r="C187" s="123"/>
    </row>
    <row r="188" spans="3:3" s="122" customFormat="1" x14ac:dyDescent="0.25">
      <c r="C188" s="123"/>
    </row>
    <row r="189" spans="3:3" s="122" customFormat="1" x14ac:dyDescent="0.25">
      <c r="C189" s="123"/>
    </row>
    <row r="190" spans="3:3" s="122" customFormat="1" x14ac:dyDescent="0.25">
      <c r="C190" s="123"/>
    </row>
    <row r="191" spans="3:3" s="122" customFormat="1" x14ac:dyDescent="0.25">
      <c r="C191" s="123"/>
    </row>
    <row r="192" spans="3:3" s="122" customFormat="1" x14ac:dyDescent="0.25">
      <c r="C192" s="123"/>
    </row>
    <row r="193" spans="3:12" s="122" customFormat="1" x14ac:dyDescent="0.25">
      <c r="C193" s="123"/>
    </row>
    <row r="194" spans="3:12" s="122" customFormat="1" x14ac:dyDescent="0.25">
      <c r="C194" s="123"/>
    </row>
    <row r="195" spans="3:12" s="122" customFormat="1" x14ac:dyDescent="0.25">
      <c r="C195" s="123"/>
    </row>
    <row r="196" spans="3:12" s="125" customFormat="1" x14ac:dyDescent="0.25">
      <c r="C196" s="89"/>
      <c r="D196" s="122"/>
      <c r="E196" s="122"/>
      <c r="L196" s="122"/>
    </row>
    <row r="197" spans="3:12" s="125" customFormat="1" x14ac:dyDescent="0.25">
      <c r="C197" s="89"/>
      <c r="D197" s="122"/>
      <c r="E197" s="122"/>
      <c r="L197" s="122"/>
    </row>
    <row r="198" spans="3:12" s="125" customFormat="1" x14ac:dyDescent="0.25">
      <c r="C198" s="89"/>
      <c r="D198" s="122"/>
      <c r="E198" s="122"/>
      <c r="L198" s="122"/>
    </row>
    <row r="199" spans="3:12" s="125" customFormat="1" x14ac:dyDescent="0.25">
      <c r="C199" s="89"/>
      <c r="D199" s="122"/>
      <c r="E199" s="122"/>
      <c r="L199" s="122"/>
    </row>
    <row r="200" spans="3:12" s="125" customFormat="1" x14ac:dyDescent="0.25">
      <c r="C200" s="89"/>
      <c r="D200" s="122"/>
      <c r="E200" s="122"/>
      <c r="L200" s="122"/>
    </row>
    <row r="201" spans="3:12" s="125" customFormat="1" x14ac:dyDescent="0.25">
      <c r="C201" s="89"/>
      <c r="D201" s="122"/>
      <c r="E201" s="122"/>
      <c r="L201" s="122"/>
    </row>
    <row r="202" spans="3:12" s="125" customFormat="1" x14ac:dyDescent="0.25">
      <c r="C202" s="89"/>
      <c r="D202" s="122"/>
      <c r="E202" s="122"/>
      <c r="L202" s="122"/>
    </row>
    <row r="203" spans="3:12" s="125" customFormat="1" x14ac:dyDescent="0.25">
      <c r="C203" s="89"/>
      <c r="D203" s="122"/>
      <c r="E203" s="122"/>
      <c r="L203" s="122"/>
    </row>
    <row r="204" spans="3:12" s="125" customFormat="1" x14ac:dyDescent="0.25">
      <c r="C204" s="89"/>
      <c r="D204" s="122"/>
      <c r="E204" s="122"/>
      <c r="L204" s="122"/>
    </row>
    <row r="205" spans="3:12" s="125" customFormat="1" x14ac:dyDescent="0.25">
      <c r="C205" s="89"/>
      <c r="D205" s="122"/>
      <c r="E205" s="122"/>
      <c r="L205" s="122"/>
    </row>
    <row r="206" spans="3:12" s="125" customFormat="1" x14ac:dyDescent="0.25">
      <c r="C206" s="89"/>
      <c r="D206" s="122"/>
      <c r="E206" s="122"/>
      <c r="L206" s="122"/>
    </row>
    <row r="207" spans="3:12" s="125" customFormat="1" x14ac:dyDescent="0.25">
      <c r="C207" s="89"/>
      <c r="D207" s="122"/>
      <c r="E207" s="122"/>
      <c r="L207" s="122"/>
    </row>
    <row r="208" spans="3:12" s="125" customFormat="1" x14ac:dyDescent="0.25">
      <c r="C208" s="89"/>
      <c r="D208" s="122"/>
      <c r="E208" s="122"/>
      <c r="L208" s="122"/>
    </row>
    <row r="209" spans="3:12" s="125" customFormat="1" x14ac:dyDescent="0.25">
      <c r="C209" s="89"/>
      <c r="D209" s="122"/>
      <c r="E209" s="122"/>
      <c r="L209" s="122"/>
    </row>
    <row r="210" spans="3:12" s="125" customFormat="1" x14ac:dyDescent="0.25">
      <c r="C210" s="89"/>
      <c r="D210" s="122"/>
      <c r="E210" s="122"/>
      <c r="L210" s="122"/>
    </row>
    <row r="211" spans="3:12" s="125" customFormat="1" x14ac:dyDescent="0.25">
      <c r="C211" s="89"/>
      <c r="D211" s="122"/>
      <c r="E211" s="122"/>
      <c r="L211" s="122"/>
    </row>
    <row r="212" spans="3:12" s="125" customFormat="1" x14ac:dyDescent="0.25">
      <c r="C212" s="89"/>
      <c r="D212" s="122"/>
      <c r="E212" s="122"/>
      <c r="L212" s="122"/>
    </row>
    <row r="213" spans="3:12" s="125" customFormat="1" x14ac:dyDescent="0.25">
      <c r="C213" s="89"/>
      <c r="D213" s="122"/>
      <c r="E213" s="122"/>
      <c r="L213" s="122"/>
    </row>
    <row r="214" spans="3:12" s="125" customFormat="1" x14ac:dyDescent="0.25">
      <c r="C214" s="89"/>
      <c r="D214" s="122"/>
      <c r="E214" s="122"/>
      <c r="L214" s="122"/>
    </row>
    <row r="215" spans="3:12" s="125" customFormat="1" x14ac:dyDescent="0.25">
      <c r="C215" s="89"/>
      <c r="D215" s="122"/>
      <c r="E215" s="122"/>
      <c r="L215" s="122"/>
    </row>
    <row r="216" spans="3:12" s="125" customFormat="1" x14ac:dyDescent="0.25">
      <c r="C216" s="89"/>
      <c r="D216" s="122"/>
      <c r="E216" s="122"/>
      <c r="L216" s="122"/>
    </row>
    <row r="217" spans="3:12" s="125" customFormat="1" x14ac:dyDescent="0.25">
      <c r="C217" s="89"/>
      <c r="D217" s="122"/>
      <c r="E217" s="122"/>
      <c r="L217" s="122"/>
    </row>
    <row r="218" spans="3:12" s="125" customFormat="1" x14ac:dyDescent="0.25">
      <c r="C218" s="89"/>
      <c r="D218" s="122"/>
      <c r="E218" s="122"/>
      <c r="L218" s="122"/>
    </row>
    <row r="219" spans="3:12" s="125" customFormat="1" x14ac:dyDescent="0.25">
      <c r="C219" s="89"/>
      <c r="D219" s="122"/>
      <c r="E219" s="122"/>
      <c r="L219" s="122"/>
    </row>
    <row r="220" spans="3:12" s="125" customFormat="1" x14ac:dyDescent="0.25">
      <c r="C220" s="89"/>
      <c r="D220" s="122"/>
      <c r="E220" s="122"/>
      <c r="L220" s="122"/>
    </row>
    <row r="221" spans="3:12" s="125" customFormat="1" x14ac:dyDescent="0.25">
      <c r="C221" s="89"/>
      <c r="D221" s="122"/>
      <c r="E221" s="122"/>
      <c r="L221" s="122"/>
    </row>
    <row r="222" spans="3:12" s="125" customFormat="1" x14ac:dyDescent="0.25">
      <c r="C222" s="89"/>
      <c r="D222" s="122"/>
      <c r="E222" s="122"/>
      <c r="L222" s="122"/>
    </row>
    <row r="223" spans="3:12" s="125" customFormat="1" x14ac:dyDescent="0.25">
      <c r="C223" s="89"/>
      <c r="D223" s="122"/>
      <c r="E223" s="122"/>
      <c r="L223" s="122"/>
    </row>
    <row r="224" spans="3:12" s="125" customFormat="1" x14ac:dyDescent="0.25">
      <c r="C224" s="89"/>
      <c r="D224" s="122"/>
      <c r="E224" s="122"/>
      <c r="L224" s="122"/>
    </row>
    <row r="225" spans="3:12" s="125" customFormat="1" x14ac:dyDescent="0.25">
      <c r="C225" s="89"/>
      <c r="D225" s="122"/>
      <c r="E225" s="122"/>
      <c r="L225" s="122"/>
    </row>
    <row r="226" spans="3:12" s="125" customFormat="1" x14ac:dyDescent="0.25">
      <c r="C226" s="89"/>
      <c r="D226" s="122"/>
      <c r="E226" s="122"/>
      <c r="L226" s="122"/>
    </row>
    <row r="227" spans="3:12" s="125" customFormat="1" x14ac:dyDescent="0.25">
      <c r="C227" s="89"/>
      <c r="D227" s="122"/>
      <c r="E227" s="122"/>
      <c r="L227" s="122"/>
    </row>
    <row r="228" spans="3:12" s="125" customFormat="1" x14ac:dyDescent="0.25">
      <c r="C228" s="89"/>
      <c r="D228" s="122"/>
      <c r="E228" s="122"/>
      <c r="L228" s="122"/>
    </row>
    <row r="229" spans="3:12" s="125" customFormat="1" x14ac:dyDescent="0.25">
      <c r="C229" s="89"/>
      <c r="D229" s="122"/>
      <c r="E229" s="122"/>
      <c r="L229" s="122"/>
    </row>
    <row r="230" spans="3:12" s="125" customFormat="1" x14ac:dyDescent="0.25">
      <c r="C230" s="89"/>
      <c r="D230" s="122"/>
      <c r="E230" s="122"/>
      <c r="L230" s="122"/>
    </row>
    <row r="231" spans="3:12" s="125" customFormat="1" x14ac:dyDescent="0.25">
      <c r="C231" s="89"/>
      <c r="D231" s="122"/>
      <c r="E231" s="122"/>
      <c r="L231" s="122"/>
    </row>
    <row r="232" spans="3:12" s="125" customFormat="1" x14ac:dyDescent="0.25">
      <c r="C232" s="89"/>
      <c r="D232" s="122"/>
      <c r="E232" s="122"/>
      <c r="L232" s="122"/>
    </row>
    <row r="233" spans="3:12" s="125" customFormat="1" x14ac:dyDescent="0.25">
      <c r="C233" s="89"/>
      <c r="D233" s="122"/>
      <c r="E233" s="122"/>
      <c r="L233" s="122"/>
    </row>
    <row r="234" spans="3:12" s="125" customFormat="1" x14ac:dyDescent="0.25">
      <c r="C234" s="89"/>
      <c r="D234" s="122"/>
      <c r="E234" s="122"/>
      <c r="L234" s="122"/>
    </row>
    <row r="235" spans="3:12" s="125" customFormat="1" x14ac:dyDescent="0.25">
      <c r="C235" s="89"/>
      <c r="D235" s="122"/>
      <c r="E235" s="122"/>
      <c r="L235" s="122"/>
    </row>
    <row r="236" spans="3:12" s="125" customFormat="1" x14ac:dyDescent="0.25">
      <c r="C236" s="89"/>
      <c r="D236" s="122"/>
      <c r="E236" s="122"/>
      <c r="L236" s="122"/>
    </row>
    <row r="237" spans="3:12" s="125" customFormat="1" x14ac:dyDescent="0.25">
      <c r="C237" s="89"/>
      <c r="D237" s="122"/>
      <c r="E237" s="122"/>
      <c r="L237" s="122"/>
    </row>
    <row r="238" spans="3:12" s="125" customFormat="1" x14ac:dyDescent="0.25">
      <c r="C238" s="89"/>
      <c r="D238" s="122"/>
      <c r="E238" s="122"/>
      <c r="L238" s="122"/>
    </row>
    <row r="239" spans="3:12" s="125" customFormat="1" x14ac:dyDescent="0.25">
      <c r="C239" s="89"/>
      <c r="D239" s="122"/>
      <c r="E239" s="122"/>
      <c r="L239" s="122"/>
    </row>
    <row r="240" spans="3:12" s="125" customFormat="1" x14ac:dyDescent="0.25">
      <c r="C240" s="89"/>
      <c r="D240" s="122"/>
      <c r="E240" s="122"/>
      <c r="L240" s="122"/>
    </row>
    <row r="241" spans="3:12" s="125" customFormat="1" x14ac:dyDescent="0.25">
      <c r="C241" s="89"/>
      <c r="D241" s="122"/>
      <c r="E241" s="122"/>
      <c r="L241" s="122"/>
    </row>
    <row r="242" spans="3:12" s="125" customFormat="1" x14ac:dyDescent="0.25">
      <c r="C242" s="89"/>
      <c r="D242" s="122"/>
      <c r="E242" s="122"/>
      <c r="L242" s="122"/>
    </row>
    <row r="243" spans="3:12" s="125" customFormat="1" x14ac:dyDescent="0.25">
      <c r="C243" s="89"/>
      <c r="D243" s="122"/>
      <c r="E243" s="122"/>
      <c r="L243" s="122"/>
    </row>
  </sheetData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I4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Y4:Y5"/>
    <mergeCell ref="S4:S5"/>
    <mergeCell ref="U4:U5"/>
    <mergeCell ref="V4:V5"/>
    <mergeCell ref="W4:W5"/>
    <mergeCell ref="X4:X5"/>
  </mergeCells>
  <printOptions horizontalCentered="1" verticalCentered="1"/>
  <pageMargins left="3.937007874015748E-2" right="0" top="0" bottom="0" header="0.31496062992125984" footer="0.31496062992125984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C4" sqref="C4:C6"/>
    </sheetView>
  </sheetViews>
  <sheetFormatPr defaultRowHeight="15" x14ac:dyDescent="0.25"/>
  <cols>
    <col min="1" max="1" width="3.5703125" style="81" customWidth="1"/>
    <col min="2" max="2" width="9.140625" style="81"/>
    <col min="3" max="3" width="36.28515625" style="86" customWidth="1"/>
    <col min="4" max="4" width="16.7109375" style="87" customWidth="1"/>
    <col min="5" max="6" width="11.28515625" style="81" customWidth="1"/>
    <col min="7" max="16384" width="9.140625" style="81"/>
  </cols>
  <sheetData>
    <row r="1" spans="1:6" ht="81" customHeight="1" x14ac:dyDescent="0.25">
      <c r="A1" s="703" t="s">
        <v>237</v>
      </c>
      <c r="B1" s="703"/>
      <c r="C1" s="703"/>
      <c r="D1" s="703"/>
      <c r="E1" s="703"/>
      <c r="F1" s="703"/>
    </row>
    <row r="2" spans="1:6" ht="18" customHeight="1" x14ac:dyDescent="0.25">
      <c r="A2" s="704" t="s">
        <v>0</v>
      </c>
      <c r="B2" s="704" t="s">
        <v>219</v>
      </c>
      <c r="C2" s="706" t="s">
        <v>220</v>
      </c>
      <c r="D2" s="708" t="s">
        <v>238</v>
      </c>
      <c r="E2" s="710" t="s">
        <v>18</v>
      </c>
      <c r="F2" s="711"/>
    </row>
    <row r="3" spans="1:6" ht="52.5" customHeight="1" x14ac:dyDescent="0.25">
      <c r="A3" s="705"/>
      <c r="B3" s="705"/>
      <c r="C3" s="707"/>
      <c r="D3" s="709"/>
      <c r="E3" s="13" t="s">
        <v>239</v>
      </c>
      <c r="F3" s="13" t="s">
        <v>240</v>
      </c>
    </row>
    <row r="4" spans="1:6" ht="12.75" customHeight="1" x14ac:dyDescent="0.25">
      <c r="A4" s="82"/>
      <c r="B4" s="82"/>
      <c r="C4" s="83" t="s">
        <v>1</v>
      </c>
      <c r="D4" s="84">
        <f>D6+D5</f>
        <v>672041</v>
      </c>
      <c r="E4" s="50">
        <f t="shared" ref="E4" si="0">E6+E5</f>
        <v>205616</v>
      </c>
      <c r="F4" s="50">
        <f>F6+F5</f>
        <v>428292</v>
      </c>
    </row>
    <row r="5" spans="1:6" ht="12.75" customHeight="1" x14ac:dyDescent="0.25">
      <c r="A5" s="82"/>
      <c r="B5" s="82"/>
      <c r="C5" s="83" t="s">
        <v>19</v>
      </c>
      <c r="D5" s="85">
        <v>0</v>
      </c>
      <c r="E5" s="50">
        <v>0</v>
      </c>
      <c r="F5" s="50">
        <v>0</v>
      </c>
    </row>
    <row r="6" spans="1:6" ht="12.75" customHeight="1" x14ac:dyDescent="0.25">
      <c r="A6" s="82"/>
      <c r="B6" s="82"/>
      <c r="C6" s="83" t="s">
        <v>20</v>
      </c>
      <c r="D6" s="84">
        <f>SUM(D7:D21)</f>
        <v>672041</v>
      </c>
      <c r="E6" s="50">
        <f t="shared" ref="E6:F6" si="1">SUM(E7:E19)</f>
        <v>205616</v>
      </c>
      <c r="F6" s="50">
        <f t="shared" si="1"/>
        <v>428292</v>
      </c>
    </row>
    <row r="7" spans="1:6" ht="12.75" customHeight="1" x14ac:dyDescent="0.25">
      <c r="A7" s="82">
        <v>1</v>
      </c>
      <c r="B7" s="21" t="s">
        <v>4</v>
      </c>
      <c r="C7" s="22" t="s">
        <v>29</v>
      </c>
      <c r="D7" s="73">
        <f>E7+F7</f>
        <v>43834</v>
      </c>
      <c r="E7" s="66">
        <v>16859</v>
      </c>
      <c r="F7" s="66">
        <f>37796-10821</f>
        <v>26975</v>
      </c>
    </row>
    <row r="8" spans="1:6" ht="12.75" customHeight="1" x14ac:dyDescent="0.25">
      <c r="A8" s="82">
        <v>2</v>
      </c>
      <c r="B8" s="21" t="s">
        <v>46</v>
      </c>
      <c r="C8" s="22" t="s">
        <v>47</v>
      </c>
      <c r="D8" s="73">
        <f t="shared" ref="D8:D21" si="2">E8+F8</f>
        <v>63961</v>
      </c>
      <c r="E8" s="66">
        <v>20217</v>
      </c>
      <c r="F8" s="66">
        <f>45726-1982</f>
        <v>43744</v>
      </c>
    </row>
    <row r="9" spans="1:6" ht="12.75" customHeight="1" x14ac:dyDescent="0.25">
      <c r="A9" s="82">
        <v>3</v>
      </c>
      <c r="B9" s="21" t="s">
        <v>5</v>
      </c>
      <c r="C9" s="22" t="s">
        <v>17</v>
      </c>
      <c r="D9" s="73">
        <f t="shared" si="2"/>
        <v>88358</v>
      </c>
      <c r="E9" s="66">
        <v>28817</v>
      </c>
      <c r="F9" s="66">
        <f>64702-5161</f>
        <v>59541</v>
      </c>
    </row>
    <row r="10" spans="1:6" ht="12.75" customHeight="1" x14ac:dyDescent="0.25">
      <c r="A10" s="82">
        <v>4</v>
      </c>
      <c r="B10" s="74" t="s">
        <v>79</v>
      </c>
      <c r="C10" s="75" t="s">
        <v>80</v>
      </c>
      <c r="D10" s="73">
        <f t="shared" si="2"/>
        <v>2688</v>
      </c>
      <c r="E10" s="66">
        <v>855</v>
      </c>
      <c r="F10" s="66">
        <f>1916-83</f>
        <v>1833</v>
      </c>
    </row>
    <row r="11" spans="1:6" ht="12.75" customHeight="1" x14ac:dyDescent="0.25">
      <c r="A11" s="82">
        <v>5</v>
      </c>
      <c r="B11" s="74" t="s">
        <v>131</v>
      </c>
      <c r="C11" s="75" t="s">
        <v>132</v>
      </c>
      <c r="D11" s="73">
        <f t="shared" si="2"/>
        <v>51609</v>
      </c>
      <c r="E11" s="66">
        <v>16368</v>
      </c>
      <c r="F11" s="66">
        <f>36840-1599</f>
        <v>35241</v>
      </c>
    </row>
    <row r="12" spans="1:6" ht="12.75" customHeight="1" x14ac:dyDescent="0.25">
      <c r="A12" s="82">
        <v>6</v>
      </c>
      <c r="B12" s="21" t="s">
        <v>137</v>
      </c>
      <c r="C12" s="22" t="s">
        <v>138</v>
      </c>
      <c r="D12" s="73">
        <f t="shared" si="2"/>
        <v>13891</v>
      </c>
      <c r="E12" s="66">
        <v>3707</v>
      </c>
      <c r="F12" s="66">
        <f>10614-430</f>
        <v>10184</v>
      </c>
    </row>
    <row r="13" spans="1:6" ht="12.75" customHeight="1" x14ac:dyDescent="0.25">
      <c r="A13" s="82">
        <v>7</v>
      </c>
      <c r="B13" s="21" t="s">
        <v>15</v>
      </c>
      <c r="C13" s="22" t="s">
        <v>180</v>
      </c>
      <c r="D13" s="73">
        <f t="shared" si="2"/>
        <v>36913</v>
      </c>
      <c r="E13" s="66">
        <v>11691</v>
      </c>
      <c r="F13" s="66">
        <f>26366-1144</f>
        <v>25222</v>
      </c>
    </row>
    <row r="14" spans="1:6" ht="12.75" customHeight="1" x14ac:dyDescent="0.25">
      <c r="A14" s="82">
        <v>8</v>
      </c>
      <c r="B14" s="21" t="s">
        <v>181</v>
      </c>
      <c r="C14" s="22" t="s">
        <v>182</v>
      </c>
      <c r="D14" s="73">
        <f t="shared" si="2"/>
        <v>51491</v>
      </c>
      <c r="E14" s="66">
        <v>16198</v>
      </c>
      <c r="F14" s="66">
        <f>36889-1596</f>
        <v>35293</v>
      </c>
    </row>
    <row r="15" spans="1:6" ht="12.75" customHeight="1" x14ac:dyDescent="0.25">
      <c r="A15" s="82">
        <v>9</v>
      </c>
      <c r="B15" s="76" t="s">
        <v>183</v>
      </c>
      <c r="C15" s="22" t="s">
        <v>184</v>
      </c>
      <c r="D15" s="73">
        <f t="shared" si="2"/>
        <v>53499</v>
      </c>
      <c r="E15" s="66">
        <v>16911</v>
      </c>
      <c r="F15" s="66">
        <f>38246-1658</f>
        <v>36588</v>
      </c>
    </row>
    <row r="16" spans="1:6" ht="12.75" customHeight="1" x14ac:dyDescent="0.25">
      <c r="A16" s="82">
        <v>10</v>
      </c>
      <c r="B16" s="21" t="s">
        <v>187</v>
      </c>
      <c r="C16" s="22" t="s">
        <v>188</v>
      </c>
      <c r="D16" s="73">
        <f t="shared" si="2"/>
        <v>70392</v>
      </c>
      <c r="E16" s="66">
        <v>21259</v>
      </c>
      <c r="F16" s="66">
        <f>48892+241</f>
        <v>49133</v>
      </c>
    </row>
    <row r="17" spans="1:6" ht="12.75" customHeight="1" x14ac:dyDescent="0.25">
      <c r="A17" s="82">
        <v>11</v>
      </c>
      <c r="B17" s="77" t="s">
        <v>12</v>
      </c>
      <c r="C17" s="78" t="s">
        <v>2</v>
      </c>
      <c r="D17" s="79">
        <f t="shared" si="2"/>
        <v>20201</v>
      </c>
      <c r="E17" s="66">
        <v>6190</v>
      </c>
      <c r="F17" s="66">
        <v>14011</v>
      </c>
    </row>
    <row r="18" spans="1:6" ht="12.75" customHeight="1" x14ac:dyDescent="0.25">
      <c r="A18" s="82">
        <v>12</v>
      </c>
      <c r="B18" s="74" t="s">
        <v>3</v>
      </c>
      <c r="C18" s="78" t="s">
        <v>191</v>
      </c>
      <c r="D18" s="79">
        <f t="shared" si="2"/>
        <v>75028</v>
      </c>
      <c r="E18" s="66">
        <v>26849</v>
      </c>
      <c r="F18" s="66">
        <f>60156-11977</f>
        <v>48179</v>
      </c>
    </row>
    <row r="19" spans="1:6" ht="12.75" customHeight="1" x14ac:dyDescent="0.25">
      <c r="A19" s="82">
        <v>13</v>
      </c>
      <c r="B19" s="21" t="s">
        <v>11</v>
      </c>
      <c r="C19" s="22" t="s">
        <v>8</v>
      </c>
      <c r="D19" s="79">
        <f t="shared" si="2"/>
        <v>62043</v>
      </c>
      <c r="E19" s="66">
        <v>19695</v>
      </c>
      <c r="F19" s="66">
        <f>44271-1923</f>
        <v>42348</v>
      </c>
    </row>
    <row r="20" spans="1:6" ht="12.75" customHeight="1" x14ac:dyDescent="0.25">
      <c r="A20" s="82">
        <v>14</v>
      </c>
      <c r="B20" s="77" t="s">
        <v>30</v>
      </c>
      <c r="C20" s="80" t="s">
        <v>197</v>
      </c>
      <c r="D20" s="79">
        <f t="shared" si="2"/>
        <v>18539</v>
      </c>
      <c r="E20" s="66">
        <v>0</v>
      </c>
      <c r="F20" s="66">
        <v>18539</v>
      </c>
    </row>
    <row r="21" spans="1:6" ht="12.75" customHeight="1" x14ac:dyDescent="0.25">
      <c r="A21" s="82">
        <v>15</v>
      </c>
      <c r="B21" s="77" t="s">
        <v>66</v>
      </c>
      <c r="C21" s="80" t="s">
        <v>67</v>
      </c>
      <c r="D21" s="79">
        <f t="shared" si="2"/>
        <v>19594</v>
      </c>
      <c r="E21" s="66">
        <v>0</v>
      </c>
      <c r="F21" s="66">
        <v>19594</v>
      </c>
    </row>
  </sheetData>
  <mergeCells count="6">
    <mergeCell ref="A1:F1"/>
    <mergeCell ref="A2:A3"/>
    <mergeCell ref="B2:B3"/>
    <mergeCell ref="C2:C3"/>
    <mergeCell ref="D2:D3"/>
    <mergeCell ref="E2:F2"/>
  </mergeCells>
  <pageMargins left="0.31496062992125984" right="0.31496062992125984" top="0.74803149606299213" bottom="0.74803149606299213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13</vt:i4>
      </vt:variant>
    </vt:vector>
  </HeadingPairs>
  <TitlesOfParts>
    <vt:vector size="32" baseType="lpstr">
      <vt:lpstr>КС</vt:lpstr>
      <vt:lpstr>ВМП КС </vt:lpstr>
      <vt:lpstr>ДС</vt:lpstr>
      <vt:lpstr>Обращения</vt:lpstr>
      <vt:lpstr>Неотложка</vt:lpstr>
      <vt:lpstr>КТ, МРТ</vt:lpstr>
      <vt:lpstr>УЗИссс</vt:lpstr>
      <vt:lpstr>ЭИ,ПАИ,МГИ</vt:lpstr>
      <vt:lpstr>COVID</vt:lpstr>
      <vt:lpstr>РД,ЛУЧ,ПЭТ,УЗИскрин</vt:lpstr>
      <vt:lpstr>Профил.свод Пр.10-21</vt:lpstr>
      <vt:lpstr>Проф.диспан набл.Пр.10-21</vt:lpstr>
      <vt:lpstr>Разов.посеш.по забол.Пр.10-21</vt:lpstr>
      <vt:lpstr>Проф.посещения СМП Пр.10-21</vt:lpstr>
      <vt:lpstr>Проф.посещ.с др.цел. Пр.10-21 </vt:lpstr>
      <vt:lpstr>Проф.стомат.раз.пос. Пр.10-21</vt:lpstr>
      <vt:lpstr>Проф.стомат.пос.СМП Пр.10-21</vt:lpstr>
      <vt:lpstr>Центры здоровья Пр.10-21</vt:lpstr>
      <vt:lpstr>СМП объемы пр 10-21 </vt:lpstr>
      <vt:lpstr>Неотложка!Заголовки_для_печати</vt:lpstr>
      <vt:lpstr>Обращения!Заголовки_для_печати</vt:lpstr>
      <vt:lpstr>'Проф.диспан набл.Пр.10-21'!Заголовки_для_печати</vt:lpstr>
      <vt:lpstr>'Проф.посещ.с др.цел. Пр.10-21 '!Заголовки_для_печати</vt:lpstr>
      <vt:lpstr>'Проф.посещения СМП Пр.10-21'!Заголовки_для_печати</vt:lpstr>
      <vt:lpstr>'Проф.стомат.пос.СМП Пр.10-21'!Заголовки_для_печати</vt:lpstr>
      <vt:lpstr>'Проф.стомат.раз.пос. Пр.10-21'!Заголовки_для_печати</vt:lpstr>
      <vt:lpstr>'Профил.свод Пр.10-21'!Заголовки_для_печати</vt:lpstr>
      <vt:lpstr>'Разов.посеш.по забол.Пр.10-21'!Заголовки_для_печати</vt:lpstr>
      <vt:lpstr>'СМП объемы пр 10-21 '!Заголовки_для_печати</vt:lpstr>
      <vt:lpstr>Неотложка!Область_печати</vt:lpstr>
      <vt:lpstr>Обращения!Область_печати</vt:lpstr>
      <vt:lpstr>'ЭИ,ПАИ,МГИ'!Область_печати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2021-07-27T11:33:48Z</dcterms:modified>
</cp:coreProperties>
</file>