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0\Протокол 118\"/>
    </mc:Choice>
  </mc:AlternateContent>
  <bookViews>
    <workbookView xWindow="0" yWindow="60" windowWidth="19200" windowHeight="11430"/>
  </bookViews>
  <sheets>
    <sheet name="КС (пр.118)" sheetId="131" r:id="rId1"/>
    <sheet name="ВМП по КС" sheetId="122" r:id="rId2"/>
    <sheet name="ДС Пр. 118" sheetId="114" r:id="rId3"/>
    <sheet name="Гемодиализ Пр. 118" sheetId="113" r:id="rId4"/>
    <sheet name="ЛДИ COVID 19" sheetId="121" r:id="rId5"/>
    <sheet name="КТ МРТ Пр. 118" sheetId="112" r:id="rId6"/>
    <sheet name="Эндоскопия, МГИ,гистол. Пр.118" sheetId="124" r:id="rId7"/>
    <sheet name="СМП объемы Пр 118" sheetId="129" r:id="rId8"/>
    <sheet name="Обращения по забол.Пр.118" sheetId="128" r:id="rId9"/>
    <sheet name="Неотложная помощь Пр.118" sheetId="127" r:id="rId10"/>
    <sheet name="Всего Профилактика Пр.118" sheetId="126" r:id="rId11"/>
    <sheet name="Проф.с иными целями Пр.118" sheetId="125" r:id="rId12"/>
    <sheet name="Центры здоровья Пр.118" sheetId="130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_xlnm.Print_Area_2" localSheetId="7">#REF!</definedName>
    <definedName name="__xlnm.Print_Area_2">#REF!</definedName>
    <definedName name="Kbcn" localSheetId="7">#REF!</definedName>
    <definedName name="Kbcn">#REF!</definedName>
    <definedName name="Neot_17" localSheetId="7">#REF!</definedName>
    <definedName name="Neot_17">#REF!</definedName>
    <definedName name="OLE_LINK1" localSheetId="7">'СМП объемы Пр 118'!$A$3</definedName>
    <definedName name="res2_range" localSheetId="1">#REF!</definedName>
    <definedName name="res2_range" localSheetId="0">#REF!</definedName>
    <definedName name="res2_range" localSheetId="7">#REF!</definedName>
    <definedName name="res2_range">#REF!</definedName>
    <definedName name="Tg_CZ" localSheetId="7">#REF!</definedName>
    <definedName name="Tg_CZ">#REF!</definedName>
    <definedName name="Tg_Disp" localSheetId="7">#REF!</definedName>
    <definedName name="Tg_Disp">#REF!</definedName>
    <definedName name="Tg_Geri" localSheetId="7">#REF!</definedName>
    <definedName name="Tg_Geri">#REF!</definedName>
    <definedName name="Tg_Kons" localSheetId="7">#REF!</definedName>
    <definedName name="Tg_Kons">#REF!</definedName>
    <definedName name="Tg_Med" localSheetId="7">#REF!</definedName>
    <definedName name="Tg_Med">#REF!</definedName>
    <definedName name="Tg_Neot" localSheetId="7">#REF!</definedName>
    <definedName name="Tg_Neot">#REF!</definedName>
    <definedName name="Tg_Nepr" localSheetId="7">#REF!</definedName>
    <definedName name="Tg_Nepr">#REF!</definedName>
    <definedName name="Tg_Obr" localSheetId="7">#REF!</definedName>
    <definedName name="Tg_Obr">#REF!</definedName>
    <definedName name="Tg_Reestr" localSheetId="7">#REF!</definedName>
    <definedName name="Tg_Reestr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7">#REF!</definedName>
    <definedName name="_xlnm.Database">#REF!</definedName>
    <definedName name="Д" localSheetId="0">[2]Данные!$B$1:$EF$178</definedName>
    <definedName name="Д" localSheetId="7">[3]Данные!$B$1:$EF$178</definedName>
    <definedName name="Д">[4]Данные!$B$1:$EF$178</definedName>
    <definedName name="_xlnm.Print_Titles" localSheetId="0">'КС (пр.118)'!$4:$6</definedName>
    <definedName name="ЗД" localSheetId="0">[2]Данные!$BY$3:$DB$3</definedName>
    <definedName name="ЗД" localSheetId="7">[3]Данные!$BY$3:$DB$3</definedName>
    <definedName name="ЗД">[4]Данные!$BY$3:$DB$3</definedName>
    <definedName name="ппорь" localSheetId="7">#REF!</definedName>
    <definedName name="ппорь">#REF!</definedName>
    <definedName name="смп" localSheetId="7">#REF!</definedName>
    <definedName name="смп">#REF!</definedName>
    <definedName name="ФЗ" localSheetId="0">[2]Данные!$DC$3:$EF$3</definedName>
    <definedName name="ФЗ" localSheetId="7">[3]Данные!$DC$3:$EF$3</definedName>
    <definedName name="ФЗ">[4]Данные!$DC$3:$EF$3</definedName>
    <definedName name="Шт" localSheetId="0">[2]Данные!$AU$3:$BX$3</definedName>
    <definedName name="Шт" localSheetId="7">[3]Данные!$AU$3:$BX$3</definedName>
    <definedName name="Шт">[4]Данные!$AU$3:$BX$3</definedName>
    <definedName name="ЭКО" localSheetId="7">#REF!</definedName>
    <definedName name="ЭКО">#REF!</definedName>
  </definedNames>
  <calcPr calcId="152511"/>
</workbook>
</file>

<file path=xl/calcChain.xml><?xml version="1.0" encoding="utf-8"?>
<calcChain xmlns="http://schemas.openxmlformats.org/spreadsheetml/2006/main">
  <c r="G129" i="131" l="1"/>
  <c r="D129" i="131" s="1"/>
  <c r="D128" i="131"/>
  <c r="J127" i="131"/>
  <c r="J130" i="131" s="1"/>
  <c r="K126" i="131"/>
  <c r="G126" i="131"/>
  <c r="D126" i="131" s="1"/>
  <c r="G125" i="131"/>
  <c r="E125" i="131"/>
  <c r="D125" i="131"/>
  <c r="D124" i="131"/>
  <c r="I123" i="131"/>
  <c r="G123" i="131"/>
  <c r="E123" i="131"/>
  <c r="D123" i="131" s="1"/>
  <c r="D122" i="131"/>
  <c r="D121" i="131"/>
  <c r="I120" i="131"/>
  <c r="G120" i="131"/>
  <c r="E120" i="131"/>
  <c r="D120" i="131" s="1"/>
  <c r="D119" i="131"/>
  <c r="G118" i="131"/>
  <c r="D118" i="131"/>
  <c r="G117" i="131"/>
  <c r="E117" i="131"/>
  <c r="D117" i="131" s="1"/>
  <c r="I116" i="131"/>
  <c r="G116" i="131"/>
  <c r="E116" i="131"/>
  <c r="D116" i="131" s="1"/>
  <c r="D115" i="131"/>
  <c r="G114" i="131"/>
  <c r="D114" i="131"/>
  <c r="G113" i="131"/>
  <c r="E113" i="131"/>
  <c r="D113" i="131" s="1"/>
  <c r="G112" i="131"/>
  <c r="D112" i="131" s="1"/>
  <c r="D111" i="131"/>
  <c r="D110" i="131"/>
  <c r="I109" i="131"/>
  <c r="G109" i="131"/>
  <c r="D109" i="131"/>
  <c r="D108" i="131"/>
  <c r="G107" i="131"/>
  <c r="E107" i="131"/>
  <c r="D107" i="131"/>
  <c r="D106" i="131"/>
  <c r="G105" i="131"/>
  <c r="E105" i="131"/>
  <c r="D105" i="131"/>
  <c r="G104" i="131"/>
  <c r="D104" i="131"/>
  <c r="G103" i="131"/>
  <c r="F103" i="131"/>
  <c r="F127" i="131" s="1"/>
  <c r="F130" i="131" s="1"/>
  <c r="E103" i="131"/>
  <c r="D103" i="131"/>
  <c r="K102" i="131"/>
  <c r="G102" i="131"/>
  <c r="D102" i="131" s="1"/>
  <c r="I101" i="131"/>
  <c r="G101" i="131"/>
  <c r="E101" i="131"/>
  <c r="D101" i="131" s="1"/>
  <c r="I100" i="131"/>
  <c r="G100" i="131"/>
  <c r="E100" i="131"/>
  <c r="E127" i="131" s="1"/>
  <c r="G99" i="131"/>
  <c r="D99" i="131" s="1"/>
  <c r="D98" i="131"/>
  <c r="G97" i="131"/>
  <c r="D97" i="131"/>
  <c r="D96" i="131"/>
  <c r="G95" i="131"/>
  <c r="D95" i="131" s="1"/>
  <c r="G94" i="131"/>
  <c r="D94" i="131" s="1"/>
  <c r="G93" i="131"/>
  <c r="D93" i="131" s="1"/>
  <c r="G92" i="131"/>
  <c r="D92" i="131" s="1"/>
  <c r="K91" i="131"/>
  <c r="I91" i="131"/>
  <c r="G91" i="131"/>
  <c r="D91" i="131" s="1"/>
  <c r="I90" i="131"/>
  <c r="I127" i="131" s="1"/>
  <c r="I130" i="131" s="1"/>
  <c r="G90" i="131"/>
  <c r="D90" i="131"/>
  <c r="G89" i="131"/>
  <c r="D89" i="131"/>
  <c r="G88" i="131"/>
  <c r="D88" i="131"/>
  <c r="G87" i="131"/>
  <c r="D87" i="131"/>
  <c r="D86" i="131"/>
  <c r="G85" i="131"/>
  <c r="D85" i="131" s="1"/>
  <c r="G84" i="131"/>
  <c r="D84" i="131" s="1"/>
  <c r="G83" i="131"/>
  <c r="D83" i="131" s="1"/>
  <c r="G82" i="131"/>
  <c r="D82" i="131" s="1"/>
  <c r="D81" i="131"/>
  <c r="D80" i="131"/>
  <c r="D79" i="131"/>
  <c r="D78" i="131"/>
  <c r="G77" i="131"/>
  <c r="D77" i="131" s="1"/>
  <c r="G76" i="131"/>
  <c r="D76" i="131" s="1"/>
  <c r="G75" i="131"/>
  <c r="D75" i="131" s="1"/>
  <c r="G74" i="131"/>
  <c r="D74" i="131" s="1"/>
  <c r="G73" i="131"/>
  <c r="D73" i="131" s="1"/>
  <c r="G72" i="131"/>
  <c r="D72" i="131" s="1"/>
  <c r="G71" i="131"/>
  <c r="D71" i="131" s="1"/>
  <c r="D70" i="131"/>
  <c r="G69" i="131"/>
  <c r="D69" i="131"/>
  <c r="G68" i="131"/>
  <c r="D68" i="131"/>
  <c r="G67" i="131"/>
  <c r="D67" i="131" s="1"/>
  <c r="H127" i="131"/>
  <c r="H130" i="131" s="1"/>
  <c r="G66" i="131"/>
  <c r="D66" i="131"/>
  <c r="G65" i="131"/>
  <c r="D65" i="131"/>
  <c r="D64" i="131"/>
  <c r="D63" i="131"/>
  <c r="D62" i="131"/>
  <c r="D61" i="131"/>
  <c r="G60" i="131"/>
  <c r="D60" i="131"/>
  <c r="D59" i="131"/>
  <c r="G58" i="131"/>
  <c r="D58" i="131" s="1"/>
  <c r="G57" i="131"/>
  <c r="D57" i="131" s="1"/>
  <c r="D56" i="131"/>
  <c r="D55" i="131"/>
  <c r="G54" i="131"/>
  <c r="D54" i="131" s="1"/>
  <c r="G53" i="131"/>
  <c r="D53" i="131" s="1"/>
  <c r="D52" i="131"/>
  <c r="G51" i="131"/>
  <c r="D51" i="131"/>
  <c r="K50" i="131"/>
  <c r="K127" i="131" s="1"/>
  <c r="K130" i="131" s="1"/>
  <c r="D50" i="131"/>
  <c r="D49" i="131"/>
  <c r="G48" i="131"/>
  <c r="D48" i="131" s="1"/>
  <c r="D47" i="131"/>
  <c r="D46" i="131"/>
  <c r="D45" i="131"/>
  <c r="D44" i="131"/>
  <c r="G43" i="131"/>
  <c r="D43" i="131" s="1"/>
  <c r="D42" i="131"/>
  <c r="D41" i="131"/>
  <c r="D40" i="131"/>
  <c r="D39" i="131"/>
  <c r="G38" i="131"/>
  <c r="D38" i="131" s="1"/>
  <c r="G37" i="131"/>
  <c r="D37" i="131" s="1"/>
  <c r="G36" i="131"/>
  <c r="D36" i="131" s="1"/>
  <c r="D35" i="131"/>
  <c r="D34" i="131"/>
  <c r="G33" i="131"/>
  <c r="D33" i="131" s="1"/>
  <c r="D32" i="131"/>
  <c r="D31" i="131"/>
  <c r="G30" i="131"/>
  <c r="D30" i="131" s="1"/>
  <c r="G29" i="131"/>
  <c r="D29" i="131" s="1"/>
  <c r="D28" i="131"/>
  <c r="D27" i="131"/>
  <c r="G26" i="131"/>
  <c r="D26" i="131" s="1"/>
  <c r="G25" i="131"/>
  <c r="D25" i="131" s="1"/>
  <c r="D24" i="131"/>
  <c r="D23" i="131"/>
  <c r="D22" i="131"/>
  <c r="D21" i="131"/>
  <c r="D20" i="131"/>
  <c r="G19" i="131"/>
  <c r="D19" i="131"/>
  <c r="D18" i="131"/>
  <c r="D17" i="131"/>
  <c r="D16" i="131"/>
  <c r="D15" i="131"/>
  <c r="D14" i="131"/>
  <c r="D13" i="131"/>
  <c r="G12" i="131"/>
  <c r="D12" i="131"/>
  <c r="D11" i="131"/>
  <c r="G10" i="131"/>
  <c r="G127" i="131" s="1"/>
  <c r="G130" i="131" s="1"/>
  <c r="D9" i="131"/>
  <c r="D8" i="131"/>
  <c r="E130" i="131" l="1"/>
  <c r="D127" i="131"/>
  <c r="D130" i="131" s="1"/>
  <c r="D10" i="131"/>
  <c r="D100" i="131"/>
  <c r="P32" i="130" l="1"/>
  <c r="O32" i="130"/>
  <c r="I32" i="130"/>
  <c r="H32" i="130"/>
  <c r="N31" i="130"/>
  <c r="M31" i="130"/>
  <c r="G31" i="130"/>
  <c r="F31" i="130"/>
  <c r="N30" i="130"/>
  <c r="M30" i="130"/>
  <c r="G30" i="130"/>
  <c r="F30" i="130"/>
  <c r="E30" i="130"/>
  <c r="N29" i="130"/>
  <c r="M29" i="130"/>
  <c r="L29" i="130" s="1"/>
  <c r="G29" i="130"/>
  <c r="F29" i="130"/>
  <c r="E29" i="130"/>
  <c r="D29" i="130" s="1"/>
  <c r="N28" i="130"/>
  <c r="M28" i="130"/>
  <c r="L28" i="130"/>
  <c r="G28" i="130"/>
  <c r="F28" i="130"/>
  <c r="E28" i="130" s="1"/>
  <c r="D28" i="130" s="1"/>
  <c r="N27" i="130"/>
  <c r="M27" i="130"/>
  <c r="L27" i="130" s="1"/>
  <c r="G27" i="130"/>
  <c r="F27" i="130"/>
  <c r="E27" i="130" s="1"/>
  <c r="D27" i="130" s="1"/>
  <c r="N26" i="130"/>
  <c r="M26" i="130"/>
  <c r="L26" i="130" s="1"/>
  <c r="G26" i="130"/>
  <c r="F26" i="130"/>
  <c r="E26" i="130" s="1"/>
  <c r="N25" i="130"/>
  <c r="M25" i="130"/>
  <c r="L25" i="130"/>
  <c r="G25" i="130"/>
  <c r="F25" i="130"/>
  <c r="E25" i="130" s="1"/>
  <c r="D25" i="130" s="1"/>
  <c r="R24" i="130"/>
  <c r="R32" i="130" s="1"/>
  <c r="Q24" i="130"/>
  <c r="Q32" i="130" s="1"/>
  <c r="N24" i="130"/>
  <c r="M24" i="130"/>
  <c r="L24" i="130" s="1"/>
  <c r="K24" i="130"/>
  <c r="K32" i="130" s="1"/>
  <c r="J24" i="130"/>
  <c r="J32" i="130" s="1"/>
  <c r="G24" i="130"/>
  <c r="N23" i="130"/>
  <c r="M23" i="130"/>
  <c r="G23" i="130"/>
  <c r="F23" i="130"/>
  <c r="N22" i="130"/>
  <c r="M22" i="130"/>
  <c r="G22" i="130"/>
  <c r="F22" i="130"/>
  <c r="E22" i="130"/>
  <c r="N21" i="130"/>
  <c r="M21" i="130"/>
  <c r="L21" i="130" s="1"/>
  <c r="G21" i="130"/>
  <c r="F21" i="130"/>
  <c r="E21" i="130"/>
  <c r="N20" i="130"/>
  <c r="M20" i="130"/>
  <c r="L20" i="130"/>
  <c r="G20" i="130"/>
  <c r="F20" i="130"/>
  <c r="E20" i="130" s="1"/>
  <c r="D20" i="130" s="1"/>
  <c r="N19" i="130"/>
  <c r="M19" i="130"/>
  <c r="L19" i="130" s="1"/>
  <c r="G19" i="130"/>
  <c r="F19" i="130"/>
  <c r="E19" i="130" s="1"/>
  <c r="D19" i="130" s="1"/>
  <c r="N18" i="130"/>
  <c r="M18" i="130"/>
  <c r="L18" i="130" s="1"/>
  <c r="G18" i="130"/>
  <c r="F18" i="130"/>
  <c r="E18" i="130" s="1"/>
  <c r="N17" i="130"/>
  <c r="M17" i="130"/>
  <c r="L17" i="130"/>
  <c r="G17" i="130"/>
  <c r="F17" i="130"/>
  <c r="E17" i="130" s="1"/>
  <c r="D17" i="130" s="1"/>
  <c r="N16" i="130"/>
  <c r="M16" i="130"/>
  <c r="L16" i="130" s="1"/>
  <c r="G16" i="130"/>
  <c r="F16" i="130"/>
  <c r="N15" i="130"/>
  <c r="M15" i="130"/>
  <c r="G15" i="130"/>
  <c r="F15" i="130"/>
  <c r="N14" i="130"/>
  <c r="M14" i="130"/>
  <c r="G14" i="130"/>
  <c r="F14" i="130"/>
  <c r="E14" i="130"/>
  <c r="N13" i="130"/>
  <c r="M13" i="130"/>
  <c r="L13" i="130" s="1"/>
  <c r="D13" i="130" s="1"/>
  <c r="G13" i="130"/>
  <c r="F13" i="130"/>
  <c r="E13" i="130"/>
  <c r="N12" i="130"/>
  <c r="M12" i="130"/>
  <c r="L12" i="130" s="1"/>
  <c r="G12" i="130"/>
  <c r="F12" i="130"/>
  <c r="N11" i="130"/>
  <c r="M11" i="130"/>
  <c r="G11" i="130"/>
  <c r="F11" i="130"/>
  <c r="N10" i="130"/>
  <c r="M10" i="130"/>
  <c r="G10" i="130"/>
  <c r="F10" i="130"/>
  <c r="E10" i="130"/>
  <c r="N9" i="130"/>
  <c r="M9" i="130"/>
  <c r="M32" i="130" s="1"/>
  <c r="G9" i="130"/>
  <c r="F9" i="130"/>
  <c r="E9" i="130"/>
  <c r="D21" i="130" l="1"/>
  <c r="G32" i="130"/>
  <c r="L9" i="130"/>
  <c r="N32" i="130"/>
  <c r="L10" i="130"/>
  <c r="E11" i="130"/>
  <c r="L11" i="130"/>
  <c r="E12" i="130"/>
  <c r="D12" i="130" s="1"/>
  <c r="L14" i="130"/>
  <c r="E15" i="130"/>
  <c r="D15" i="130" s="1"/>
  <c r="L15" i="130"/>
  <c r="E16" i="130"/>
  <c r="D16" i="130" s="1"/>
  <c r="L22" i="130"/>
  <c r="D22" i="130" s="1"/>
  <c r="E23" i="130"/>
  <c r="D23" i="130" s="1"/>
  <c r="L23" i="130"/>
  <c r="L30" i="130"/>
  <c r="L32" i="130" s="1"/>
  <c r="E31" i="130"/>
  <c r="L31" i="130"/>
  <c r="D10" i="130"/>
  <c r="D14" i="130"/>
  <c r="D11" i="130"/>
  <c r="D18" i="130"/>
  <c r="D26" i="130"/>
  <c r="D9" i="130"/>
  <c r="F24" i="130"/>
  <c r="E24" i="130" s="1"/>
  <c r="D24" i="130" s="1"/>
  <c r="S166" i="125"/>
  <c r="R166" i="125"/>
  <c r="Q166" i="125"/>
  <c r="M166" i="125"/>
  <c r="J166" i="125"/>
  <c r="H166" i="125"/>
  <c r="G166" i="125"/>
  <c r="F166" i="125"/>
  <c r="E166" i="125"/>
  <c r="K165" i="125"/>
  <c r="D165" i="125"/>
  <c r="D164" i="125"/>
  <c r="D163" i="125"/>
  <c r="D162" i="125"/>
  <c r="D161" i="125"/>
  <c r="D160" i="125"/>
  <c r="D159" i="125"/>
  <c r="D158" i="125"/>
  <c r="D157" i="125"/>
  <c r="D156" i="125"/>
  <c r="D155" i="125"/>
  <c r="D154" i="125"/>
  <c r="L153" i="125"/>
  <c r="D153" i="125" s="1"/>
  <c r="D152" i="125"/>
  <c r="D151" i="125"/>
  <c r="T150" i="125"/>
  <c r="T166" i="125" s="1"/>
  <c r="I150" i="125"/>
  <c r="I166" i="125" s="1"/>
  <c r="D149" i="125"/>
  <c r="D148" i="125"/>
  <c r="D147" i="125"/>
  <c r="D146" i="125"/>
  <c r="D145" i="125"/>
  <c r="P144" i="125"/>
  <c r="D144" i="125"/>
  <c r="D143" i="125"/>
  <c r="D142" i="125"/>
  <c r="D141" i="125"/>
  <c r="D140" i="125"/>
  <c r="D139" i="125"/>
  <c r="D138" i="125"/>
  <c r="D137" i="125"/>
  <c r="D136" i="125"/>
  <c r="D135" i="125"/>
  <c r="D134" i="125"/>
  <c r="D133" i="125"/>
  <c r="D132" i="125"/>
  <c r="D131" i="125"/>
  <c r="D130" i="125"/>
  <c r="D129" i="125"/>
  <c r="D128" i="125"/>
  <c r="D127" i="125"/>
  <c r="D126" i="125"/>
  <c r="D125" i="125"/>
  <c r="D124" i="125"/>
  <c r="D123" i="125"/>
  <c r="D122" i="125"/>
  <c r="D121" i="125"/>
  <c r="D120" i="125"/>
  <c r="D119" i="125"/>
  <c r="D118" i="125"/>
  <c r="D117" i="125"/>
  <c r="P116" i="125"/>
  <c r="D116" i="125" s="1"/>
  <c r="D115" i="125"/>
  <c r="D114" i="125"/>
  <c r="D113" i="125"/>
  <c r="P112" i="125"/>
  <c r="D112" i="125" s="1"/>
  <c r="D111" i="125"/>
  <c r="D110" i="125"/>
  <c r="D109" i="125"/>
  <c r="D108" i="125"/>
  <c r="D107" i="125"/>
  <c r="D106" i="125"/>
  <c r="D105" i="125"/>
  <c r="D104" i="125"/>
  <c r="D103" i="125"/>
  <c r="D102" i="125"/>
  <c r="D101" i="125"/>
  <c r="D100" i="125"/>
  <c r="D99" i="125"/>
  <c r="D98" i="125"/>
  <c r="D97" i="125"/>
  <c r="D96" i="125"/>
  <c r="D95" i="125"/>
  <c r="D94" i="125"/>
  <c r="D93" i="125"/>
  <c r="L92" i="125"/>
  <c r="D92" i="125" s="1"/>
  <c r="D91" i="125"/>
  <c r="D90" i="125"/>
  <c r="D89" i="125"/>
  <c r="D88" i="125"/>
  <c r="D87" i="125"/>
  <c r="D86" i="125"/>
  <c r="D85" i="125"/>
  <c r="D84" i="125"/>
  <c r="D83" i="125"/>
  <c r="D82" i="125"/>
  <c r="D81" i="125"/>
  <c r="D80" i="125"/>
  <c r="D79" i="125"/>
  <c r="D78" i="125"/>
  <c r="D77" i="125"/>
  <c r="D76" i="125"/>
  <c r="D75" i="125"/>
  <c r="D74" i="125"/>
  <c r="D73" i="125"/>
  <c r="D72" i="125"/>
  <c r="D71" i="125"/>
  <c r="D70" i="125"/>
  <c r="D69" i="125"/>
  <c r="D68" i="125"/>
  <c r="D67" i="125"/>
  <c r="D66" i="125"/>
  <c r="D65" i="125"/>
  <c r="D64" i="125"/>
  <c r="D63" i="125"/>
  <c r="D62" i="125"/>
  <c r="D61" i="125"/>
  <c r="D60" i="125"/>
  <c r="D59" i="125"/>
  <c r="D58" i="125"/>
  <c r="D57" i="125"/>
  <c r="D56" i="125"/>
  <c r="D55" i="125"/>
  <c r="D54" i="125"/>
  <c r="D53" i="125"/>
  <c r="D52" i="125"/>
  <c r="D51" i="125"/>
  <c r="D50" i="125"/>
  <c r="K49" i="125"/>
  <c r="V48" i="125"/>
  <c r="U48" i="125"/>
  <c r="U166" i="125" s="1"/>
  <c r="O48" i="125"/>
  <c r="N48" i="125"/>
  <c r="V47" i="125"/>
  <c r="O47" i="125"/>
  <c r="O166" i="125" s="1"/>
  <c r="N47" i="125"/>
  <c r="D46" i="125"/>
  <c r="D45" i="125"/>
  <c r="D44" i="125"/>
  <c r="D43" i="125"/>
  <c r="D42" i="125"/>
  <c r="D41" i="125"/>
  <c r="D40" i="125"/>
  <c r="D39" i="125"/>
  <c r="D38" i="125"/>
  <c r="D37" i="125"/>
  <c r="D36" i="125"/>
  <c r="D35" i="125"/>
  <c r="D34" i="125"/>
  <c r="D33" i="125"/>
  <c r="D32" i="125"/>
  <c r="D31" i="125"/>
  <c r="D30" i="125"/>
  <c r="D29" i="125"/>
  <c r="D28" i="125"/>
  <c r="D27" i="125"/>
  <c r="D26" i="125"/>
  <c r="D25" i="125"/>
  <c r="D24" i="125"/>
  <c r="D23" i="125"/>
  <c r="D22" i="125"/>
  <c r="D21" i="125"/>
  <c r="D20" i="125"/>
  <c r="D19" i="125"/>
  <c r="D18" i="125"/>
  <c r="D17" i="125"/>
  <c r="D16" i="125"/>
  <c r="D15" i="125"/>
  <c r="D14" i="125"/>
  <c r="D13" i="125"/>
  <c r="D12" i="125"/>
  <c r="D11" i="125"/>
  <c r="D10" i="125"/>
  <c r="M166" i="126"/>
  <c r="L166" i="126"/>
  <c r="K166" i="126"/>
  <c r="I166" i="126"/>
  <c r="H166" i="126"/>
  <c r="G166" i="126"/>
  <c r="F166" i="126"/>
  <c r="N165" i="126"/>
  <c r="J165" i="126"/>
  <c r="E165" i="126"/>
  <c r="N164" i="126"/>
  <c r="J164" i="126"/>
  <c r="E164" i="126"/>
  <c r="N163" i="126"/>
  <c r="J163" i="126"/>
  <c r="E163" i="126"/>
  <c r="N162" i="126"/>
  <c r="J162" i="126"/>
  <c r="E162" i="126"/>
  <c r="N161" i="126"/>
  <c r="J161" i="126"/>
  <c r="E161" i="126"/>
  <c r="N160" i="126"/>
  <c r="J160" i="126"/>
  <c r="E160" i="126"/>
  <c r="N159" i="126"/>
  <c r="J159" i="126"/>
  <c r="E159" i="126"/>
  <c r="N158" i="126"/>
  <c r="J158" i="126"/>
  <c r="E158" i="126"/>
  <c r="N157" i="126"/>
  <c r="J157" i="126"/>
  <c r="E157" i="126"/>
  <c r="N156" i="126"/>
  <c r="J156" i="126"/>
  <c r="E156" i="126"/>
  <c r="N155" i="126"/>
  <c r="J155" i="126"/>
  <c r="E155" i="126"/>
  <c r="N154" i="126"/>
  <c r="J154" i="126"/>
  <c r="E154" i="126"/>
  <c r="N153" i="126"/>
  <c r="J153" i="126"/>
  <c r="E153" i="126"/>
  <c r="N152" i="126"/>
  <c r="J152" i="126"/>
  <c r="E152" i="126"/>
  <c r="N151" i="126"/>
  <c r="J151" i="126"/>
  <c r="E151" i="126"/>
  <c r="N150" i="126"/>
  <c r="J150" i="126"/>
  <c r="E150" i="126"/>
  <c r="N149" i="126"/>
  <c r="J149" i="126"/>
  <c r="E149" i="126"/>
  <c r="N148" i="126"/>
  <c r="J148" i="126"/>
  <c r="E148" i="126"/>
  <c r="N147" i="126"/>
  <c r="J147" i="126"/>
  <c r="E147" i="126"/>
  <c r="N146" i="126"/>
  <c r="J146" i="126"/>
  <c r="E146" i="126"/>
  <c r="N145" i="126"/>
  <c r="J145" i="126"/>
  <c r="E145" i="126"/>
  <c r="N144" i="126"/>
  <c r="J144" i="126"/>
  <c r="E144" i="126"/>
  <c r="N143" i="126"/>
  <c r="J143" i="126"/>
  <c r="E143" i="126"/>
  <c r="N142" i="126"/>
  <c r="J142" i="126"/>
  <c r="E142" i="126"/>
  <c r="N141" i="126"/>
  <c r="J141" i="126"/>
  <c r="E141" i="126"/>
  <c r="N140" i="126"/>
  <c r="J140" i="126"/>
  <c r="E140" i="126"/>
  <c r="N139" i="126"/>
  <c r="J139" i="126"/>
  <c r="E139" i="126"/>
  <c r="N138" i="126"/>
  <c r="J138" i="126"/>
  <c r="E138" i="126"/>
  <c r="N137" i="126"/>
  <c r="J137" i="126"/>
  <c r="E137" i="126"/>
  <c r="N136" i="126"/>
  <c r="J136" i="126"/>
  <c r="E136" i="126"/>
  <c r="N135" i="126"/>
  <c r="J135" i="126"/>
  <c r="E135" i="126"/>
  <c r="N134" i="126"/>
  <c r="J134" i="126"/>
  <c r="E134" i="126"/>
  <c r="N133" i="126"/>
  <c r="J133" i="126"/>
  <c r="E133" i="126"/>
  <c r="N132" i="126"/>
  <c r="J132" i="126"/>
  <c r="E132" i="126"/>
  <c r="N131" i="126"/>
  <c r="J131" i="126"/>
  <c r="E131" i="126"/>
  <c r="N130" i="126"/>
  <c r="J130" i="126"/>
  <c r="E130" i="126"/>
  <c r="N129" i="126"/>
  <c r="J129" i="126"/>
  <c r="E129" i="126"/>
  <c r="N128" i="126"/>
  <c r="J128" i="126"/>
  <c r="E128" i="126"/>
  <c r="N127" i="126"/>
  <c r="J127" i="126"/>
  <c r="E127" i="126"/>
  <c r="N126" i="126"/>
  <c r="J126" i="126"/>
  <c r="E126" i="126"/>
  <c r="N125" i="126"/>
  <c r="J125" i="126"/>
  <c r="E125" i="126"/>
  <c r="N124" i="126"/>
  <c r="J124" i="126"/>
  <c r="E124" i="126"/>
  <c r="N123" i="126"/>
  <c r="J123" i="126"/>
  <c r="E123" i="126"/>
  <c r="N122" i="126"/>
  <c r="J122" i="126"/>
  <c r="E122" i="126"/>
  <c r="N121" i="126"/>
  <c r="J121" i="126"/>
  <c r="E121" i="126"/>
  <c r="N120" i="126"/>
  <c r="J120" i="126"/>
  <c r="E120" i="126"/>
  <c r="N119" i="126"/>
  <c r="J119" i="126"/>
  <c r="E119" i="126"/>
  <c r="N118" i="126"/>
  <c r="J118" i="126"/>
  <c r="E118" i="126"/>
  <c r="N117" i="126"/>
  <c r="J117" i="126"/>
  <c r="E117" i="126"/>
  <c r="N116" i="126"/>
  <c r="J116" i="126"/>
  <c r="E116" i="126"/>
  <c r="N115" i="126"/>
  <c r="J115" i="126"/>
  <c r="E115" i="126"/>
  <c r="N114" i="126"/>
  <c r="J114" i="126"/>
  <c r="E114" i="126"/>
  <c r="N113" i="126"/>
  <c r="J113" i="126"/>
  <c r="E113" i="126"/>
  <c r="N112" i="126"/>
  <c r="J112" i="126"/>
  <c r="E112" i="126"/>
  <c r="N111" i="126"/>
  <c r="J111" i="126"/>
  <c r="E111" i="126"/>
  <c r="N110" i="126"/>
  <c r="J110" i="126"/>
  <c r="E110" i="126"/>
  <c r="N109" i="126"/>
  <c r="J109" i="126"/>
  <c r="E109" i="126"/>
  <c r="N108" i="126"/>
  <c r="J108" i="126"/>
  <c r="E108" i="126"/>
  <c r="N107" i="126"/>
  <c r="J107" i="126"/>
  <c r="E107" i="126"/>
  <c r="N106" i="126"/>
  <c r="J106" i="126"/>
  <c r="E106" i="126"/>
  <c r="N105" i="126"/>
  <c r="J105" i="126"/>
  <c r="E105" i="126"/>
  <c r="N104" i="126"/>
  <c r="J104" i="126"/>
  <c r="E104" i="126"/>
  <c r="N103" i="126"/>
  <c r="J103" i="126"/>
  <c r="E103" i="126"/>
  <c r="N102" i="126"/>
  <c r="J102" i="126"/>
  <c r="E102" i="126"/>
  <c r="N101" i="126"/>
  <c r="J101" i="126"/>
  <c r="E101" i="126"/>
  <c r="N100" i="126"/>
  <c r="J100" i="126"/>
  <c r="E100" i="126"/>
  <c r="N99" i="126"/>
  <c r="J99" i="126"/>
  <c r="E99" i="126"/>
  <c r="N98" i="126"/>
  <c r="J98" i="126"/>
  <c r="E98" i="126"/>
  <c r="N97" i="126"/>
  <c r="J97" i="126"/>
  <c r="E97" i="126"/>
  <c r="N96" i="126"/>
  <c r="J96" i="126"/>
  <c r="E96" i="126"/>
  <c r="N95" i="126"/>
  <c r="J95" i="126"/>
  <c r="E95" i="126"/>
  <c r="N94" i="126"/>
  <c r="J94" i="126"/>
  <c r="E94" i="126"/>
  <c r="N93" i="126"/>
  <c r="J93" i="126"/>
  <c r="E93" i="126"/>
  <c r="N92" i="126"/>
  <c r="J92" i="126"/>
  <c r="E92" i="126"/>
  <c r="N91" i="126"/>
  <c r="J91" i="126"/>
  <c r="E91" i="126"/>
  <c r="N90" i="126"/>
  <c r="J90" i="126"/>
  <c r="E90" i="126"/>
  <c r="N89" i="126"/>
  <c r="J89" i="126"/>
  <c r="E89" i="126"/>
  <c r="N88" i="126"/>
  <c r="J88" i="126"/>
  <c r="E88" i="126"/>
  <c r="N87" i="126"/>
  <c r="J87" i="126"/>
  <c r="E87" i="126"/>
  <c r="N86" i="126"/>
  <c r="J86" i="126"/>
  <c r="E86" i="126"/>
  <c r="N85" i="126"/>
  <c r="J85" i="126"/>
  <c r="E85" i="126"/>
  <c r="N84" i="126"/>
  <c r="J84" i="126"/>
  <c r="E84" i="126"/>
  <c r="N83" i="126"/>
  <c r="J83" i="126"/>
  <c r="E83" i="126"/>
  <c r="N82" i="126"/>
  <c r="J82" i="126"/>
  <c r="E82" i="126"/>
  <c r="N81" i="126"/>
  <c r="J81" i="126"/>
  <c r="E81" i="126"/>
  <c r="N80" i="126"/>
  <c r="J80" i="126"/>
  <c r="D80" i="126" s="1"/>
  <c r="E80" i="126"/>
  <c r="N79" i="126"/>
  <c r="J79" i="126"/>
  <c r="E79" i="126"/>
  <c r="N78" i="126"/>
  <c r="J78" i="126"/>
  <c r="E78" i="126"/>
  <c r="N77" i="126"/>
  <c r="J77" i="126"/>
  <c r="E77" i="126"/>
  <c r="N76" i="126"/>
  <c r="J76" i="126"/>
  <c r="D76" i="126" s="1"/>
  <c r="E76" i="126"/>
  <c r="N75" i="126"/>
  <c r="J75" i="126"/>
  <c r="E75" i="126"/>
  <c r="N74" i="126"/>
  <c r="J74" i="126"/>
  <c r="E74" i="126"/>
  <c r="N73" i="126"/>
  <c r="J73" i="126"/>
  <c r="E73" i="126"/>
  <c r="N72" i="126"/>
  <c r="J72" i="126"/>
  <c r="D72" i="126" s="1"/>
  <c r="E72" i="126"/>
  <c r="N71" i="126"/>
  <c r="J71" i="126"/>
  <c r="E71" i="126"/>
  <c r="N70" i="126"/>
  <c r="J70" i="126"/>
  <c r="E70" i="126"/>
  <c r="N69" i="126"/>
  <c r="J69" i="126"/>
  <c r="E69" i="126"/>
  <c r="N68" i="126"/>
  <c r="J68" i="126"/>
  <c r="D68" i="126" s="1"/>
  <c r="E68" i="126"/>
  <c r="N67" i="126"/>
  <c r="J67" i="126"/>
  <c r="E67" i="126"/>
  <c r="N66" i="126"/>
  <c r="J66" i="126"/>
  <c r="E66" i="126"/>
  <c r="N65" i="126"/>
  <c r="J65" i="126"/>
  <c r="E65" i="126"/>
  <c r="N64" i="126"/>
  <c r="J64" i="126"/>
  <c r="D64" i="126" s="1"/>
  <c r="E64" i="126"/>
  <c r="N63" i="126"/>
  <c r="J63" i="126"/>
  <c r="E63" i="126"/>
  <c r="N62" i="126"/>
  <c r="J62" i="126"/>
  <c r="E62" i="126"/>
  <c r="N61" i="126"/>
  <c r="J61" i="126"/>
  <c r="E61" i="126"/>
  <c r="N60" i="126"/>
  <c r="J60" i="126"/>
  <c r="D60" i="126" s="1"/>
  <c r="E60" i="126"/>
  <c r="N59" i="126"/>
  <c r="J59" i="126"/>
  <c r="E59" i="126"/>
  <c r="N58" i="126"/>
  <c r="J58" i="126"/>
  <c r="E58" i="126"/>
  <c r="N57" i="126"/>
  <c r="J57" i="126"/>
  <c r="E57" i="126"/>
  <c r="N56" i="126"/>
  <c r="J56" i="126"/>
  <c r="D56" i="126" s="1"/>
  <c r="E56" i="126"/>
  <c r="N55" i="126"/>
  <c r="J55" i="126"/>
  <c r="E55" i="126"/>
  <c r="N54" i="126"/>
  <c r="J54" i="126"/>
  <c r="E54" i="126"/>
  <c r="N53" i="126"/>
  <c r="J53" i="126"/>
  <c r="E53" i="126"/>
  <c r="N52" i="126"/>
  <c r="J52" i="126"/>
  <c r="D52" i="126" s="1"/>
  <c r="E52" i="126"/>
  <c r="N51" i="126"/>
  <c r="J51" i="126"/>
  <c r="E51" i="126"/>
  <c r="N50" i="126"/>
  <c r="J50" i="126"/>
  <c r="E50" i="126"/>
  <c r="N49" i="126"/>
  <c r="J49" i="126"/>
  <c r="E49" i="126"/>
  <c r="N48" i="126"/>
  <c r="J48" i="126"/>
  <c r="D48" i="126" s="1"/>
  <c r="E48" i="126"/>
  <c r="N47" i="126"/>
  <c r="J47" i="126"/>
  <c r="E47" i="126"/>
  <c r="N46" i="126"/>
  <c r="J46" i="126"/>
  <c r="E46" i="126"/>
  <c r="N45" i="126"/>
  <c r="J45" i="126"/>
  <c r="E45" i="126"/>
  <c r="N44" i="126"/>
  <c r="J44" i="126"/>
  <c r="D44" i="126" s="1"/>
  <c r="E44" i="126"/>
  <c r="N43" i="126"/>
  <c r="J43" i="126"/>
  <c r="E43" i="126"/>
  <c r="N42" i="126"/>
  <c r="J42" i="126"/>
  <c r="E42" i="126"/>
  <c r="N41" i="126"/>
  <c r="J41" i="126"/>
  <c r="E41" i="126"/>
  <c r="N40" i="126"/>
  <c r="J40" i="126"/>
  <c r="D40" i="126" s="1"/>
  <c r="E40" i="126"/>
  <c r="N39" i="126"/>
  <c r="J39" i="126"/>
  <c r="E39" i="126"/>
  <c r="N38" i="126"/>
  <c r="J38" i="126"/>
  <c r="E38" i="126"/>
  <c r="N37" i="126"/>
  <c r="J37" i="126"/>
  <c r="E37" i="126"/>
  <c r="N36" i="126"/>
  <c r="J36" i="126"/>
  <c r="D36" i="126" s="1"/>
  <c r="E36" i="126"/>
  <c r="N35" i="126"/>
  <c r="J35" i="126"/>
  <c r="E35" i="126"/>
  <c r="N34" i="126"/>
  <c r="J34" i="126"/>
  <c r="E34" i="126"/>
  <c r="N33" i="126"/>
  <c r="J33" i="126"/>
  <c r="E33" i="126"/>
  <c r="N32" i="126"/>
  <c r="J32" i="126"/>
  <c r="D32" i="126" s="1"/>
  <c r="E32" i="126"/>
  <c r="N31" i="126"/>
  <c r="J31" i="126"/>
  <c r="E31" i="126"/>
  <c r="N30" i="126"/>
  <c r="J30" i="126"/>
  <c r="E30" i="126"/>
  <c r="N29" i="126"/>
  <c r="J29" i="126"/>
  <c r="E29" i="126"/>
  <c r="N28" i="126"/>
  <c r="J28" i="126"/>
  <c r="D28" i="126" s="1"/>
  <c r="E28" i="126"/>
  <c r="N27" i="126"/>
  <c r="J27" i="126"/>
  <c r="E27" i="126"/>
  <c r="N26" i="126"/>
  <c r="J26" i="126"/>
  <c r="E26" i="126"/>
  <c r="N25" i="126"/>
  <c r="J25" i="126"/>
  <c r="E25" i="126"/>
  <c r="N24" i="126"/>
  <c r="J24" i="126"/>
  <c r="E24" i="126"/>
  <c r="N23" i="126"/>
  <c r="J23" i="126"/>
  <c r="E23" i="126"/>
  <c r="N22" i="126"/>
  <c r="J22" i="126"/>
  <c r="E22" i="126"/>
  <c r="N21" i="126"/>
  <c r="J21" i="126"/>
  <c r="E21" i="126"/>
  <c r="N20" i="126"/>
  <c r="J20" i="126"/>
  <c r="E20" i="126"/>
  <c r="N19" i="126"/>
  <c r="J19" i="126"/>
  <c r="E19" i="126"/>
  <c r="N18" i="126"/>
  <c r="J18" i="126"/>
  <c r="E18" i="126"/>
  <c r="N17" i="126"/>
  <c r="J17" i="126"/>
  <c r="E17" i="126"/>
  <c r="N16" i="126"/>
  <c r="J16" i="126"/>
  <c r="E16" i="126"/>
  <c r="N15" i="126"/>
  <c r="J15" i="126"/>
  <c r="E15" i="126"/>
  <c r="N14" i="126"/>
  <c r="J14" i="126"/>
  <c r="E14" i="126"/>
  <c r="N13" i="126"/>
  <c r="J13" i="126"/>
  <c r="E13" i="126"/>
  <c r="N12" i="126"/>
  <c r="J12" i="126"/>
  <c r="E12" i="126"/>
  <c r="N11" i="126"/>
  <c r="J11" i="126"/>
  <c r="E11" i="126"/>
  <c r="N10" i="126"/>
  <c r="J10" i="126"/>
  <c r="E10" i="126"/>
  <c r="D11" i="126" l="1"/>
  <c r="D13" i="126"/>
  <c r="D15" i="126"/>
  <c r="D17" i="126"/>
  <c r="D30" i="130"/>
  <c r="D10" i="126"/>
  <c r="D12" i="126"/>
  <c r="D14" i="126"/>
  <c r="D16" i="126"/>
  <c r="D18" i="126"/>
  <c r="D150" i="125"/>
  <c r="D31" i="130"/>
  <c r="D32" i="130"/>
  <c r="F32" i="130"/>
  <c r="E32" i="130"/>
  <c r="D23" i="126"/>
  <c r="D19" i="126"/>
  <c r="D22" i="126"/>
  <c r="K166" i="125"/>
  <c r="L166" i="125"/>
  <c r="D47" i="125"/>
  <c r="N166" i="125"/>
  <c r="P166" i="125"/>
  <c r="D48" i="125"/>
  <c r="D49" i="125"/>
  <c r="V166" i="125"/>
  <c r="D35" i="126"/>
  <c r="D43" i="126"/>
  <c r="D51" i="126"/>
  <c r="D59" i="126"/>
  <c r="D67" i="126"/>
  <c r="D71" i="126"/>
  <c r="D79" i="126"/>
  <c r="N166" i="126"/>
  <c r="D87" i="126"/>
  <c r="D103" i="126"/>
  <c r="D111" i="126"/>
  <c r="D131" i="126"/>
  <c r="D135" i="126"/>
  <c r="D139" i="126"/>
  <c r="D147" i="126"/>
  <c r="D151" i="126"/>
  <c r="D155" i="126"/>
  <c r="D159" i="126"/>
  <c r="D163" i="126"/>
  <c r="D21" i="126"/>
  <c r="D26" i="126"/>
  <c r="D30" i="126"/>
  <c r="D34" i="126"/>
  <c r="D38" i="126"/>
  <c r="D42" i="126"/>
  <c r="D46" i="126"/>
  <c r="D50" i="126"/>
  <c r="D54" i="126"/>
  <c r="D58" i="126"/>
  <c r="D62" i="126"/>
  <c r="D66" i="126"/>
  <c r="D70" i="126"/>
  <c r="D74" i="126"/>
  <c r="D78" i="126"/>
  <c r="D82" i="126"/>
  <c r="D86" i="126"/>
  <c r="D90" i="126"/>
  <c r="D94" i="126"/>
  <c r="D98" i="126"/>
  <c r="D102" i="126"/>
  <c r="D106" i="126"/>
  <c r="D110" i="126"/>
  <c r="D114" i="126"/>
  <c r="D118" i="126"/>
  <c r="D122" i="126"/>
  <c r="D126" i="126"/>
  <c r="D130" i="126"/>
  <c r="D134" i="126"/>
  <c r="D138" i="126"/>
  <c r="D142" i="126"/>
  <c r="D146" i="126"/>
  <c r="D150" i="126"/>
  <c r="D154" i="126"/>
  <c r="D158" i="126"/>
  <c r="D162" i="126"/>
  <c r="J166" i="126"/>
  <c r="D27" i="126"/>
  <c r="D31" i="126"/>
  <c r="D39" i="126"/>
  <c r="D47" i="126"/>
  <c r="D55" i="126"/>
  <c r="D63" i="126"/>
  <c r="D75" i="126"/>
  <c r="D83" i="126"/>
  <c r="D91" i="126"/>
  <c r="D95" i="126"/>
  <c r="D99" i="126"/>
  <c r="D107" i="126"/>
  <c r="D115" i="126"/>
  <c r="D119" i="126"/>
  <c r="D123" i="126"/>
  <c r="D127" i="126"/>
  <c r="D143" i="126"/>
  <c r="D25" i="126"/>
  <c r="D29" i="126"/>
  <c r="D33" i="126"/>
  <c r="D37" i="126"/>
  <c r="D41" i="126"/>
  <c r="D45" i="126"/>
  <c r="D49" i="126"/>
  <c r="D53" i="126"/>
  <c r="D57" i="126"/>
  <c r="D61" i="126"/>
  <c r="D65" i="126"/>
  <c r="D69" i="126"/>
  <c r="D73" i="126"/>
  <c r="D77" i="126"/>
  <c r="D81" i="126"/>
  <c r="E166" i="126"/>
  <c r="D20" i="126"/>
  <c r="D24" i="126"/>
  <c r="D85" i="126"/>
  <c r="D89" i="126"/>
  <c r="D93" i="126"/>
  <c r="D97" i="126"/>
  <c r="D101" i="126"/>
  <c r="D105" i="126"/>
  <c r="D109" i="126"/>
  <c r="D113" i="126"/>
  <c r="D117" i="126"/>
  <c r="D121" i="126"/>
  <c r="D125" i="126"/>
  <c r="D129" i="126"/>
  <c r="D133" i="126"/>
  <c r="D137" i="126"/>
  <c r="D141" i="126"/>
  <c r="D145" i="126"/>
  <c r="D149" i="126"/>
  <c r="D153" i="126"/>
  <c r="D157" i="126"/>
  <c r="D161" i="126"/>
  <c r="D165" i="126"/>
  <c r="D84" i="126"/>
  <c r="D88" i="126"/>
  <c r="D92" i="126"/>
  <c r="D96" i="126"/>
  <c r="D100" i="126"/>
  <c r="D104" i="126"/>
  <c r="D108" i="126"/>
  <c r="D112" i="126"/>
  <c r="D116" i="126"/>
  <c r="D120" i="126"/>
  <c r="D124" i="126"/>
  <c r="D128" i="126"/>
  <c r="D132" i="126"/>
  <c r="D136" i="126"/>
  <c r="D140" i="126"/>
  <c r="D144" i="126"/>
  <c r="D148" i="126"/>
  <c r="D152" i="126"/>
  <c r="D156" i="126"/>
  <c r="D160" i="126"/>
  <c r="D164" i="126"/>
  <c r="D166" i="125" l="1"/>
  <c r="D166" i="126"/>
  <c r="R141" i="127" l="1"/>
  <c r="P141" i="127"/>
  <c r="O141" i="127"/>
  <c r="N141" i="127"/>
  <c r="M141" i="127"/>
  <c r="K141" i="127"/>
  <c r="J141" i="127"/>
  <c r="I141" i="127"/>
  <c r="H141" i="127"/>
  <c r="L139" i="127"/>
  <c r="G139" i="127"/>
  <c r="F139" i="127" s="1"/>
  <c r="L138" i="127"/>
  <c r="G138" i="127"/>
  <c r="F138" i="127" s="1"/>
  <c r="L137" i="127"/>
  <c r="G137" i="127"/>
  <c r="F137" i="127" s="1"/>
  <c r="L136" i="127"/>
  <c r="G136" i="127"/>
  <c r="F136" i="127" s="1"/>
  <c r="L135" i="127"/>
  <c r="G135" i="127"/>
  <c r="F135" i="127" s="1"/>
  <c r="L134" i="127"/>
  <c r="G134" i="127"/>
  <c r="F134" i="127" s="1"/>
  <c r="L133" i="127"/>
  <c r="G133" i="127"/>
  <c r="F133" i="127" s="1"/>
  <c r="L132" i="127"/>
  <c r="G132" i="127"/>
  <c r="F132" i="127" s="1"/>
  <c r="L131" i="127"/>
  <c r="G131" i="127"/>
  <c r="F131" i="127" s="1"/>
  <c r="L130" i="127"/>
  <c r="G130" i="127"/>
  <c r="F130" i="127" s="1"/>
  <c r="L129" i="127"/>
  <c r="G129" i="127"/>
  <c r="F129" i="127" s="1"/>
  <c r="L128" i="127"/>
  <c r="G128" i="127"/>
  <c r="F128" i="127" s="1"/>
  <c r="L127" i="127"/>
  <c r="G127" i="127"/>
  <c r="F127" i="127" s="1"/>
  <c r="L126" i="127"/>
  <c r="G126" i="127"/>
  <c r="F126" i="127" s="1"/>
  <c r="Q125" i="127"/>
  <c r="L125" i="127"/>
  <c r="G125" i="127"/>
  <c r="Q124" i="127"/>
  <c r="L124" i="127" s="1"/>
  <c r="F124" i="127" s="1"/>
  <c r="G124" i="127"/>
  <c r="L123" i="127"/>
  <c r="G123" i="127"/>
  <c r="F123" i="127"/>
  <c r="L122" i="127"/>
  <c r="G122" i="127"/>
  <c r="F122" i="127" s="1"/>
  <c r="L121" i="127"/>
  <c r="G121" i="127"/>
  <c r="F121" i="127"/>
  <c r="L120" i="127"/>
  <c r="G120" i="127"/>
  <c r="F120" i="127" s="1"/>
  <c r="L119" i="127"/>
  <c r="G119" i="127"/>
  <c r="F119" i="127"/>
  <c r="L118" i="127"/>
  <c r="G118" i="127"/>
  <c r="F118" i="127" s="1"/>
  <c r="L117" i="127"/>
  <c r="G117" i="127"/>
  <c r="F117" i="127"/>
  <c r="L116" i="127"/>
  <c r="G116" i="127"/>
  <c r="F116" i="127" s="1"/>
  <c r="L115" i="127"/>
  <c r="G115" i="127"/>
  <c r="F115" i="127"/>
  <c r="L114" i="127"/>
  <c r="G114" i="127"/>
  <c r="F114" i="127" s="1"/>
  <c r="L113" i="127"/>
  <c r="G113" i="127"/>
  <c r="F113" i="127"/>
  <c r="L112" i="127"/>
  <c r="G112" i="127"/>
  <c r="F112" i="127" s="1"/>
  <c r="L111" i="127"/>
  <c r="G111" i="127"/>
  <c r="F111" i="127"/>
  <c r="L110" i="127"/>
  <c r="G110" i="127"/>
  <c r="F110" i="127" s="1"/>
  <c r="L109" i="127"/>
  <c r="G109" i="127"/>
  <c r="F109" i="127"/>
  <c r="L108" i="127"/>
  <c r="G108" i="127"/>
  <c r="F108" i="127" s="1"/>
  <c r="L107" i="127"/>
  <c r="G107" i="127"/>
  <c r="F107" i="127"/>
  <c r="L106" i="127"/>
  <c r="G106" i="127"/>
  <c r="F106" i="127" s="1"/>
  <c r="L105" i="127"/>
  <c r="G105" i="127"/>
  <c r="F105" i="127"/>
  <c r="L104" i="127"/>
  <c r="G104" i="127"/>
  <c r="F104" i="127" s="1"/>
  <c r="L103" i="127"/>
  <c r="G103" i="127"/>
  <c r="F103" i="127"/>
  <c r="L102" i="127"/>
  <c r="G102" i="127"/>
  <c r="F102" i="127" s="1"/>
  <c r="L101" i="127"/>
  <c r="G101" i="127"/>
  <c r="F101" i="127"/>
  <c r="L100" i="127"/>
  <c r="G100" i="127"/>
  <c r="F100" i="127" s="1"/>
  <c r="L99" i="127"/>
  <c r="G99" i="127"/>
  <c r="F99" i="127"/>
  <c r="L98" i="127"/>
  <c r="G98" i="127"/>
  <c r="F98" i="127" s="1"/>
  <c r="L97" i="127"/>
  <c r="G97" i="127"/>
  <c r="F97" i="127"/>
  <c r="Q96" i="127"/>
  <c r="G96" i="127"/>
  <c r="L95" i="127"/>
  <c r="G95" i="127"/>
  <c r="F95" i="127" s="1"/>
  <c r="L94" i="127"/>
  <c r="G94" i="127"/>
  <c r="F94" i="127"/>
  <c r="L93" i="127"/>
  <c r="G93" i="127"/>
  <c r="F93" i="127" s="1"/>
  <c r="L92" i="127"/>
  <c r="G92" i="127"/>
  <c r="F92" i="127"/>
  <c r="L91" i="127"/>
  <c r="G91" i="127"/>
  <c r="F91" i="127" s="1"/>
  <c r="L90" i="127"/>
  <c r="G90" i="127"/>
  <c r="F90" i="127"/>
  <c r="L89" i="127"/>
  <c r="G89" i="127"/>
  <c r="F89" i="127" s="1"/>
  <c r="L88" i="127"/>
  <c r="G88" i="127"/>
  <c r="F88" i="127"/>
  <c r="L87" i="127"/>
  <c r="G87" i="127"/>
  <c r="F87" i="127" s="1"/>
  <c r="L86" i="127"/>
  <c r="G86" i="127"/>
  <c r="F86" i="127"/>
  <c r="L85" i="127"/>
  <c r="G85" i="127"/>
  <c r="F85" i="127" s="1"/>
  <c r="L84" i="127"/>
  <c r="G84" i="127"/>
  <c r="F84" i="127"/>
  <c r="L83" i="127"/>
  <c r="G83" i="127"/>
  <c r="F83" i="127" s="1"/>
  <c r="L82" i="127"/>
  <c r="G82" i="127"/>
  <c r="F82" i="127"/>
  <c r="L81" i="127"/>
  <c r="G81" i="127"/>
  <c r="F81" i="127" s="1"/>
  <c r="L80" i="127"/>
  <c r="G80" i="127"/>
  <c r="F80" i="127"/>
  <c r="L79" i="127"/>
  <c r="G79" i="127"/>
  <c r="F79" i="127" s="1"/>
  <c r="L78" i="127"/>
  <c r="G78" i="127"/>
  <c r="F78" i="127"/>
  <c r="L77" i="127"/>
  <c r="G77" i="127"/>
  <c r="F77" i="127" s="1"/>
  <c r="L76" i="127"/>
  <c r="G76" i="127"/>
  <c r="F76" i="127"/>
  <c r="L75" i="127"/>
  <c r="G75" i="127"/>
  <c r="F75" i="127" s="1"/>
  <c r="L74" i="127"/>
  <c r="G74" i="127"/>
  <c r="F74" i="127"/>
  <c r="L73" i="127"/>
  <c r="G73" i="127"/>
  <c r="F73" i="127" s="1"/>
  <c r="L72" i="127"/>
  <c r="G72" i="127"/>
  <c r="F72" i="127"/>
  <c r="L71" i="127"/>
  <c r="G71" i="127"/>
  <c r="F71" i="127" s="1"/>
  <c r="L70" i="127"/>
  <c r="G70" i="127"/>
  <c r="F70" i="127"/>
  <c r="L69" i="127"/>
  <c r="G69" i="127"/>
  <c r="F69" i="127" s="1"/>
  <c r="L68" i="127"/>
  <c r="G68" i="127"/>
  <c r="F68" i="127"/>
  <c r="L67" i="127"/>
  <c r="G67" i="127"/>
  <c r="F67" i="127" s="1"/>
  <c r="L66" i="127"/>
  <c r="G66" i="127"/>
  <c r="F66" i="127"/>
  <c r="L65" i="127"/>
  <c r="G65" i="127"/>
  <c r="F65" i="127" s="1"/>
  <c r="L64" i="127"/>
  <c r="G64" i="127"/>
  <c r="F64" i="127"/>
  <c r="L63" i="127"/>
  <c r="G63" i="127"/>
  <c r="F63" i="127" s="1"/>
  <c r="L62" i="127"/>
  <c r="G62" i="127"/>
  <c r="F62" i="127"/>
  <c r="L61" i="127"/>
  <c r="G61" i="127"/>
  <c r="F61" i="127" s="1"/>
  <c r="L60" i="127"/>
  <c r="G60" i="127"/>
  <c r="F60" i="127"/>
  <c r="L59" i="127"/>
  <c r="G59" i="127"/>
  <c r="F59" i="127" s="1"/>
  <c r="L58" i="127"/>
  <c r="G58" i="127"/>
  <c r="F58" i="127"/>
  <c r="L57" i="127"/>
  <c r="G57" i="127"/>
  <c r="F57" i="127" s="1"/>
  <c r="L56" i="127"/>
  <c r="G56" i="127"/>
  <c r="F56" i="127"/>
  <c r="L55" i="127"/>
  <c r="G55" i="127"/>
  <c r="F55" i="127" s="1"/>
  <c r="L54" i="127"/>
  <c r="G54" i="127"/>
  <c r="F54" i="127"/>
  <c r="L53" i="127"/>
  <c r="G53" i="127"/>
  <c r="F53" i="127" s="1"/>
  <c r="L52" i="127"/>
  <c r="G52" i="127"/>
  <c r="F52" i="127"/>
  <c r="L51" i="127"/>
  <c r="G51" i="127"/>
  <c r="F51" i="127" s="1"/>
  <c r="L50" i="127"/>
  <c r="G50" i="127"/>
  <c r="F50" i="127"/>
  <c r="L49" i="127"/>
  <c r="G49" i="127"/>
  <c r="F49" i="127" s="1"/>
  <c r="L48" i="127"/>
  <c r="G48" i="127"/>
  <c r="F48" i="127"/>
  <c r="L47" i="127"/>
  <c r="G47" i="127"/>
  <c r="F47" i="127" s="1"/>
  <c r="L46" i="127"/>
  <c r="G46" i="127"/>
  <c r="F46" i="127"/>
  <c r="L45" i="127"/>
  <c r="G45" i="127"/>
  <c r="F45" i="127" s="1"/>
  <c r="L44" i="127"/>
  <c r="G44" i="127"/>
  <c r="F44" i="127"/>
  <c r="L43" i="127"/>
  <c r="G43" i="127"/>
  <c r="F43" i="127" s="1"/>
  <c r="L42" i="127"/>
  <c r="G42" i="127"/>
  <c r="F42" i="127"/>
  <c r="L41" i="127"/>
  <c r="G41" i="127"/>
  <c r="F41" i="127" s="1"/>
  <c r="L40" i="127"/>
  <c r="G40" i="127"/>
  <c r="F40" i="127"/>
  <c r="L39" i="127"/>
  <c r="G39" i="127"/>
  <c r="F39" i="127" s="1"/>
  <c r="L38" i="127"/>
  <c r="G38" i="127"/>
  <c r="F38" i="127"/>
  <c r="L37" i="127"/>
  <c r="G37" i="127"/>
  <c r="F37" i="127" s="1"/>
  <c r="L36" i="127"/>
  <c r="G36" i="127"/>
  <c r="F36" i="127"/>
  <c r="L35" i="127"/>
  <c r="G35" i="127"/>
  <c r="F35" i="127" s="1"/>
  <c r="L34" i="127"/>
  <c r="G34" i="127"/>
  <c r="F34" i="127"/>
  <c r="L33" i="127"/>
  <c r="G33" i="127"/>
  <c r="F33" i="127" s="1"/>
  <c r="L32" i="127"/>
  <c r="G32" i="127"/>
  <c r="F32" i="127"/>
  <c r="L31" i="127"/>
  <c r="G31" i="127"/>
  <c r="F31" i="127" s="1"/>
  <c r="L30" i="127"/>
  <c r="G30" i="127"/>
  <c r="F30" i="127"/>
  <c r="L29" i="127"/>
  <c r="G29" i="127"/>
  <c r="F29" i="127" s="1"/>
  <c r="L28" i="127"/>
  <c r="G28" i="127"/>
  <c r="F28" i="127"/>
  <c r="L27" i="127"/>
  <c r="G27" i="127"/>
  <c r="F27" i="127" s="1"/>
  <c r="L26" i="127"/>
  <c r="G26" i="127"/>
  <c r="F26" i="127"/>
  <c r="L25" i="127"/>
  <c r="G25" i="127"/>
  <c r="F25" i="127" s="1"/>
  <c r="L24" i="127"/>
  <c r="G24" i="127"/>
  <c r="F24" i="127"/>
  <c r="L23" i="127"/>
  <c r="G23" i="127"/>
  <c r="F23" i="127" s="1"/>
  <c r="L22" i="127"/>
  <c r="G22" i="127"/>
  <c r="F22" i="127"/>
  <c r="L21" i="127"/>
  <c r="G21" i="127"/>
  <c r="F21" i="127" s="1"/>
  <c r="L20" i="127"/>
  <c r="G20" i="127"/>
  <c r="F20" i="127"/>
  <c r="L19" i="127"/>
  <c r="G19" i="127"/>
  <c r="F19" i="127" s="1"/>
  <c r="L18" i="127"/>
  <c r="G18" i="127"/>
  <c r="F18" i="127"/>
  <c r="L17" i="127"/>
  <c r="G17" i="127"/>
  <c r="F17" i="127" s="1"/>
  <c r="L16" i="127"/>
  <c r="G16" i="127"/>
  <c r="F16" i="127"/>
  <c r="L15" i="127"/>
  <c r="G15" i="127"/>
  <c r="F15" i="127" s="1"/>
  <c r="L14" i="127"/>
  <c r="G14" i="127"/>
  <c r="F14" i="127"/>
  <c r="L13" i="127"/>
  <c r="G13" i="127"/>
  <c r="F13" i="127" s="1"/>
  <c r="L12" i="127"/>
  <c r="G12" i="127"/>
  <c r="F12" i="127"/>
  <c r="L11" i="127"/>
  <c r="G11" i="127"/>
  <c r="F11" i="127" s="1"/>
  <c r="L10" i="127"/>
  <c r="G10" i="127"/>
  <c r="F10" i="127"/>
  <c r="G141" i="127" l="1"/>
  <c r="Q141" i="127"/>
  <c r="F125" i="127"/>
  <c r="L141" i="127"/>
  <c r="L96" i="127"/>
  <c r="F96" i="127" s="1"/>
  <c r="F141" i="127" s="1"/>
  <c r="D171" i="128" l="1"/>
  <c r="H172" i="128"/>
  <c r="F172" i="128"/>
  <c r="E172" i="128"/>
  <c r="J171" i="128"/>
  <c r="J170" i="128"/>
  <c r="D170" i="128"/>
  <c r="J169" i="128"/>
  <c r="D169" i="128" s="1"/>
  <c r="J168" i="128"/>
  <c r="D168" i="128" s="1"/>
  <c r="J167" i="128"/>
  <c r="D167" i="128" s="1"/>
  <c r="K166" i="128"/>
  <c r="J166" i="128"/>
  <c r="I166" i="128"/>
  <c r="J165" i="128"/>
  <c r="D165" i="128" s="1"/>
  <c r="J164" i="128"/>
  <c r="D164" i="128" s="1"/>
  <c r="J163" i="128"/>
  <c r="D163" i="128" s="1"/>
  <c r="J162" i="128"/>
  <c r="I162" i="128"/>
  <c r="D162" i="128"/>
  <c r="J161" i="128"/>
  <c r="D161" i="128" s="1"/>
  <c r="J160" i="128"/>
  <c r="D160" i="128" s="1"/>
  <c r="J159" i="128"/>
  <c r="D159" i="128" s="1"/>
  <c r="J158" i="128"/>
  <c r="D158" i="128" s="1"/>
  <c r="J157" i="128"/>
  <c r="D157" i="128" s="1"/>
  <c r="J156" i="128"/>
  <c r="D156" i="128"/>
  <c r="J155" i="128"/>
  <c r="D155" i="128" s="1"/>
  <c r="J154" i="128"/>
  <c r="D154" i="128" s="1"/>
  <c r="J153" i="128"/>
  <c r="D153" i="128" s="1"/>
  <c r="J152" i="128"/>
  <c r="D152" i="128"/>
  <c r="J151" i="128"/>
  <c r="D151" i="128" s="1"/>
  <c r="J150" i="128"/>
  <c r="D150" i="128" s="1"/>
  <c r="J149" i="128"/>
  <c r="D149" i="128" s="1"/>
  <c r="J148" i="128"/>
  <c r="D148" i="128" s="1"/>
  <c r="J147" i="128"/>
  <c r="D147" i="128" s="1"/>
  <c r="J146" i="128"/>
  <c r="D146" i="128"/>
  <c r="J145" i="128"/>
  <c r="D145" i="128" s="1"/>
  <c r="J144" i="128"/>
  <c r="D144" i="128" s="1"/>
  <c r="J143" i="128"/>
  <c r="D143" i="128" s="1"/>
  <c r="J142" i="128"/>
  <c r="D142" i="128" s="1"/>
  <c r="J141" i="128"/>
  <c r="D141" i="128" s="1"/>
  <c r="J140" i="128"/>
  <c r="D140" i="128"/>
  <c r="J139" i="128"/>
  <c r="D139" i="128" s="1"/>
  <c r="J138" i="128"/>
  <c r="D138" i="128" s="1"/>
  <c r="J137" i="128"/>
  <c r="D137" i="128" s="1"/>
  <c r="J136" i="128"/>
  <c r="D136" i="128"/>
  <c r="J135" i="128"/>
  <c r="D135" i="128" s="1"/>
  <c r="J134" i="128"/>
  <c r="D134" i="128" s="1"/>
  <c r="J133" i="128"/>
  <c r="D133" i="128" s="1"/>
  <c r="J132" i="128"/>
  <c r="D132" i="128" s="1"/>
  <c r="J131" i="128"/>
  <c r="D131" i="128" s="1"/>
  <c r="J130" i="128"/>
  <c r="D130" i="128"/>
  <c r="J129" i="128"/>
  <c r="D129" i="128" s="1"/>
  <c r="K128" i="128"/>
  <c r="J128" i="128" s="1"/>
  <c r="D128" i="128" s="1"/>
  <c r="J127" i="128"/>
  <c r="D127" i="128" s="1"/>
  <c r="J126" i="128"/>
  <c r="D126" i="128" s="1"/>
  <c r="J125" i="128"/>
  <c r="D125" i="128" s="1"/>
  <c r="J124" i="128"/>
  <c r="D124" i="128" s="1"/>
  <c r="J123" i="128"/>
  <c r="D123" i="128" s="1"/>
  <c r="J122" i="128"/>
  <c r="D122" i="128"/>
  <c r="J121" i="128"/>
  <c r="D121" i="128" s="1"/>
  <c r="L120" i="128"/>
  <c r="L172" i="128" s="1"/>
  <c r="K120" i="128"/>
  <c r="J119" i="128"/>
  <c r="D119" i="128" s="1"/>
  <c r="J118" i="128"/>
  <c r="D118" i="128" s="1"/>
  <c r="J117" i="128"/>
  <c r="D117" i="128" s="1"/>
  <c r="J116" i="128"/>
  <c r="D116" i="128" s="1"/>
  <c r="J115" i="128"/>
  <c r="D115" i="128"/>
  <c r="J114" i="128"/>
  <c r="D114" i="128" s="1"/>
  <c r="J113" i="128"/>
  <c r="D113" i="128" s="1"/>
  <c r="J112" i="128"/>
  <c r="D112" i="128" s="1"/>
  <c r="J111" i="128"/>
  <c r="D111" i="128" s="1"/>
  <c r="J110" i="128"/>
  <c r="D110" i="128" s="1"/>
  <c r="J109" i="128"/>
  <c r="D109" i="128"/>
  <c r="J108" i="128"/>
  <c r="D108" i="128" s="1"/>
  <c r="J107" i="128"/>
  <c r="D107" i="128" s="1"/>
  <c r="J106" i="128"/>
  <c r="D106" i="128" s="1"/>
  <c r="J105" i="128"/>
  <c r="D105" i="128"/>
  <c r="J104" i="128"/>
  <c r="D104" i="128" s="1"/>
  <c r="J103" i="128"/>
  <c r="D103" i="128" s="1"/>
  <c r="J102" i="128"/>
  <c r="D102" i="128" s="1"/>
  <c r="J101" i="128"/>
  <c r="D101" i="128" s="1"/>
  <c r="J100" i="128"/>
  <c r="D100" i="128" s="1"/>
  <c r="J99" i="128"/>
  <c r="D99" i="128"/>
  <c r="J98" i="128"/>
  <c r="D98" i="128" s="1"/>
  <c r="J97" i="128"/>
  <c r="D97" i="128" s="1"/>
  <c r="J96" i="128"/>
  <c r="D96" i="128" s="1"/>
  <c r="J95" i="128"/>
  <c r="D95" i="128" s="1"/>
  <c r="J94" i="128"/>
  <c r="D94" i="128" s="1"/>
  <c r="J93" i="128"/>
  <c r="G93" i="128"/>
  <c r="D93" i="128" s="1"/>
  <c r="J92" i="128"/>
  <c r="G92" i="128"/>
  <c r="D92" i="128" s="1"/>
  <c r="J91" i="128"/>
  <c r="D91" i="128" s="1"/>
  <c r="J90" i="128"/>
  <c r="I90" i="128"/>
  <c r="D90" i="128" s="1"/>
  <c r="J89" i="128"/>
  <c r="I89" i="128"/>
  <c r="I172" i="128" s="1"/>
  <c r="J88" i="128"/>
  <c r="D88" i="128" s="1"/>
  <c r="J87" i="128"/>
  <c r="D87" i="128" s="1"/>
  <c r="J86" i="128"/>
  <c r="D86" i="128" s="1"/>
  <c r="J85" i="128"/>
  <c r="D85" i="128"/>
  <c r="J84" i="128"/>
  <c r="D84" i="128" s="1"/>
  <c r="J83" i="128"/>
  <c r="D83" i="128" s="1"/>
  <c r="J82" i="128"/>
  <c r="D82" i="128" s="1"/>
  <c r="J81" i="128"/>
  <c r="D81" i="128" s="1"/>
  <c r="J80" i="128"/>
  <c r="D80" i="128" s="1"/>
  <c r="J79" i="128"/>
  <c r="D79" i="128"/>
  <c r="J78" i="128"/>
  <c r="D78" i="128" s="1"/>
  <c r="J77" i="128"/>
  <c r="D77" i="128" s="1"/>
  <c r="J76" i="128"/>
  <c r="D76" i="128" s="1"/>
  <c r="J75" i="128"/>
  <c r="D75" i="128"/>
  <c r="J74" i="128"/>
  <c r="D74" i="128" s="1"/>
  <c r="J73" i="128"/>
  <c r="D73" i="128" s="1"/>
  <c r="J72" i="128"/>
  <c r="D72" i="128" s="1"/>
  <c r="J71" i="128"/>
  <c r="D71" i="128" s="1"/>
  <c r="J70" i="128"/>
  <c r="D70" i="128" s="1"/>
  <c r="J69" i="128"/>
  <c r="D69" i="128"/>
  <c r="K68" i="128"/>
  <c r="J68" i="128" s="1"/>
  <c r="D68" i="128" s="1"/>
  <c r="J67" i="128"/>
  <c r="D67" i="128" s="1"/>
  <c r="J66" i="128"/>
  <c r="D66" i="128"/>
  <c r="J65" i="128"/>
  <c r="D65" i="128" s="1"/>
  <c r="J64" i="128"/>
  <c r="D64" i="128" s="1"/>
  <c r="J63" i="128"/>
  <c r="D63" i="128" s="1"/>
  <c r="J62" i="128"/>
  <c r="D62" i="128" s="1"/>
  <c r="J61" i="128"/>
  <c r="D61" i="128" s="1"/>
  <c r="J60" i="128"/>
  <c r="D60" i="128"/>
  <c r="J59" i="128"/>
  <c r="D59" i="128" s="1"/>
  <c r="K58" i="128"/>
  <c r="J58" i="128" s="1"/>
  <c r="D58" i="128" s="1"/>
  <c r="J57" i="128"/>
  <c r="D57" i="128" s="1"/>
  <c r="J56" i="128"/>
  <c r="G56" i="128"/>
  <c r="J55" i="128"/>
  <c r="D55" i="128" s="1"/>
  <c r="J54" i="128"/>
  <c r="G54" i="128"/>
  <c r="J53" i="128"/>
  <c r="D53" i="128" s="1"/>
  <c r="K52" i="128"/>
  <c r="J52" i="128" s="1"/>
  <c r="D52" i="128" s="1"/>
  <c r="J51" i="128"/>
  <c r="D51" i="128" s="1"/>
  <c r="J50" i="128"/>
  <c r="D50" i="128" s="1"/>
  <c r="J49" i="128"/>
  <c r="D49" i="128" s="1"/>
  <c r="J48" i="128"/>
  <c r="D48" i="128" s="1"/>
  <c r="J47" i="128"/>
  <c r="D47" i="128" s="1"/>
  <c r="J46" i="128"/>
  <c r="D46" i="128"/>
  <c r="K45" i="128"/>
  <c r="J45" i="128" s="1"/>
  <c r="D45" i="128" s="1"/>
  <c r="J44" i="128"/>
  <c r="D44" i="128" s="1"/>
  <c r="J43" i="128"/>
  <c r="D43" i="128" s="1"/>
  <c r="J42" i="128"/>
  <c r="D42" i="128" s="1"/>
  <c r="J41" i="128"/>
  <c r="D41" i="128" s="1"/>
  <c r="J40" i="128"/>
  <c r="D40" i="128"/>
  <c r="J39" i="128"/>
  <c r="D39" i="128" s="1"/>
  <c r="J38" i="128"/>
  <c r="D38" i="128" s="1"/>
  <c r="J37" i="128"/>
  <c r="D37" i="128" s="1"/>
  <c r="J36" i="128"/>
  <c r="D36" i="128"/>
  <c r="J35" i="128"/>
  <c r="D35" i="128" s="1"/>
  <c r="J34" i="128"/>
  <c r="D34" i="128" s="1"/>
  <c r="J33" i="128"/>
  <c r="D33" i="128" s="1"/>
  <c r="J32" i="128"/>
  <c r="D32" i="128" s="1"/>
  <c r="J31" i="128"/>
  <c r="D31" i="128" s="1"/>
  <c r="J30" i="128"/>
  <c r="D30" i="128"/>
  <c r="J29" i="128"/>
  <c r="D29" i="128" s="1"/>
  <c r="J28" i="128"/>
  <c r="D28" i="128" s="1"/>
  <c r="J27" i="128"/>
  <c r="D27" i="128" s="1"/>
  <c r="J26" i="128"/>
  <c r="D26" i="128" s="1"/>
  <c r="J25" i="128"/>
  <c r="D25" i="128" s="1"/>
  <c r="J24" i="128"/>
  <c r="D24" i="128"/>
  <c r="J23" i="128"/>
  <c r="D23" i="128" s="1"/>
  <c r="J22" i="128"/>
  <c r="D22" i="128" s="1"/>
  <c r="J21" i="128"/>
  <c r="D21" i="128" s="1"/>
  <c r="J20" i="128"/>
  <c r="D20" i="128"/>
  <c r="J19" i="128"/>
  <c r="D19" i="128" s="1"/>
  <c r="J18" i="128"/>
  <c r="D18" i="128" s="1"/>
  <c r="J17" i="128"/>
  <c r="D17" i="128" s="1"/>
  <c r="J16" i="128"/>
  <c r="D16" i="128" s="1"/>
  <c r="J15" i="128"/>
  <c r="D15" i="128" s="1"/>
  <c r="J14" i="128"/>
  <c r="D14" i="128"/>
  <c r="K13" i="128"/>
  <c r="J13" i="128" s="1"/>
  <c r="D13" i="128" s="1"/>
  <c r="K12" i="128"/>
  <c r="J11" i="128"/>
  <c r="D11" i="128"/>
  <c r="J10" i="128"/>
  <c r="D10" i="128" s="1"/>
  <c r="J9" i="128"/>
  <c r="D9" i="128" s="1"/>
  <c r="J8" i="128"/>
  <c r="D56" i="128" l="1"/>
  <c r="J120" i="128"/>
  <c r="D120" i="128" s="1"/>
  <c r="D166" i="128"/>
  <c r="G172" i="128"/>
  <c r="K172" i="128"/>
  <c r="D89" i="128"/>
  <c r="J172" i="128"/>
  <c r="D8" i="128"/>
  <c r="D54" i="128"/>
  <c r="J12" i="128"/>
  <c r="D12" i="128" s="1"/>
  <c r="D172" i="128" l="1"/>
  <c r="W105" i="124" l="1"/>
  <c r="V105" i="124"/>
  <c r="T105" i="124"/>
  <c r="S105" i="124"/>
  <c r="R105" i="124"/>
  <c r="O105" i="124"/>
  <c r="N105" i="124"/>
  <c r="M105" i="124"/>
  <c r="L105" i="124"/>
  <c r="P104" i="124"/>
  <c r="J104" i="124"/>
  <c r="K104" i="124" s="1"/>
  <c r="U105" i="124"/>
  <c r="Q105" i="124"/>
  <c r="P103" i="124"/>
  <c r="J103" i="124"/>
  <c r="K103" i="124" s="1"/>
  <c r="P102" i="124"/>
  <c r="J102" i="124"/>
  <c r="K102" i="124" s="1"/>
  <c r="P101" i="124"/>
  <c r="J101" i="124"/>
  <c r="K101" i="124" s="1"/>
  <c r="P100" i="124"/>
  <c r="J100" i="124"/>
  <c r="K100" i="124" s="1"/>
  <c r="P99" i="124"/>
  <c r="J99" i="124"/>
  <c r="K99" i="124" s="1"/>
  <c r="P98" i="124"/>
  <c r="J98" i="124"/>
  <c r="K98" i="124" s="1"/>
  <c r="P97" i="124"/>
  <c r="J97" i="124"/>
  <c r="K97" i="124" s="1"/>
  <c r="P96" i="124"/>
  <c r="J96" i="124"/>
  <c r="K96" i="124" s="1"/>
  <c r="P95" i="124"/>
  <c r="J95" i="124"/>
  <c r="K95" i="124" s="1"/>
  <c r="P94" i="124"/>
  <c r="J94" i="124"/>
  <c r="K94" i="124" s="1"/>
  <c r="P93" i="124"/>
  <c r="J93" i="124"/>
  <c r="K93" i="124" s="1"/>
  <c r="P92" i="124"/>
  <c r="J92" i="124"/>
  <c r="K92" i="124" s="1"/>
  <c r="P91" i="124"/>
  <c r="J91" i="124"/>
  <c r="K91" i="124" s="1"/>
  <c r="P90" i="124"/>
  <c r="J90" i="124"/>
  <c r="K90" i="124" s="1"/>
  <c r="P89" i="124"/>
  <c r="J89" i="124"/>
  <c r="K89" i="124" s="1"/>
  <c r="P88" i="124"/>
  <c r="J88" i="124"/>
  <c r="K88" i="124" s="1"/>
  <c r="P87" i="124"/>
  <c r="J87" i="124"/>
  <c r="K87" i="124" s="1"/>
  <c r="P86" i="124"/>
  <c r="J86" i="124"/>
  <c r="K86" i="124" s="1"/>
  <c r="P85" i="124"/>
  <c r="J85" i="124"/>
  <c r="K85" i="124" s="1"/>
  <c r="P84" i="124"/>
  <c r="J84" i="124"/>
  <c r="K84" i="124" s="1"/>
  <c r="P83" i="124"/>
  <c r="J83" i="124"/>
  <c r="K83" i="124" s="1"/>
  <c r="P82" i="124"/>
  <c r="J82" i="124"/>
  <c r="K82" i="124" s="1"/>
  <c r="P81" i="124"/>
  <c r="J81" i="124"/>
  <c r="K81" i="124" s="1"/>
  <c r="P80" i="124"/>
  <c r="J80" i="124"/>
  <c r="K80" i="124" s="1"/>
  <c r="P79" i="124"/>
  <c r="J79" i="124"/>
  <c r="K79" i="124" s="1"/>
  <c r="P78" i="124"/>
  <c r="J78" i="124"/>
  <c r="K78" i="124" s="1"/>
  <c r="P77" i="124"/>
  <c r="J77" i="124"/>
  <c r="K77" i="124" s="1"/>
  <c r="P76" i="124"/>
  <c r="J76" i="124"/>
  <c r="K76" i="124" s="1"/>
  <c r="P75" i="124"/>
  <c r="J75" i="124"/>
  <c r="K75" i="124" s="1"/>
  <c r="P74" i="124"/>
  <c r="J74" i="124"/>
  <c r="K74" i="124" s="1"/>
  <c r="P73" i="124"/>
  <c r="J73" i="124"/>
  <c r="K73" i="124" s="1"/>
  <c r="P72" i="124"/>
  <c r="J72" i="124"/>
  <c r="K72" i="124" s="1"/>
  <c r="P71" i="124"/>
  <c r="J71" i="124"/>
  <c r="K71" i="124" s="1"/>
  <c r="P70" i="124"/>
  <c r="J70" i="124"/>
  <c r="K70" i="124" s="1"/>
  <c r="P69" i="124"/>
  <c r="J69" i="124"/>
  <c r="P68" i="124"/>
  <c r="J68" i="124"/>
  <c r="K68" i="124" s="1"/>
  <c r="P67" i="124"/>
  <c r="J67" i="124"/>
  <c r="K67" i="124" s="1"/>
  <c r="P66" i="124"/>
  <c r="J66" i="124"/>
  <c r="K66" i="124" s="1"/>
  <c r="P65" i="124"/>
  <c r="J65" i="124"/>
  <c r="K65" i="124"/>
  <c r="P64" i="124"/>
  <c r="J64" i="124"/>
  <c r="K64" i="124" s="1"/>
  <c r="P63" i="124"/>
  <c r="J63" i="124"/>
  <c r="K63" i="124" s="1"/>
  <c r="P62" i="124"/>
  <c r="J62" i="124"/>
  <c r="K62" i="124" s="1"/>
  <c r="P61" i="124"/>
  <c r="J61" i="124"/>
  <c r="K61" i="124" s="1"/>
  <c r="P60" i="124"/>
  <c r="J60" i="124"/>
  <c r="K60" i="124" s="1"/>
  <c r="P59" i="124"/>
  <c r="J59" i="124"/>
  <c r="K59" i="124" s="1"/>
  <c r="P58" i="124"/>
  <c r="J58" i="124"/>
  <c r="K58" i="124" s="1"/>
  <c r="P57" i="124"/>
  <c r="J57" i="124"/>
  <c r="K57" i="124" s="1"/>
  <c r="P56" i="124"/>
  <c r="J56" i="124"/>
  <c r="K56" i="124" s="1"/>
  <c r="P55" i="124"/>
  <c r="J55" i="124"/>
  <c r="K55" i="124" s="1"/>
  <c r="P54" i="124"/>
  <c r="J54" i="124"/>
  <c r="K54" i="124" s="1"/>
  <c r="P53" i="124"/>
  <c r="J53" i="124"/>
  <c r="K53" i="124" s="1"/>
  <c r="P52" i="124"/>
  <c r="J52" i="124"/>
  <c r="K52" i="124" s="1"/>
  <c r="P51" i="124"/>
  <c r="J51" i="124"/>
  <c r="K51" i="124" s="1"/>
  <c r="P50" i="124"/>
  <c r="J50" i="124"/>
  <c r="K50" i="124" s="1"/>
  <c r="P49" i="124"/>
  <c r="J49" i="124"/>
  <c r="K49" i="124"/>
  <c r="P48" i="124"/>
  <c r="J48" i="124"/>
  <c r="K48" i="124" s="1"/>
  <c r="P47" i="124"/>
  <c r="J47" i="124"/>
  <c r="K47" i="124" s="1"/>
  <c r="P46" i="124"/>
  <c r="J46" i="124"/>
  <c r="K46" i="124" s="1"/>
  <c r="P45" i="124"/>
  <c r="J45" i="124"/>
  <c r="K45" i="124" s="1"/>
  <c r="P44" i="124"/>
  <c r="J44" i="124"/>
  <c r="K44" i="124" s="1"/>
  <c r="P43" i="124"/>
  <c r="J43" i="124"/>
  <c r="K43" i="124" s="1"/>
  <c r="P42" i="124"/>
  <c r="J42" i="124"/>
  <c r="K42" i="124" s="1"/>
  <c r="P41" i="124"/>
  <c r="J41" i="124"/>
  <c r="K41" i="124" s="1"/>
  <c r="P40" i="124"/>
  <c r="J40" i="124"/>
  <c r="K40" i="124" s="1"/>
  <c r="P39" i="124"/>
  <c r="J39" i="124"/>
  <c r="K39" i="124" s="1"/>
  <c r="P38" i="124"/>
  <c r="J38" i="124"/>
  <c r="K38" i="124" s="1"/>
  <c r="P37" i="124"/>
  <c r="J37" i="124"/>
  <c r="K37" i="124" s="1"/>
  <c r="P36" i="124"/>
  <c r="J36" i="124"/>
  <c r="K36" i="124" s="1"/>
  <c r="P35" i="124"/>
  <c r="J35" i="124"/>
  <c r="K35" i="124" s="1"/>
  <c r="P34" i="124"/>
  <c r="J34" i="124"/>
  <c r="K34" i="124" s="1"/>
  <c r="P33" i="124"/>
  <c r="J33" i="124"/>
  <c r="K33" i="124" s="1"/>
  <c r="P32" i="124"/>
  <c r="J32" i="124"/>
  <c r="K32" i="124" s="1"/>
  <c r="J31" i="124"/>
  <c r="K31" i="124" s="1"/>
  <c r="P30" i="124"/>
  <c r="J30" i="124"/>
  <c r="K30" i="124" s="1"/>
  <c r="P29" i="124"/>
  <c r="J29" i="124"/>
  <c r="P28" i="124"/>
  <c r="J28" i="124"/>
  <c r="K28" i="124" s="1"/>
  <c r="P27" i="124"/>
  <c r="J27" i="124"/>
  <c r="K27" i="124" s="1"/>
  <c r="P26" i="124"/>
  <c r="J26" i="124"/>
  <c r="K26" i="124" s="1"/>
  <c r="P25" i="124"/>
  <c r="J25" i="124"/>
  <c r="K25" i="124" s="1"/>
  <c r="P24" i="124"/>
  <c r="J24" i="124"/>
  <c r="K24" i="124" s="1"/>
  <c r="P23" i="124"/>
  <c r="J23" i="124"/>
  <c r="K23" i="124" s="1"/>
  <c r="P22" i="124"/>
  <c r="J22" i="124"/>
  <c r="K22" i="124" s="1"/>
  <c r="P21" i="124"/>
  <c r="J21" i="124"/>
  <c r="K21" i="124"/>
  <c r="P20" i="124"/>
  <c r="J20" i="124"/>
  <c r="K20" i="124" s="1"/>
  <c r="P19" i="124"/>
  <c r="J19" i="124"/>
  <c r="K19" i="124" s="1"/>
  <c r="P18" i="124"/>
  <c r="J18" i="124"/>
  <c r="K18" i="124" s="1"/>
  <c r="P17" i="124"/>
  <c r="J17" i="124"/>
  <c r="K17" i="124" s="1"/>
  <c r="P16" i="124"/>
  <c r="J16" i="124"/>
  <c r="K16" i="124" s="1"/>
  <c r="P15" i="124"/>
  <c r="J15" i="124"/>
  <c r="K15" i="124" s="1"/>
  <c r="P14" i="124"/>
  <c r="J14" i="124"/>
  <c r="K14" i="124" s="1"/>
  <c r="P13" i="124"/>
  <c r="J13" i="124"/>
  <c r="K13" i="124" s="1"/>
  <c r="P12" i="124"/>
  <c r="J12" i="124"/>
  <c r="K12" i="124" s="1"/>
  <c r="P11" i="124"/>
  <c r="J11" i="124"/>
  <c r="K11" i="124" s="1"/>
  <c r="P10" i="124"/>
  <c r="J10" i="124"/>
  <c r="K10" i="124" s="1"/>
  <c r="P9" i="124"/>
  <c r="J9" i="124"/>
  <c r="K9" i="124" s="1"/>
  <c r="P8" i="124"/>
  <c r="J8" i="124"/>
  <c r="K8" i="124" s="1"/>
  <c r="P7" i="124"/>
  <c r="J7" i="124"/>
  <c r="P6" i="124"/>
  <c r="I105" i="124"/>
  <c r="H105" i="124"/>
  <c r="G105" i="124"/>
  <c r="F105" i="124"/>
  <c r="E105" i="124"/>
  <c r="P105" i="124" l="1"/>
  <c r="K7" i="124"/>
  <c r="K29" i="124"/>
  <c r="K69" i="124"/>
  <c r="J6" i="124"/>
  <c r="J105" i="124" s="1"/>
  <c r="X103" i="124"/>
  <c r="X105" i="124" s="1"/>
  <c r="D105" i="124"/>
  <c r="K6" i="124" l="1"/>
  <c r="K105" i="124" s="1"/>
  <c r="K49" i="112" l="1"/>
  <c r="J49" i="112"/>
  <c r="I49" i="112"/>
  <c r="L48" i="112"/>
  <c r="H48" i="112"/>
  <c r="L47" i="112"/>
  <c r="H47" i="112"/>
  <c r="M47" i="112" s="1"/>
  <c r="L46" i="112"/>
  <c r="E46" i="112"/>
  <c r="H46" i="112" s="1"/>
  <c r="L45" i="112"/>
  <c r="H45" i="112"/>
  <c r="M45" i="112" s="1"/>
  <c r="L44" i="112"/>
  <c r="H44" i="112"/>
  <c r="L43" i="112"/>
  <c r="H43" i="112"/>
  <c r="M43" i="112" s="1"/>
  <c r="L42" i="112"/>
  <c r="G42" i="112"/>
  <c r="E42" i="112"/>
  <c r="L41" i="112"/>
  <c r="G41" i="112"/>
  <c r="E41" i="112"/>
  <c r="L40" i="112"/>
  <c r="G40" i="112"/>
  <c r="E40" i="112"/>
  <c r="D40" i="112"/>
  <c r="L39" i="112"/>
  <c r="E39" i="112"/>
  <c r="H39" i="112" s="1"/>
  <c r="M39" i="112" s="1"/>
  <c r="L38" i="112"/>
  <c r="H38" i="112"/>
  <c r="L37" i="112"/>
  <c r="H37" i="112"/>
  <c r="L36" i="112"/>
  <c r="E36" i="112"/>
  <c r="D36" i="112"/>
  <c r="L35" i="112"/>
  <c r="H35" i="112"/>
  <c r="L34" i="112"/>
  <c r="H34" i="112"/>
  <c r="L33" i="112"/>
  <c r="F33" i="112"/>
  <c r="E33" i="112"/>
  <c r="L32" i="112"/>
  <c r="H32" i="112"/>
  <c r="L31" i="112"/>
  <c r="F31" i="112"/>
  <c r="E31" i="112"/>
  <c r="L30" i="112"/>
  <c r="H30" i="112"/>
  <c r="L29" i="112"/>
  <c r="F29" i="112"/>
  <c r="E29" i="112"/>
  <c r="L28" i="112"/>
  <c r="H28" i="112"/>
  <c r="L27" i="112"/>
  <c r="H27" i="112"/>
  <c r="L26" i="112"/>
  <c r="H26" i="112"/>
  <c r="L25" i="112"/>
  <c r="H25" i="112"/>
  <c r="L24" i="112"/>
  <c r="H24" i="112"/>
  <c r="L23" i="112"/>
  <c r="H23" i="112"/>
  <c r="L22" i="112"/>
  <c r="H22" i="112"/>
  <c r="L21" i="112"/>
  <c r="H21" i="112"/>
  <c r="L20" i="112"/>
  <c r="H20" i="112"/>
  <c r="L19" i="112"/>
  <c r="G19" i="112"/>
  <c r="E19" i="112"/>
  <c r="L18" i="112"/>
  <c r="H18" i="112"/>
  <c r="L17" i="112"/>
  <c r="H17" i="112"/>
  <c r="L16" i="112"/>
  <c r="H16" i="112"/>
  <c r="L15" i="112"/>
  <c r="H15" i="112"/>
  <c r="L14" i="112"/>
  <c r="H14" i="112"/>
  <c r="L13" i="112"/>
  <c r="H13" i="112"/>
  <c r="L12" i="112"/>
  <c r="H12" i="112"/>
  <c r="L11" i="112"/>
  <c r="H11" i="112"/>
  <c r="L10" i="112"/>
  <c r="H10" i="112"/>
  <c r="L9" i="112"/>
  <c r="H9" i="112"/>
  <c r="L8" i="112"/>
  <c r="H8" i="112"/>
  <c r="L7" i="112"/>
  <c r="G7" i="112"/>
  <c r="E7" i="112"/>
  <c r="L6" i="112"/>
  <c r="H6" i="112"/>
  <c r="L5" i="112"/>
  <c r="H5" i="112"/>
  <c r="M8" i="112" l="1"/>
  <c r="M10" i="112"/>
  <c r="M12" i="112"/>
  <c r="M14" i="112"/>
  <c r="M16" i="112"/>
  <c r="M18" i="112"/>
  <c r="F49" i="112"/>
  <c r="H31" i="112"/>
  <c r="M31" i="112" s="1"/>
  <c r="M34" i="112"/>
  <c r="D49" i="112"/>
  <c r="E49" i="112"/>
  <c r="L49" i="112"/>
  <c r="G49" i="112"/>
  <c r="M9" i="112"/>
  <c r="M11" i="112"/>
  <c r="M13" i="112"/>
  <c r="M15" i="112"/>
  <c r="M17" i="112"/>
  <c r="H19" i="112"/>
  <c r="M19" i="112" s="1"/>
  <c r="M30" i="112"/>
  <c r="M35" i="112"/>
  <c r="H41" i="112"/>
  <c r="M41" i="112" s="1"/>
  <c r="M44" i="112"/>
  <c r="M46" i="112"/>
  <c r="M48" i="112"/>
  <c r="M6" i="112"/>
  <c r="M20" i="112"/>
  <c r="M21" i="112"/>
  <c r="M22" i="112"/>
  <c r="M23" i="112"/>
  <c r="M24" i="112"/>
  <c r="M25" i="112"/>
  <c r="M26" i="112"/>
  <c r="M27" i="112"/>
  <c r="M28" i="112"/>
  <c r="H29" i="112"/>
  <c r="M29" i="112" s="1"/>
  <c r="M32" i="112"/>
  <c r="H33" i="112"/>
  <c r="M33" i="112" s="1"/>
  <c r="M37" i="112"/>
  <c r="M38" i="112"/>
  <c r="H40" i="112"/>
  <c r="M40" i="112" s="1"/>
  <c r="H42" i="112"/>
  <c r="M42" i="112" s="1"/>
  <c r="M5" i="112"/>
  <c r="H7" i="112"/>
  <c r="M7" i="112" s="1"/>
  <c r="H36" i="112"/>
  <c r="M36" i="112" s="1"/>
  <c r="H49" i="112" l="1"/>
  <c r="M49" i="112"/>
  <c r="F67" i="129" l="1"/>
  <c r="D65" i="129"/>
  <c r="C65" i="129"/>
  <c r="H148" i="114" l="1"/>
  <c r="F148" i="114"/>
  <c r="D148" i="114" s="1"/>
  <c r="F147" i="114"/>
  <c r="D147" i="114" s="1"/>
  <c r="G146" i="114"/>
  <c r="F146" i="114"/>
  <c r="D146" i="114" s="1"/>
  <c r="H145" i="114"/>
  <c r="F145" i="114"/>
  <c r="D145" i="114" s="1"/>
  <c r="N144" i="114"/>
  <c r="D144" i="114" s="1"/>
  <c r="N143" i="114"/>
  <c r="D143" i="114" s="1"/>
  <c r="I142" i="114"/>
  <c r="I141" i="114" s="1"/>
  <c r="F142" i="114"/>
  <c r="F141" i="114" s="1"/>
  <c r="E142" i="114"/>
  <c r="M141" i="114"/>
  <c r="L141" i="114"/>
  <c r="K141" i="114"/>
  <c r="J141" i="114"/>
  <c r="H141" i="114"/>
  <c r="G141" i="114"/>
  <c r="N140" i="114"/>
  <c r="D140" i="114" s="1"/>
  <c r="N139" i="114"/>
  <c r="D139" i="114" s="1"/>
  <c r="I138" i="114"/>
  <c r="I137" i="114" s="1"/>
  <c r="F138" i="114"/>
  <c r="F137" i="114" s="1"/>
  <c r="E138" i="114"/>
  <c r="E137" i="114" s="1"/>
  <c r="M137" i="114"/>
  <c r="L137" i="114"/>
  <c r="K137" i="114"/>
  <c r="J137" i="114"/>
  <c r="H137" i="114"/>
  <c r="G137" i="114"/>
  <c r="D136" i="114"/>
  <c r="D135" i="114"/>
  <c r="D134" i="114"/>
  <c r="D133" i="114"/>
  <c r="H132" i="114"/>
  <c r="F132" i="114"/>
  <c r="D132" i="114" s="1"/>
  <c r="D131" i="114"/>
  <c r="D130" i="114"/>
  <c r="D129" i="114"/>
  <c r="D128" i="114"/>
  <c r="I127" i="114"/>
  <c r="F127" i="114"/>
  <c r="D127" i="114" s="1"/>
  <c r="I126" i="114"/>
  <c r="G126" i="114"/>
  <c r="F126" i="114"/>
  <c r="D126" i="114" s="1"/>
  <c r="M125" i="114"/>
  <c r="F125" i="114"/>
  <c r="D125" i="114" s="1"/>
  <c r="D124" i="114"/>
  <c r="A124" i="114"/>
  <c r="A125" i="114" s="1"/>
  <c r="A126" i="114" s="1"/>
  <c r="A127" i="114" s="1"/>
  <c r="A128" i="114" s="1"/>
  <c r="A129" i="114" s="1"/>
  <c r="A130" i="114" s="1"/>
  <c r="A131" i="114" s="1"/>
  <c r="A132" i="114" s="1"/>
  <c r="A133" i="114" s="1"/>
  <c r="A134" i="114" s="1"/>
  <c r="A135" i="114" s="1"/>
  <c r="A136" i="114" s="1"/>
  <c r="A137" i="114" s="1"/>
  <c r="D123" i="114"/>
  <c r="D122" i="114"/>
  <c r="D121" i="114"/>
  <c r="D120" i="114"/>
  <c r="F119" i="114"/>
  <c r="D119" i="114" s="1"/>
  <c r="F118" i="114"/>
  <c r="D118" i="114"/>
  <c r="D117" i="114"/>
  <c r="D116" i="114"/>
  <c r="D115" i="114"/>
  <c r="D114" i="114"/>
  <c r="D113" i="114"/>
  <c r="D112" i="114"/>
  <c r="D111" i="114"/>
  <c r="D110" i="114"/>
  <c r="D109" i="114"/>
  <c r="D108" i="114"/>
  <c r="D107" i="114"/>
  <c r="I106" i="114"/>
  <c r="F106" i="114"/>
  <c r="D106" i="114" s="1"/>
  <c r="D105" i="114"/>
  <c r="D104" i="114"/>
  <c r="D103" i="114"/>
  <c r="I102" i="114"/>
  <c r="F102" i="114"/>
  <c r="D102" i="114" s="1"/>
  <c r="D101" i="114"/>
  <c r="D100" i="114"/>
  <c r="D99" i="114"/>
  <c r="D98" i="114"/>
  <c r="G97" i="114"/>
  <c r="F97" i="114"/>
  <c r="D97" i="114" s="1"/>
  <c r="D96" i="114"/>
  <c r="D95" i="114"/>
  <c r="D94" i="114"/>
  <c r="D93" i="114"/>
  <c r="F92" i="114"/>
  <c r="D92" i="114"/>
  <c r="H91" i="114"/>
  <c r="F91" i="114"/>
  <c r="D91" i="114" s="1"/>
  <c r="F90" i="114"/>
  <c r="D90" i="114" s="1"/>
  <c r="F89" i="114"/>
  <c r="D89" i="114" s="1"/>
  <c r="F88" i="114"/>
  <c r="D88" i="114" s="1"/>
  <c r="F87" i="114"/>
  <c r="D87" i="114" s="1"/>
  <c r="I86" i="114"/>
  <c r="H86" i="114"/>
  <c r="F86" i="114"/>
  <c r="D86" i="114" s="1"/>
  <c r="F85" i="114"/>
  <c r="D85" i="114" s="1"/>
  <c r="M84" i="114"/>
  <c r="F84" i="114"/>
  <c r="D84" i="114" s="1"/>
  <c r="M83" i="114"/>
  <c r="F83" i="114"/>
  <c r="D83" i="114"/>
  <c r="F82" i="114"/>
  <c r="D82" i="114" s="1"/>
  <c r="F81" i="114"/>
  <c r="D81" i="114" s="1"/>
  <c r="F80" i="114"/>
  <c r="D80" i="114" s="1"/>
  <c r="H79" i="114"/>
  <c r="F79" i="114"/>
  <c r="D79" i="114" s="1"/>
  <c r="D78" i="114"/>
  <c r="G77" i="114"/>
  <c r="F77" i="114"/>
  <c r="D77" i="114" s="1"/>
  <c r="D76" i="114"/>
  <c r="L75" i="114"/>
  <c r="D75" i="114"/>
  <c r="D74" i="114"/>
  <c r="D73" i="114"/>
  <c r="D72" i="114"/>
  <c r="D71" i="114"/>
  <c r="D70" i="114"/>
  <c r="L69" i="114"/>
  <c r="D69" i="114"/>
  <c r="L68" i="114"/>
  <c r="D68" i="114"/>
  <c r="D67" i="114"/>
  <c r="D66" i="114"/>
  <c r="D65" i="114"/>
  <c r="D64" i="114"/>
  <c r="L63" i="114"/>
  <c r="D63" i="114"/>
  <c r="D62" i="114"/>
  <c r="D61" i="114"/>
  <c r="D60" i="114"/>
  <c r="D59" i="114"/>
  <c r="D58" i="114"/>
  <c r="D57" i="114"/>
  <c r="L56" i="114"/>
  <c r="I56" i="114"/>
  <c r="F56" i="114"/>
  <c r="D56" i="114" s="1"/>
  <c r="L55" i="114"/>
  <c r="D55" i="114"/>
  <c r="D54" i="114"/>
  <c r="D53" i="114"/>
  <c r="L52" i="114"/>
  <c r="D52" i="114"/>
  <c r="D51" i="114"/>
  <c r="D50" i="114"/>
  <c r="D49" i="114"/>
  <c r="D48" i="114"/>
  <c r="D47" i="114"/>
  <c r="D46" i="114"/>
  <c r="D45" i="114"/>
  <c r="D44" i="114"/>
  <c r="D43" i="114"/>
  <c r="D42" i="114"/>
  <c r="D41" i="114"/>
  <c r="D40" i="114"/>
  <c r="L39" i="114"/>
  <c r="D39" i="114"/>
  <c r="F38" i="114"/>
  <c r="D38" i="114" s="1"/>
  <c r="I37" i="114"/>
  <c r="F37" i="114"/>
  <c r="D37" i="114" s="1"/>
  <c r="G36" i="114"/>
  <c r="F36" i="114"/>
  <c r="D36" i="114" s="1"/>
  <c r="G35" i="114"/>
  <c r="F35" i="114"/>
  <c r="D35" i="114" s="1"/>
  <c r="F34" i="114"/>
  <c r="D34" i="114" s="1"/>
  <c r="F33" i="114"/>
  <c r="D33" i="114" s="1"/>
  <c r="D32" i="114"/>
  <c r="L31" i="114"/>
  <c r="D31" i="114"/>
  <c r="I30" i="114"/>
  <c r="F30" i="114"/>
  <c r="D30" i="114" s="1"/>
  <c r="I29" i="114"/>
  <c r="F29" i="114"/>
  <c r="D29" i="114" s="1"/>
  <c r="D28" i="114"/>
  <c r="D27" i="114"/>
  <c r="D26" i="114"/>
  <c r="D25" i="114"/>
  <c r="D24" i="114"/>
  <c r="D23" i="114"/>
  <c r="D22" i="114"/>
  <c r="I21" i="114"/>
  <c r="F21" i="114"/>
  <c r="D21" i="114"/>
  <c r="D20" i="114"/>
  <c r="I19" i="114"/>
  <c r="F19" i="114"/>
  <c r="D19" i="114"/>
  <c r="D18" i="114"/>
  <c r="I17" i="114"/>
  <c r="F17" i="114"/>
  <c r="D17" i="114"/>
  <c r="D16" i="114"/>
  <c r="D15" i="114"/>
  <c r="D14" i="114"/>
  <c r="D13" i="114"/>
  <c r="D12" i="114"/>
  <c r="D11" i="114"/>
  <c r="D10" i="114"/>
  <c r="D9" i="114"/>
  <c r="D8" i="114"/>
  <c r="D7" i="114"/>
  <c r="K149" i="114" l="1"/>
  <c r="D142" i="114"/>
  <c r="M149" i="114"/>
  <c r="J149" i="114"/>
  <c r="I149" i="114"/>
  <c r="D138" i="114"/>
  <c r="D137" i="114" s="1"/>
  <c r="G149" i="114"/>
  <c r="N137" i="114"/>
  <c r="H149" i="114"/>
  <c r="L149" i="114"/>
  <c r="F149" i="114"/>
  <c r="D141" i="114"/>
  <c r="E141" i="114"/>
  <c r="E149" i="114" s="1"/>
  <c r="N141" i="114"/>
  <c r="D149" i="114" l="1"/>
  <c r="N149" i="114"/>
  <c r="O24" i="113" l="1"/>
  <c r="M24" i="113" s="1"/>
  <c r="P23" i="113"/>
  <c r="P25" i="113" s="1"/>
  <c r="N23" i="113"/>
  <c r="N25" i="113" s="1"/>
  <c r="L23" i="113"/>
  <c r="L25" i="113" s="1"/>
  <c r="K23" i="113"/>
  <c r="K25" i="113" s="1"/>
  <c r="I23" i="113"/>
  <c r="I25" i="113" s="1"/>
  <c r="G23" i="113"/>
  <c r="G25" i="113" s="1"/>
  <c r="F23" i="113"/>
  <c r="F25" i="113" s="1"/>
  <c r="E23" i="113"/>
  <c r="E25" i="113" s="1"/>
  <c r="M22" i="113"/>
  <c r="J22" i="113"/>
  <c r="H22" i="113"/>
  <c r="H23" i="113" s="1"/>
  <c r="H25" i="113" s="1"/>
  <c r="M21" i="113"/>
  <c r="J21" i="113"/>
  <c r="D21" i="113" s="1"/>
  <c r="M20" i="113"/>
  <c r="J20" i="113"/>
  <c r="D20" i="113" s="1"/>
  <c r="M19" i="113"/>
  <c r="J19" i="113"/>
  <c r="D19" i="113" s="1"/>
  <c r="M18" i="113"/>
  <c r="J18" i="113"/>
  <c r="D18" i="113" s="1"/>
  <c r="M17" i="113"/>
  <c r="J17" i="113"/>
  <c r="D17" i="113" s="1"/>
  <c r="M16" i="113"/>
  <c r="J16" i="113"/>
  <c r="D16" i="113" s="1"/>
  <c r="M15" i="113"/>
  <c r="J15" i="113"/>
  <c r="D15" i="113" s="1"/>
  <c r="O14" i="113"/>
  <c r="J14" i="113" s="1"/>
  <c r="D14" i="113" s="1"/>
  <c r="O13" i="113"/>
  <c r="M13" i="113" s="1"/>
  <c r="O12" i="113"/>
  <c r="M12" i="113" s="1"/>
  <c r="O11" i="113"/>
  <c r="M11" i="113" s="1"/>
  <c r="O10" i="113"/>
  <c r="J10" i="113" s="1"/>
  <c r="D10" i="113" s="1"/>
  <c r="Q9" i="113"/>
  <c r="Q23" i="113" s="1"/>
  <c r="Q25" i="113" s="1"/>
  <c r="O8" i="113"/>
  <c r="M8" i="113" s="1"/>
  <c r="D22" i="113" l="1"/>
  <c r="J12" i="113"/>
  <c r="D12" i="113" s="1"/>
  <c r="J13" i="113"/>
  <c r="D13" i="113" s="1"/>
  <c r="J8" i="113"/>
  <c r="D8" i="113" s="1"/>
  <c r="J9" i="113"/>
  <c r="D9" i="113" s="1"/>
  <c r="M9" i="113"/>
  <c r="O23" i="113"/>
  <c r="O25" i="113" s="1"/>
  <c r="J24" i="113"/>
  <c r="D24" i="113" s="1"/>
  <c r="M10" i="113"/>
  <c r="M14" i="113"/>
  <c r="M25" i="113"/>
  <c r="J11" i="113"/>
  <c r="D11" i="113" s="1"/>
  <c r="D23" i="113" l="1"/>
  <c r="D25" i="113" s="1"/>
  <c r="J23" i="113"/>
  <c r="J25" i="113" s="1"/>
  <c r="M23" i="113"/>
  <c r="D5" i="122" l="1"/>
  <c r="E5" i="122"/>
  <c r="F5" i="122"/>
  <c r="G5" i="122"/>
  <c r="H5" i="122"/>
  <c r="I5" i="122"/>
  <c r="J5" i="122"/>
  <c r="L5" i="122"/>
  <c r="M5" i="122"/>
  <c r="N5" i="122"/>
  <c r="O5" i="122"/>
  <c r="P5" i="122"/>
  <c r="R5" i="122"/>
  <c r="S5" i="122"/>
  <c r="T5" i="122"/>
  <c r="U5" i="122"/>
  <c r="V5" i="122"/>
  <c r="W5" i="122"/>
  <c r="X5" i="122"/>
  <c r="Y5" i="122"/>
  <c r="Z5" i="122"/>
  <c r="AB5" i="122"/>
  <c r="C6" i="122"/>
  <c r="C7" i="122"/>
  <c r="AA7" i="122" s="1"/>
  <c r="AC7" i="122" s="1"/>
  <c r="C8" i="122"/>
  <c r="D8" i="122"/>
  <c r="E8" i="122"/>
  <c r="G8" i="122"/>
  <c r="H8" i="122"/>
  <c r="I8" i="122"/>
  <c r="J8" i="122"/>
  <c r="L8" i="122"/>
  <c r="M8" i="122"/>
  <c r="N8" i="122"/>
  <c r="O8" i="122"/>
  <c r="P8" i="122"/>
  <c r="R8" i="122"/>
  <c r="S8" i="122"/>
  <c r="T8" i="122"/>
  <c r="U8" i="122"/>
  <c r="V8" i="122"/>
  <c r="W8" i="122"/>
  <c r="X8" i="122"/>
  <c r="Y8" i="122"/>
  <c r="Z8" i="122"/>
  <c r="AB8" i="122"/>
  <c r="AA9" i="122"/>
  <c r="AC9" i="122" s="1"/>
  <c r="F10" i="122"/>
  <c r="F8" i="122" s="1"/>
  <c r="AA10" i="122"/>
  <c r="AC10" i="122" s="1"/>
  <c r="C11" i="122"/>
  <c r="D11" i="122"/>
  <c r="E11" i="122"/>
  <c r="G11" i="122"/>
  <c r="H11" i="122"/>
  <c r="I11" i="122"/>
  <c r="J11" i="122"/>
  <c r="L11" i="122"/>
  <c r="M11" i="122"/>
  <c r="N11" i="122"/>
  <c r="O11" i="122"/>
  <c r="P11" i="122"/>
  <c r="R11" i="122"/>
  <c r="S11" i="122"/>
  <c r="T11" i="122"/>
  <c r="U11" i="122"/>
  <c r="V11" i="122"/>
  <c r="W11" i="122"/>
  <c r="X11" i="122"/>
  <c r="Y11" i="122"/>
  <c r="AB11" i="122"/>
  <c r="F12" i="122"/>
  <c r="F11" i="122" s="1"/>
  <c r="Z12" i="122"/>
  <c r="D13" i="122"/>
  <c r="E13" i="122"/>
  <c r="G13" i="122"/>
  <c r="H13" i="122"/>
  <c r="I13" i="122"/>
  <c r="J13" i="122"/>
  <c r="L13" i="122"/>
  <c r="M13" i="122"/>
  <c r="N13" i="122"/>
  <c r="P13" i="122"/>
  <c r="R13" i="122"/>
  <c r="S13" i="122"/>
  <c r="T13" i="122"/>
  <c r="U13" i="122"/>
  <c r="V13" i="122"/>
  <c r="W13" i="122"/>
  <c r="X13" i="122"/>
  <c r="Y13" i="122"/>
  <c r="AB13" i="122"/>
  <c r="C14" i="122"/>
  <c r="C13" i="122" s="1"/>
  <c r="F14" i="122"/>
  <c r="F13" i="122" s="1"/>
  <c r="O14" i="122"/>
  <c r="O13" i="122" s="1"/>
  <c r="Z14" i="122"/>
  <c r="Z13" i="122" s="1"/>
  <c r="AA15" i="122"/>
  <c r="AC15" i="122" s="1"/>
  <c r="C16" i="122"/>
  <c r="D16" i="122"/>
  <c r="E16" i="122"/>
  <c r="G16" i="122"/>
  <c r="H16" i="122"/>
  <c r="I16" i="122"/>
  <c r="J16" i="122"/>
  <c r="L16" i="122"/>
  <c r="M16" i="122"/>
  <c r="N16" i="122"/>
  <c r="O16" i="122"/>
  <c r="P16" i="122"/>
  <c r="R16" i="122"/>
  <c r="S16" i="122"/>
  <c r="T16" i="122"/>
  <c r="U16" i="122"/>
  <c r="V16" i="122"/>
  <c r="W16" i="122"/>
  <c r="X16" i="122"/>
  <c r="Y16" i="122"/>
  <c r="Z16" i="122"/>
  <c r="AB16" i="122"/>
  <c r="F17" i="122"/>
  <c r="F16" i="122" s="1"/>
  <c r="C18" i="122"/>
  <c r="D18" i="122"/>
  <c r="E18" i="122"/>
  <c r="F18" i="122"/>
  <c r="G18" i="122"/>
  <c r="H18" i="122"/>
  <c r="I18" i="122"/>
  <c r="J18" i="122"/>
  <c r="L18" i="122"/>
  <c r="M18" i="122"/>
  <c r="N18" i="122"/>
  <c r="O18" i="122"/>
  <c r="P18" i="122"/>
  <c r="R18" i="122"/>
  <c r="S18" i="122"/>
  <c r="T18" i="122"/>
  <c r="U18" i="122"/>
  <c r="V18" i="122"/>
  <c r="W18" i="122"/>
  <c r="X18" i="122"/>
  <c r="Y18" i="122"/>
  <c r="Z18" i="122"/>
  <c r="AB18" i="122"/>
  <c r="AA19" i="122"/>
  <c r="AC19" i="122" s="1"/>
  <c r="AC18" i="122" s="1"/>
  <c r="C20" i="122"/>
  <c r="D20" i="122"/>
  <c r="E20" i="122"/>
  <c r="F20" i="122"/>
  <c r="G20" i="122"/>
  <c r="H20" i="122"/>
  <c r="I20" i="122"/>
  <c r="J20" i="122"/>
  <c r="L20" i="122"/>
  <c r="M20" i="122"/>
  <c r="N20" i="122"/>
  <c r="O20" i="122"/>
  <c r="P20" i="122"/>
  <c r="R20" i="122"/>
  <c r="S20" i="122"/>
  <c r="T20" i="122"/>
  <c r="U20" i="122"/>
  <c r="V20" i="122"/>
  <c r="W20" i="122"/>
  <c r="X20" i="122"/>
  <c r="Y20" i="122"/>
  <c r="Z20" i="122"/>
  <c r="AB20" i="122"/>
  <c r="AA22" i="122"/>
  <c r="AC22" i="122" s="1"/>
  <c r="C23" i="122"/>
  <c r="D23" i="122"/>
  <c r="E23" i="122"/>
  <c r="G23" i="122"/>
  <c r="H23" i="122"/>
  <c r="I23" i="122"/>
  <c r="J23" i="122"/>
  <c r="L23" i="122"/>
  <c r="M23" i="122"/>
  <c r="N23" i="122"/>
  <c r="O23" i="122"/>
  <c r="P23" i="122"/>
  <c r="R23" i="122"/>
  <c r="U23" i="122"/>
  <c r="V23" i="122"/>
  <c r="W23" i="122"/>
  <c r="X23" i="122"/>
  <c r="Y23" i="122"/>
  <c r="AB23" i="122"/>
  <c r="F24" i="122"/>
  <c r="F23" i="122" s="1"/>
  <c r="S24" i="122"/>
  <c r="Z24" i="122"/>
  <c r="Z23" i="122" s="1"/>
  <c r="S25" i="122"/>
  <c r="T25" i="122"/>
  <c r="AA26" i="122"/>
  <c r="AC26" i="122" s="1"/>
  <c r="AA27" i="122"/>
  <c r="AC27" i="122" s="1"/>
  <c r="S28" i="122"/>
  <c r="T28" i="122"/>
  <c r="AA28" i="122" s="1"/>
  <c r="AC28" i="122" s="1"/>
  <c r="AA29" i="122"/>
  <c r="AC29" i="122" s="1"/>
  <c r="D30" i="122"/>
  <c r="E30" i="122"/>
  <c r="F30" i="122"/>
  <c r="H30" i="122"/>
  <c r="I30" i="122"/>
  <c r="J30" i="122"/>
  <c r="L30" i="122"/>
  <c r="M30" i="122"/>
  <c r="N30" i="122"/>
  <c r="O30" i="122"/>
  <c r="R30" i="122"/>
  <c r="S30" i="122"/>
  <c r="T30" i="122"/>
  <c r="U30" i="122"/>
  <c r="V30" i="122"/>
  <c r="W30" i="122"/>
  <c r="X30" i="122"/>
  <c r="Y30" i="122"/>
  <c r="AB30" i="122"/>
  <c r="C31" i="122"/>
  <c r="G31" i="122"/>
  <c r="P31" i="122"/>
  <c r="P30" i="122" s="1"/>
  <c r="Z31" i="122"/>
  <c r="AA31" i="122"/>
  <c r="C32" i="122"/>
  <c r="G32" i="122"/>
  <c r="Z32" i="122"/>
  <c r="Z30" i="122" s="1"/>
  <c r="D33" i="122"/>
  <c r="E33" i="122"/>
  <c r="G33" i="122"/>
  <c r="H33" i="122"/>
  <c r="I33" i="122"/>
  <c r="J33" i="122"/>
  <c r="L33" i="122"/>
  <c r="M33" i="122"/>
  <c r="N33" i="122"/>
  <c r="O33" i="122"/>
  <c r="P33" i="122"/>
  <c r="R33" i="122"/>
  <c r="S33" i="122"/>
  <c r="T33" i="122"/>
  <c r="U33" i="122"/>
  <c r="V33" i="122"/>
  <c r="X33" i="122"/>
  <c r="Y33" i="122"/>
  <c r="AB33" i="122"/>
  <c r="C34" i="122"/>
  <c r="C33" i="122" s="1"/>
  <c r="W34" i="122"/>
  <c r="W33" i="122" s="1"/>
  <c r="AA35" i="122"/>
  <c r="AC35" i="122" s="1"/>
  <c r="F36" i="122"/>
  <c r="F33" i="122" s="1"/>
  <c r="Z36" i="122"/>
  <c r="Z33" i="122" s="1"/>
  <c r="AA37" i="122"/>
  <c r="AC37" i="122" s="1"/>
  <c r="AA38" i="122"/>
  <c r="AC38" i="122" s="1"/>
  <c r="AA39" i="122"/>
  <c r="AC39" i="122" s="1"/>
  <c r="C40" i="122"/>
  <c r="D40" i="122"/>
  <c r="E40" i="122"/>
  <c r="G40" i="122"/>
  <c r="H40" i="122"/>
  <c r="I40" i="122"/>
  <c r="J40" i="122"/>
  <c r="L40" i="122"/>
  <c r="M40" i="122"/>
  <c r="N40" i="122"/>
  <c r="O40" i="122"/>
  <c r="P40" i="122"/>
  <c r="R40" i="122"/>
  <c r="S40" i="122"/>
  <c r="T40" i="122"/>
  <c r="U40" i="122"/>
  <c r="V40" i="122"/>
  <c r="W40" i="122"/>
  <c r="X40" i="122"/>
  <c r="Y40" i="122"/>
  <c r="Z40" i="122"/>
  <c r="AB40" i="122"/>
  <c r="F41" i="122"/>
  <c r="AA41" i="122"/>
  <c r="AC41" i="122" s="1"/>
  <c r="F42" i="122"/>
  <c r="AA42" i="122"/>
  <c r="AC42" i="122" s="1"/>
  <c r="C43" i="122"/>
  <c r="D43" i="122"/>
  <c r="E43" i="122"/>
  <c r="G43" i="122"/>
  <c r="H43" i="122"/>
  <c r="I43" i="122"/>
  <c r="J43" i="122"/>
  <c r="L43" i="122"/>
  <c r="M43" i="122"/>
  <c r="N43" i="122"/>
  <c r="O43" i="122"/>
  <c r="P43" i="122"/>
  <c r="R43" i="122"/>
  <c r="S43" i="122"/>
  <c r="T43" i="122"/>
  <c r="U43" i="122"/>
  <c r="V43" i="122"/>
  <c r="W43" i="122"/>
  <c r="X43" i="122"/>
  <c r="Y43" i="122"/>
  <c r="Z43" i="122"/>
  <c r="AB43" i="122"/>
  <c r="F44" i="122"/>
  <c r="F43" i="122" s="1"/>
  <c r="AA44" i="122"/>
  <c r="AC44" i="122" s="1"/>
  <c r="AC43" i="122" s="1"/>
  <c r="AA45" i="122"/>
  <c r="AC45" i="122" s="1"/>
  <c r="C46" i="122"/>
  <c r="D46" i="122"/>
  <c r="E46" i="122"/>
  <c r="G46" i="122"/>
  <c r="H46" i="122"/>
  <c r="I46" i="122"/>
  <c r="J46" i="122"/>
  <c r="L46" i="122"/>
  <c r="M46" i="122"/>
  <c r="N46" i="122"/>
  <c r="O46" i="122"/>
  <c r="P46" i="122"/>
  <c r="R46" i="122"/>
  <c r="S46" i="122"/>
  <c r="T46" i="122"/>
  <c r="U46" i="122"/>
  <c r="V46" i="122"/>
  <c r="W46" i="122"/>
  <c r="X46" i="122"/>
  <c r="Y46" i="122"/>
  <c r="Z46" i="122"/>
  <c r="AB46" i="122"/>
  <c r="F47" i="122"/>
  <c r="F46" i="122" s="1"/>
  <c r="AA48" i="122"/>
  <c r="AC48" i="122" s="1"/>
  <c r="AA49" i="122"/>
  <c r="AC49" i="122" s="1"/>
  <c r="D50" i="122"/>
  <c r="E50" i="122"/>
  <c r="F50" i="122"/>
  <c r="G50" i="122"/>
  <c r="H50" i="122"/>
  <c r="I50" i="122"/>
  <c r="J50" i="122"/>
  <c r="L50" i="122"/>
  <c r="M50" i="122"/>
  <c r="N50" i="122"/>
  <c r="P50" i="122"/>
  <c r="R50" i="122"/>
  <c r="S50" i="122"/>
  <c r="T50" i="122"/>
  <c r="U50" i="122"/>
  <c r="V50" i="122"/>
  <c r="W50" i="122"/>
  <c r="X50" i="122"/>
  <c r="Y50" i="122"/>
  <c r="AB50" i="122"/>
  <c r="C51" i="122"/>
  <c r="C50" i="122" s="1"/>
  <c r="O51" i="122"/>
  <c r="O50" i="122" s="1"/>
  <c r="Z51" i="122"/>
  <c r="Z50" i="122" s="1"/>
  <c r="C52" i="122"/>
  <c r="D52" i="122"/>
  <c r="F52" i="122"/>
  <c r="G52" i="122"/>
  <c r="H52" i="122"/>
  <c r="I52" i="122"/>
  <c r="L52" i="122"/>
  <c r="M52" i="122"/>
  <c r="N52" i="122"/>
  <c r="O52" i="122"/>
  <c r="P52" i="122"/>
  <c r="R52" i="122"/>
  <c r="T52" i="122"/>
  <c r="V52" i="122"/>
  <c r="Y52" i="122"/>
  <c r="AB52" i="122"/>
  <c r="E53" i="122"/>
  <c r="S53" i="122"/>
  <c r="U53" i="122"/>
  <c r="W53" i="122"/>
  <c r="X53" i="122"/>
  <c r="Z53" i="122"/>
  <c r="E54" i="122"/>
  <c r="S54" i="122"/>
  <c r="U54" i="122"/>
  <c r="W54" i="122"/>
  <c r="X54" i="122"/>
  <c r="Z54" i="122"/>
  <c r="E55" i="122"/>
  <c r="S55" i="122"/>
  <c r="U55" i="122"/>
  <c r="W55" i="122"/>
  <c r="X55" i="122"/>
  <c r="Z55" i="122"/>
  <c r="E56" i="122"/>
  <c r="J56" i="122"/>
  <c r="S56" i="122"/>
  <c r="U56" i="122"/>
  <c r="W56" i="122"/>
  <c r="X56" i="122"/>
  <c r="Z56" i="122"/>
  <c r="E57" i="122"/>
  <c r="S57" i="122"/>
  <c r="U57" i="122"/>
  <c r="W57" i="122"/>
  <c r="X57" i="122"/>
  <c r="E58" i="122"/>
  <c r="J58" i="122"/>
  <c r="S58" i="122"/>
  <c r="U58" i="122"/>
  <c r="X58" i="122"/>
  <c r="Z58" i="122"/>
  <c r="E59" i="122"/>
  <c r="J59" i="122"/>
  <c r="E60" i="122"/>
  <c r="S60" i="122"/>
  <c r="AA61" i="122"/>
  <c r="AC61" i="122" s="1"/>
  <c r="E62" i="122"/>
  <c r="AA62" i="122"/>
  <c r="AC62" i="122" s="1"/>
  <c r="E63" i="122"/>
  <c r="Z63" i="122"/>
  <c r="C64" i="122"/>
  <c r="D64" i="122"/>
  <c r="E64" i="122"/>
  <c r="F64" i="122"/>
  <c r="G64" i="122"/>
  <c r="H64" i="122"/>
  <c r="I64" i="122"/>
  <c r="J64" i="122"/>
  <c r="L64" i="122"/>
  <c r="M64" i="122"/>
  <c r="N64" i="122"/>
  <c r="O64" i="122"/>
  <c r="P64" i="122"/>
  <c r="R64" i="122"/>
  <c r="S64" i="122"/>
  <c r="T64" i="122"/>
  <c r="U64" i="122"/>
  <c r="V64" i="122"/>
  <c r="W64" i="122"/>
  <c r="X64" i="122"/>
  <c r="Y64" i="122"/>
  <c r="Z64" i="122"/>
  <c r="AB64" i="122"/>
  <c r="AA65" i="122"/>
  <c r="AC65" i="122" s="1"/>
  <c r="AA66" i="122"/>
  <c r="AC66" i="122" s="1"/>
  <c r="D67" i="122"/>
  <c r="E67" i="122"/>
  <c r="G67" i="122"/>
  <c r="H67" i="122"/>
  <c r="I67" i="122"/>
  <c r="J67" i="122"/>
  <c r="L67" i="122"/>
  <c r="M67" i="122"/>
  <c r="N67" i="122"/>
  <c r="O67" i="122"/>
  <c r="P67" i="122"/>
  <c r="R67" i="122"/>
  <c r="T67" i="122"/>
  <c r="U67" i="122"/>
  <c r="V67" i="122"/>
  <c r="X67" i="122"/>
  <c r="Y67" i="122"/>
  <c r="Z67" i="122"/>
  <c r="AB67" i="122"/>
  <c r="C68" i="122"/>
  <c r="S68" i="122"/>
  <c r="C69" i="122"/>
  <c r="S69" i="122"/>
  <c r="AA69" i="122" s="1"/>
  <c r="AC69" i="122" s="1"/>
  <c r="F70" i="122"/>
  <c r="F67" i="122" s="1"/>
  <c r="P70" i="122"/>
  <c r="S70" i="122"/>
  <c r="AA70" i="122" s="1"/>
  <c r="AC70" i="122" s="1"/>
  <c r="S71" i="122"/>
  <c r="W71" i="122"/>
  <c r="AA72" i="122"/>
  <c r="AC72" i="122" s="1"/>
  <c r="AA73" i="122"/>
  <c r="AC73" i="122" s="1"/>
  <c r="C74" i="122"/>
  <c r="D74" i="122"/>
  <c r="E74" i="122"/>
  <c r="F74" i="122"/>
  <c r="G74" i="122"/>
  <c r="H74" i="122"/>
  <c r="I74" i="122"/>
  <c r="J74" i="122"/>
  <c r="L74" i="122"/>
  <c r="M74" i="122"/>
  <c r="N74" i="122"/>
  <c r="O74" i="122"/>
  <c r="P74" i="122"/>
  <c r="R74" i="122"/>
  <c r="S74" i="122"/>
  <c r="T74" i="122"/>
  <c r="U74" i="122"/>
  <c r="V74" i="122"/>
  <c r="W74" i="122"/>
  <c r="X74" i="122"/>
  <c r="Y74" i="122"/>
  <c r="AB74" i="122"/>
  <c r="Z75" i="122"/>
  <c r="AA75" i="122" s="1"/>
  <c r="AA76" i="122"/>
  <c r="AC76" i="122" s="1"/>
  <c r="C77" i="122"/>
  <c r="D77" i="122"/>
  <c r="E77" i="122"/>
  <c r="G77" i="122"/>
  <c r="H77" i="122"/>
  <c r="I77" i="122"/>
  <c r="J77" i="122"/>
  <c r="L77" i="122"/>
  <c r="M77" i="122"/>
  <c r="N77" i="122"/>
  <c r="O77" i="122"/>
  <c r="P77" i="122"/>
  <c r="R77" i="122"/>
  <c r="S77" i="122"/>
  <c r="T77" i="122"/>
  <c r="U77" i="122"/>
  <c r="V77" i="122"/>
  <c r="W77" i="122"/>
  <c r="X77" i="122"/>
  <c r="Y77" i="122"/>
  <c r="Z77" i="122"/>
  <c r="AB77" i="122"/>
  <c r="F78" i="122"/>
  <c r="F77" i="122" s="1"/>
  <c r="C79" i="122"/>
  <c r="D79" i="122"/>
  <c r="E79" i="122"/>
  <c r="G79" i="122"/>
  <c r="H79" i="122"/>
  <c r="I79" i="122"/>
  <c r="J79" i="122"/>
  <c r="L79" i="122"/>
  <c r="M79" i="122"/>
  <c r="N79" i="122"/>
  <c r="O79" i="122"/>
  <c r="P79" i="122"/>
  <c r="R79" i="122"/>
  <c r="S79" i="122"/>
  <c r="T79" i="122"/>
  <c r="U79" i="122"/>
  <c r="V79" i="122"/>
  <c r="W79" i="122"/>
  <c r="X79" i="122"/>
  <c r="Y79" i="122"/>
  <c r="AB79" i="122"/>
  <c r="F80" i="122"/>
  <c r="F79" i="122" s="1"/>
  <c r="Z80" i="122"/>
  <c r="Z79" i="122" s="1"/>
  <c r="AA81" i="122"/>
  <c r="AC81" i="122" s="1"/>
  <c r="AA17" i="122" l="1"/>
  <c r="AC17" i="122" s="1"/>
  <c r="AC16" i="122" s="1"/>
  <c r="C5" i="122"/>
  <c r="AA80" i="122"/>
  <c r="AA79" i="122" s="1"/>
  <c r="C67" i="122"/>
  <c r="AA63" i="122"/>
  <c r="AC63" i="122" s="1"/>
  <c r="AA36" i="122"/>
  <c r="AC36" i="122" s="1"/>
  <c r="AA34" i="122"/>
  <c r="M82" i="122"/>
  <c r="I82" i="122"/>
  <c r="AA56" i="122"/>
  <c r="AC56" i="122" s="1"/>
  <c r="AA51" i="122"/>
  <c r="AC51" i="122" s="1"/>
  <c r="AC50" i="122" s="1"/>
  <c r="Y82" i="122"/>
  <c r="AA59" i="122"/>
  <c r="AC59" i="122" s="1"/>
  <c r="E52" i="122"/>
  <c r="E82" i="122" s="1"/>
  <c r="AA74" i="122"/>
  <c r="S52" i="122"/>
  <c r="O82" i="122"/>
  <c r="P82" i="122"/>
  <c r="W52" i="122"/>
  <c r="V82" i="122"/>
  <c r="R82" i="122"/>
  <c r="AB82" i="122"/>
  <c r="H82" i="122"/>
  <c r="D82" i="122"/>
  <c r="L82" i="122"/>
  <c r="AA60" i="122"/>
  <c r="AC60" i="122" s="1"/>
  <c r="U52" i="122"/>
  <c r="U82" i="122" s="1"/>
  <c r="AA47" i="122"/>
  <c r="AC47" i="122" s="1"/>
  <c r="AC46" i="122" s="1"/>
  <c r="G30" i="122"/>
  <c r="G82" i="122" s="1"/>
  <c r="S23" i="122"/>
  <c r="AA14" i="122"/>
  <c r="AA13" i="122" s="1"/>
  <c r="N82" i="122"/>
  <c r="AA6" i="122"/>
  <c r="AC6" i="122" s="1"/>
  <c r="AC5" i="122" s="1"/>
  <c r="AC8" i="122"/>
  <c r="AA64" i="122"/>
  <c r="AC64" i="122"/>
  <c r="AA18" i="122"/>
  <c r="AC40" i="122"/>
  <c r="Z74" i="122"/>
  <c r="S67" i="122"/>
  <c r="AA68" i="122"/>
  <c r="AA57" i="122"/>
  <c r="AC57" i="122" s="1"/>
  <c r="AA55" i="122"/>
  <c r="AC55" i="122" s="1"/>
  <c r="Z52" i="122"/>
  <c r="AA53" i="122"/>
  <c r="AA40" i="122"/>
  <c r="AA32" i="122"/>
  <c r="AC32" i="122" s="1"/>
  <c r="T23" i="122"/>
  <c r="T82" i="122" s="1"/>
  <c r="AA25" i="122"/>
  <c r="AC25" i="122" s="1"/>
  <c r="Q82" i="122"/>
  <c r="AA21" i="122"/>
  <c r="AA16" i="122"/>
  <c r="Z11" i="122"/>
  <c r="AA12" i="122"/>
  <c r="AC80" i="122"/>
  <c r="AC79" i="122" s="1"/>
  <c r="AA78" i="122"/>
  <c r="AC75" i="122"/>
  <c r="AC74" i="122" s="1"/>
  <c r="W67" i="122"/>
  <c r="W82" i="122" s="1"/>
  <c r="AA71" i="122"/>
  <c r="AC71" i="122" s="1"/>
  <c r="AA58" i="122"/>
  <c r="AC58" i="122" s="1"/>
  <c r="J52" i="122"/>
  <c r="J82" i="122" s="1"/>
  <c r="AA54" i="122"/>
  <c r="AC54" i="122" s="1"/>
  <c r="X52" i="122"/>
  <c r="X82" i="122" s="1"/>
  <c r="AA43" i="122"/>
  <c r="F40" i="122"/>
  <c r="F82" i="122" s="1"/>
  <c r="AA33" i="122"/>
  <c r="AC34" i="122"/>
  <c r="AC33" i="122" s="1"/>
  <c r="AC31" i="122"/>
  <c r="C30" i="122"/>
  <c r="C82" i="122" s="1"/>
  <c r="AA24" i="122"/>
  <c r="K82" i="122"/>
  <c r="AC14" i="122"/>
  <c r="AC13" i="122" s="1"/>
  <c r="AA8" i="122"/>
  <c r="F15" i="121"/>
  <c r="E15" i="121"/>
  <c r="D14" i="121"/>
  <c r="D13" i="121"/>
  <c r="D12" i="121"/>
  <c r="D11" i="121"/>
  <c r="D10" i="121"/>
  <c r="D9" i="121"/>
  <c r="D8" i="121"/>
  <c r="D7" i="121"/>
  <c r="D6" i="121"/>
  <c r="D5" i="121"/>
  <c r="D4" i="121"/>
  <c r="D15" i="121" l="1"/>
  <c r="AC30" i="122"/>
  <c r="AA46" i="122"/>
  <c r="S82" i="122"/>
  <c r="AA30" i="122"/>
  <c r="AA50" i="122"/>
  <c r="AA5" i="122"/>
  <c r="AC12" i="122"/>
  <c r="AC11" i="122" s="1"/>
  <c r="AA11" i="122"/>
  <c r="AA23" i="122"/>
  <c r="AC24" i="122"/>
  <c r="AC23" i="122" s="1"/>
  <c r="AA77" i="122"/>
  <c r="AC78" i="122"/>
  <c r="AC77" i="122" s="1"/>
  <c r="Z82" i="122"/>
  <c r="AA20" i="122"/>
  <c r="AC21" i="122"/>
  <c r="AC20" i="122" s="1"/>
  <c r="AC53" i="122"/>
  <c r="AC52" i="122" s="1"/>
  <c r="AA52" i="122"/>
  <c r="AA67" i="122"/>
  <c r="AC68" i="122"/>
  <c r="AC67" i="122" s="1"/>
  <c r="AA82" i="122" l="1"/>
  <c r="AC82" i="122"/>
</calcChain>
</file>

<file path=xl/sharedStrings.xml><?xml version="1.0" encoding="utf-8"?>
<sst xmlns="http://schemas.openxmlformats.org/spreadsheetml/2006/main" count="2705" uniqueCount="895">
  <si>
    <t>ГАУЗ РКОД МЗ РБ</t>
  </si>
  <si>
    <t>Резерв</t>
  </si>
  <si>
    <t>в том числе</t>
  </si>
  <si>
    <t>ГБУЗ РБ ГБ г. Нефтекамск</t>
  </si>
  <si>
    <t>ГБУЗ РБ Белорецкая ЦРКБ</t>
  </si>
  <si>
    <t>ГБУЗ РКБ им. Г.Г. Куватова</t>
  </si>
  <si>
    <t>ГБУЗ РКВД №1</t>
  </si>
  <si>
    <t>ГБУЗ РМГЦ</t>
  </si>
  <si>
    <t>ИТОГО</t>
  </si>
  <si>
    <t>Наименование медицинской организации</t>
  </si>
  <si>
    <t>ГБУЗ РБ ГКБ № 21 г. Уфа</t>
  </si>
  <si>
    <t xml:space="preserve">ГБУЗ РКИБ </t>
  </si>
  <si>
    <t>Объемы лабораторных диагностических исследований с целью выявления возбудителя коронавирусной инфекции COVID-2019 для медицинских организаций, включенных в реестр медицинских организаций, осуществляющих деятельность в сфере обязательного медицинского страхования, на 2020 год</t>
  </si>
  <si>
    <t>ID_LPU</t>
  </si>
  <si>
    <t>количество исследований по тарифу 242,58 руб.</t>
  </si>
  <si>
    <t>количество исследований по тарифу 594,86 руб.</t>
  </si>
  <si>
    <t xml:space="preserve">ФГБОУ ВО БГМУ Минздрава России </t>
  </si>
  <si>
    <t>22132</t>
  </si>
  <si>
    <t>22112</t>
  </si>
  <si>
    <t>12001</t>
  </si>
  <si>
    <t>ГБУЗ РБ БСМП г. Уфа</t>
  </si>
  <si>
    <t>22125</t>
  </si>
  <si>
    <t>22127</t>
  </si>
  <si>
    <t>ГБУЗ РБ ГБ №2 г. Стерлитамак</t>
  </si>
  <si>
    <t>16002</t>
  </si>
  <si>
    <t>22126</t>
  </si>
  <si>
    <t>22100</t>
  </si>
  <si>
    <t>4005</t>
  </si>
  <si>
    <t>22102</t>
  </si>
  <si>
    <t>Всего</t>
  </si>
  <si>
    <t xml:space="preserve">Эндокринология </t>
  </si>
  <si>
    <t xml:space="preserve">Челюстно-лицевая хирургия </t>
  </si>
  <si>
    <t xml:space="preserve">Урология </t>
  </si>
  <si>
    <t xml:space="preserve">Травматология и ортопедия </t>
  </si>
  <si>
    <t xml:space="preserve">Торакальная хирургия </t>
  </si>
  <si>
    <t xml:space="preserve">Сердечно-сосудистая хирургия </t>
  </si>
  <si>
    <t xml:space="preserve">Ревматология </t>
  </si>
  <si>
    <t xml:space="preserve">Педиатрия </t>
  </si>
  <si>
    <t xml:space="preserve">Офтальмология </t>
  </si>
  <si>
    <t xml:space="preserve">Оториноларингология </t>
  </si>
  <si>
    <t xml:space="preserve">Онкология </t>
  </si>
  <si>
    <t xml:space="preserve">Неонатология </t>
  </si>
  <si>
    <t xml:space="preserve">Нейрохирургия </t>
  </si>
  <si>
    <t xml:space="preserve">Комбустиология </t>
  </si>
  <si>
    <t xml:space="preserve">Дерматовенерология </t>
  </si>
  <si>
    <t xml:space="preserve">Детская хирургия в период новорожденности </t>
  </si>
  <si>
    <t xml:space="preserve">Гематология </t>
  </si>
  <si>
    <t xml:space="preserve">Гастроэнтерология </t>
  </si>
  <si>
    <t xml:space="preserve">Акушерство и гинекология </t>
  </si>
  <si>
    <t xml:space="preserve">Абдоминальная хирургия </t>
  </si>
  <si>
    <t>ИТОГО с резервом</t>
  </si>
  <si>
    <t>ИТОГО без резерва</t>
  </si>
  <si>
    <t>ФГБОУ ВО БГМУ МЗ РФ</t>
  </si>
  <si>
    <t>ООО МД-Проект 2010</t>
  </si>
  <si>
    <t>ООО "Медсервис" г.Салават</t>
  </si>
  <si>
    <t>ГБУЗ РБ КБ №1 г. Стерлитамак</t>
  </si>
  <si>
    <t>ГБУЗ РБ ГБ Салават</t>
  </si>
  <si>
    <t>ГБУЗ РБ ГБ г.Нефтекакмск</t>
  </si>
  <si>
    <t>ГБУЗ ГБ г.Кумертау</t>
  </si>
  <si>
    <t>ГБУЗ РБ Месягутовская ЦРБ</t>
  </si>
  <si>
    <t>ГБУЗ РБ РД №3 г. Уфа</t>
  </si>
  <si>
    <t>ГАУЗ РБ ГКБ №18 г. Уфа</t>
  </si>
  <si>
    <t>ГБУЗ РБ ГДКБ № 17 г. Уфа</t>
  </si>
  <si>
    <t>ГБУЗ РБ ГБ №13 г. Уфа</t>
  </si>
  <si>
    <t>ГБУЗ РБ ГБ №10 г. Уфа</t>
  </si>
  <si>
    <t>ГБУ  "УфНИИ ГБ АН РБ"</t>
  </si>
  <si>
    <t>ФГБУ "ВЦГПХ" Минздрава России</t>
  </si>
  <si>
    <t>ГБУЗ РБ ГКБ №21 г. Уфа</t>
  </si>
  <si>
    <t>ГБУЗ РБ БСМП г.Уфа</t>
  </si>
  <si>
    <t>ГБУЗ РКГВВ</t>
  </si>
  <si>
    <t>ГАУЗ РКВД №1</t>
  </si>
  <si>
    <t>ГБУЗ РКПЦ МЗ РБ</t>
  </si>
  <si>
    <t>ГБУЗ РДКБ</t>
  </si>
  <si>
    <t>ГБУЗ РКЦ</t>
  </si>
  <si>
    <t>ГБУЗ РКБ им. Г.Г.Куватова</t>
  </si>
  <si>
    <t>Норматив финансовых затрат на единицу объема ВМП (руб.)</t>
  </si>
  <si>
    <t>№ группы ВМП</t>
  </si>
  <si>
    <t>Объем, перечень видов ВМП, финансовое обеспечение которых осуществляется за счет средств ОМС, установленные Комиссией на 2020 год</t>
  </si>
  <si>
    <t>Медицинская помощь за пределами РБ</t>
  </si>
  <si>
    <t>ФГБОУ ВО БГМУ Минздрава России</t>
  </si>
  <si>
    <t xml:space="preserve">Подуровень 3Г                                                                                                                                                                                </t>
  </si>
  <si>
    <t>ООО "МД Проект 2010" (г.Уфа)</t>
  </si>
  <si>
    <t xml:space="preserve">Подуровень 3В                                                                                                                                                        </t>
  </si>
  <si>
    <t>ГБУ "УфНИИ ГБ АН РБ"</t>
  </si>
  <si>
    <t xml:space="preserve">ГБУЗ РБ ГКБ №21 г.Уфа </t>
  </si>
  <si>
    <t>ГБУЗ РБ ГКБ №18 г.Уфа</t>
  </si>
  <si>
    <t>ГБУЗ РБ ГДКБ №17 г.Уфа</t>
  </si>
  <si>
    <t>ГБУЗ Республиканская клиническая инфекционная больница</t>
  </si>
  <si>
    <t>ГАУЗ РКОД  МЗ РБ</t>
  </si>
  <si>
    <t xml:space="preserve">Подуровень 3Б                                                                                                                                                                          </t>
  </si>
  <si>
    <t>ООО "Медсервис" (г.Салават)</t>
  </si>
  <si>
    <t>ГБУЗ РБ РД №3 г.Уфа</t>
  </si>
  <si>
    <t>ГБУЗ РБ ГКБ №13 г.Уфа</t>
  </si>
  <si>
    <t>ГБУЗ РБ ГКБ №10 г.Уфа</t>
  </si>
  <si>
    <t>ГБУЗ РБ ГКБ №1 г.Стерлитамак</t>
  </si>
  <si>
    <t>ГБУЗ РБ ГБ г.Салават</t>
  </si>
  <si>
    <t>ГБУЗ РБ ГБ г.Кумертау</t>
  </si>
  <si>
    <t xml:space="preserve">Подуровень 3А                                                                                                                                                   </t>
  </si>
  <si>
    <t>ЧУЗ "КБ"РЖД - Медицина" г.Уфа"</t>
  </si>
  <si>
    <t>ООО "ММЦ "Профилактическая медицина" (г.Уфа)</t>
  </si>
  <si>
    <t>ГБУЗ РБ Учалинская ЦГБ</t>
  </si>
  <si>
    <t>ГБУЗ РБ Туймазинская ЦРБ</t>
  </si>
  <si>
    <t>ГБУЗ РБ Городская больница №4 г.Стерлитамак</t>
  </si>
  <si>
    <t>ГБУЗ РБ Городская больница №2 г.Стерлитамак</t>
  </si>
  <si>
    <t>ГБУЗ РБ ЦГБ г.Сибай</t>
  </si>
  <si>
    <t>ГБУЗ РБ ГБ №1 г. Октябрьский</t>
  </si>
  <si>
    <t>ГБУЗ РБ Мелеузовская ЦРБ</t>
  </si>
  <si>
    <t>ГБУЗ РБ Ишимбайская ЦРБ</t>
  </si>
  <si>
    <t>ГБУЗ РБ Дюртюлинская ЦРБ</t>
  </si>
  <si>
    <t>ГБУЗ РБ ГКБ Дёмского района г.Уфы</t>
  </si>
  <si>
    <t>ГБУЗ РБ Бирская ЦРБ</t>
  </si>
  <si>
    <t>ГБУЗ РБ Белебеевская ЦРБ</t>
  </si>
  <si>
    <t>ГБУЗ РБ ГКБ №8 г.Уфа</t>
  </si>
  <si>
    <t xml:space="preserve">Подуровень 2Б                                                                                                                                                                                </t>
  </si>
  <si>
    <t>ФБУН "Уфимский НИИ медицины труда и экологии человека"</t>
  </si>
  <si>
    <t xml:space="preserve">ООО санаторий "Юматово" </t>
  </si>
  <si>
    <t>ООО "Санаторий "Зеленая роща" (г.Уфа)</t>
  </si>
  <si>
    <t>ООО "ЦМТ" (г.Уфа)</t>
  </si>
  <si>
    <t>ООО РКСР "Здоровье нации" (г.Уфа)</t>
  </si>
  <si>
    <t>ООО "Медицинский центр Семья" (г.Уфа)</t>
  </si>
  <si>
    <t>ООО "МЦ МЕГИ" (г.Уфа)</t>
  </si>
  <si>
    <t>ООО "ММЦ "Клиника аллергологии и педиатрии" (г.Уфа)</t>
  </si>
  <si>
    <t>ООО "Клиника глазных болезней" (г.Уфа)</t>
  </si>
  <si>
    <r>
      <t xml:space="preserve">Обособленное структурное подразделение </t>
    </r>
    <r>
      <rPr>
        <b/>
        <sz val="9"/>
        <rFont val="Times New Roman"/>
        <family val="1"/>
        <charset val="204"/>
      </rPr>
      <t>Родильный дом</t>
    </r>
    <r>
      <rPr>
        <sz val="9"/>
        <rFont val="Times New Roman"/>
        <family val="1"/>
        <charset val="204"/>
      </rPr>
      <t xml:space="preserve"> ГБУЗ РБ ГБ г.Салават</t>
    </r>
  </si>
  <si>
    <r>
      <t xml:space="preserve">Обособленное структурное подразделение ГБУЗ РБ ГБ города Салават, ранее именуемое </t>
    </r>
    <r>
      <rPr>
        <b/>
        <sz val="9"/>
        <rFont val="Times New Roman"/>
        <family val="1"/>
        <charset val="204"/>
      </rPr>
      <t>ГБУЗ РБ Детская ГБ города Салават</t>
    </r>
  </si>
  <si>
    <r>
      <t xml:space="preserve">Обособленное структурное подразделение ГБУЗ Республиканская клиническая инфекционная больница, ранее именуемого </t>
    </r>
    <r>
      <rPr>
        <b/>
        <sz val="9"/>
        <rFont val="Times New Roman"/>
        <family val="1"/>
        <charset val="204"/>
      </rPr>
      <t>ГБУЗ РБ Городская инфекционная больница г.Стерлитамак</t>
    </r>
  </si>
  <si>
    <t>ГБУЗ РБ Городская инфекционная больница г.Стерлитамак</t>
  </si>
  <si>
    <r>
      <t xml:space="preserve">Обособленное структурное подразделение ГБУЗ РБ ГКБ № 1 города Стерлитамак, ранее именуемого </t>
    </r>
    <r>
      <rPr>
        <b/>
        <sz val="9"/>
        <rFont val="Times New Roman"/>
        <family val="1"/>
        <charset val="204"/>
      </rPr>
      <t>ГБУЗ РБ Городская больница № 2 г.Стерлитамак</t>
    </r>
  </si>
  <si>
    <t>ГБУЗ РБ Городская больница №2 г.Стерлитамак (16008)</t>
  </si>
  <si>
    <t>ГБУЗ РБ Детская больница г.Стерлитамак</t>
  </si>
  <si>
    <t>ГБУЗ РБ ГКБ №5 г.Уфа</t>
  </si>
  <si>
    <t xml:space="preserve">Подуровень 2А                                                                                                                                                              </t>
  </si>
  <si>
    <t>ФГБУЗ "МСЧ №142 ФМБА"</t>
  </si>
  <si>
    <t xml:space="preserve">Подуровень 1Б                                                                                                                                                                </t>
  </si>
  <si>
    <t>ФКУЗ "МСЧ МВД России по Республике Башкортостан"</t>
  </si>
  <si>
    <r>
      <t xml:space="preserve">Обособленное структурное подразделение ГБУЗ РБ ГКБ №21 г.Уфа , ранее именуемое </t>
    </r>
    <r>
      <rPr>
        <b/>
        <sz val="9"/>
        <rFont val="Times New Roman"/>
        <family val="1"/>
        <charset val="204"/>
      </rPr>
      <t>ГБУЗ РБ Уфимская ЦРП</t>
    </r>
  </si>
  <si>
    <r>
      <t xml:space="preserve">Обособленное структурное подразделение ГБУЗ РБ Городская больница №2 города Стерлитамак ранее именуемое </t>
    </r>
    <r>
      <rPr>
        <b/>
        <sz val="9"/>
        <rFont val="Times New Roman"/>
        <family val="1"/>
        <charset val="204"/>
      </rPr>
      <t>ГБУЗ РБ Стерлитамакская ЦРП</t>
    </r>
  </si>
  <si>
    <r>
      <t xml:space="preserve">Обособленное структурное подразделение ГБУЗ РБ ГБ №4 города Стерлитамак ранее именуемое </t>
    </r>
    <r>
      <rPr>
        <b/>
        <sz val="9"/>
        <rFont val="Times New Roman"/>
        <family val="1"/>
        <charset val="204"/>
      </rPr>
      <t>ГБУЗ РБ Стерлитамакская ЦРП</t>
    </r>
  </si>
  <si>
    <r>
      <t xml:space="preserve">Обособленное структурное подразделение ГБУЗ РБ ЦГБ города Кумертау, ранее именуемое </t>
    </r>
    <r>
      <rPr>
        <b/>
        <sz val="9"/>
        <rFont val="Times New Roman"/>
        <family val="1"/>
        <charset val="204"/>
      </rPr>
      <t>ГБУЗ РБ Ермолаевская ЦРБ</t>
    </r>
  </si>
  <si>
    <r>
      <t xml:space="preserve">Обособленное структурное подразделение ГБУЗ РБ ГБ г.Нефтекамск, ранее именуемое </t>
    </r>
    <r>
      <rPr>
        <b/>
        <sz val="9"/>
        <rFont val="Times New Roman"/>
        <family val="1"/>
        <charset val="204"/>
      </rPr>
      <t>ГБУЗ РБ Агидельская ГБ</t>
    </r>
  </si>
  <si>
    <r>
      <t xml:space="preserve">Обособленное структурное подразделение ГБУЗ РБ ГКБ №13 г.Уфа , ранее именуемое </t>
    </r>
    <r>
      <rPr>
        <b/>
        <sz val="9"/>
        <rFont val="Times New Roman"/>
        <family val="1"/>
        <charset val="204"/>
      </rPr>
      <t>ГБУЗ РБ ГБ №12 г.Уфа</t>
    </r>
  </si>
  <si>
    <t>ГБУЗ РБ ГБ №12 г.Уфа</t>
  </si>
  <si>
    <t>ГБУЗ РБ ГБ №9 г.Уфа</t>
  </si>
  <si>
    <t>ГБУЗ РБ Янаульская ЦРБ</t>
  </si>
  <si>
    <t>ГБУЗ РБ Языковская ЦРБ</t>
  </si>
  <si>
    <t>ГБУЗ РБ Шаранская ЦРБ</t>
  </si>
  <si>
    <t>ГБУЗ РБ Чишминская ЦРБ</t>
  </si>
  <si>
    <t>ГБУЗ РБ Чекмагушевская ЦРБ</t>
  </si>
  <si>
    <t>ГБУЗ РБ Федоровская ЦРБ</t>
  </si>
  <si>
    <t>ГБУЗ РБ Толбазинская ЦРБ</t>
  </si>
  <si>
    <t>ГБУЗ РБ Стерлибашевская ЦРБ</t>
  </si>
  <si>
    <t>ГБУЗ РБ Раевская ЦРБ</t>
  </si>
  <si>
    <t>ГБУЗ РБ Нуримановская ЦРБ</t>
  </si>
  <si>
    <t>ГБУЗ РБ Мраковская ЦРБ</t>
  </si>
  <si>
    <t>ГБУЗ РБ Миякинская ЦРБ</t>
  </si>
  <si>
    <t>ГБУЗ РБ Мишкинская ЦРБ</t>
  </si>
  <si>
    <t>ГБУЗ РБ Малоязовская ЦРБ</t>
  </si>
  <si>
    <t>ГБУЗ РБ Кушнаренковская ЦРБ</t>
  </si>
  <si>
    <t>ГБУЗ РБ Красноусольская ЦРБ</t>
  </si>
  <si>
    <t>ГБУЗ РБ Краснокамская ЦРБ</t>
  </si>
  <si>
    <t>ГБУЗ РБ Кигинская ЦРБ</t>
  </si>
  <si>
    <t>ГБУЗ РБ Кармаскалинская ЦРБ</t>
  </si>
  <si>
    <t>ГБУЗ РБ Караидельская ЦРБ</t>
  </si>
  <si>
    <t>ГБУЗ РБ Калтасинская ЦРБ</t>
  </si>
  <si>
    <t>ГБУЗ РБ Исянгуловская ЦРБ</t>
  </si>
  <si>
    <t>ГБУЗ РБ Иглинская ЦРБ</t>
  </si>
  <si>
    <t>ГБУЗ РБ Зилаирская ЦРБ</t>
  </si>
  <si>
    <t>ГБУЗ РБ Ермекеевская ЦРБ</t>
  </si>
  <si>
    <t>ГБУЗ РБ Давлекановская ЦРБ</t>
  </si>
  <si>
    <t>ГБУЗ РБ Верхнеяркеевская ЦРБ</t>
  </si>
  <si>
    <t>ГБУЗ РБ Верхне-Татышлинская ЦРБ</t>
  </si>
  <si>
    <t>ГБУЗ РБ Бурзянская ЦРБ</t>
  </si>
  <si>
    <t>ГБУЗ РБ Бураевская ЦРБ</t>
  </si>
  <si>
    <t>ГБУЗ РБ Буздякская ЦРБ</t>
  </si>
  <si>
    <t>ГБУЗ РБ Большеустьикинская ЦРБ</t>
  </si>
  <si>
    <t>ГБУЗ РБ Благовещенская ЦРБ</t>
  </si>
  <si>
    <t>ГБУЗ РБ Бижбулякская ЦРБ</t>
  </si>
  <si>
    <t>ГБУЗ РБ Белокатайская ЦРБ</t>
  </si>
  <si>
    <t>ГБУЗ РБ Балтачевская ЦРБ</t>
  </si>
  <si>
    <t>ГБУЗ РБ Бакалинская ЦРБ</t>
  </si>
  <si>
    <t>ГБУЗ РБ Баймакская ЦГБ</t>
  </si>
  <si>
    <t>ГБУЗ РБ Аскинская ЦРБ</t>
  </si>
  <si>
    <t>ГБУЗ РБ Аскаровская ЦРБ</t>
  </si>
  <si>
    <t>ГБУЗ РБ Архангельская ЦРБ</t>
  </si>
  <si>
    <t>ГБУЗ РБ Акъярская ЦРБ</t>
  </si>
  <si>
    <t>ГБУЗ РБ КВД г.Стерлитамак</t>
  </si>
  <si>
    <t>ГБУЗ РБ КВД г.Салават</t>
  </si>
  <si>
    <t xml:space="preserve">Подуровень 1А                                                                                                                                                                    </t>
  </si>
  <si>
    <t>профиль "онкология"</t>
  </si>
  <si>
    <t>медицинская реабилитация</t>
  </si>
  <si>
    <t xml:space="preserve">в том числе </t>
  </si>
  <si>
    <t>ВМП</t>
  </si>
  <si>
    <t>Всего в рамках программы ОМС</t>
  </si>
  <si>
    <t>Случаи госпитализации</t>
  </si>
  <si>
    <t>№ п/п</t>
  </si>
  <si>
    <t>Медицинская помощь, оказываемая в круглосуточных стационарах на 2020 год.</t>
  </si>
  <si>
    <t>Объемы оказания медицинской помощи в условиях дневных стационаров на 2020 год.</t>
  </si>
  <si>
    <t>(случаи госпитализации)</t>
  </si>
  <si>
    <t>Наименование учреждения здравоохранения</t>
  </si>
  <si>
    <t>В том числе</t>
  </si>
  <si>
    <t>ВМП  профиль "онкология"</t>
  </si>
  <si>
    <t xml:space="preserve">В рамках базовой программы ОМС </t>
  </si>
  <si>
    <t>В рамках  сверхбазовой программы ОМС</t>
  </si>
  <si>
    <t>объем МП на лечение детей в ДС при АПУ не менее:</t>
  </si>
  <si>
    <t xml:space="preserve">ЭКО </t>
  </si>
  <si>
    <t>Онкология</t>
  </si>
  <si>
    <t>Медицинская реабилитация</t>
  </si>
  <si>
    <t>Иммуни-зация недоно-шенных</t>
  </si>
  <si>
    <t>гемо-диализ*</t>
  </si>
  <si>
    <t>взрослые</t>
  </si>
  <si>
    <t>дети</t>
  </si>
  <si>
    <t>14007</t>
  </si>
  <si>
    <t>16013</t>
  </si>
  <si>
    <t>16021</t>
  </si>
  <si>
    <t>ГАУЗ РБ Санаторий для детей Нур</t>
  </si>
  <si>
    <t>15001</t>
  </si>
  <si>
    <t>22004</t>
  </si>
  <si>
    <t>4001</t>
  </si>
  <si>
    <t>5004</t>
  </si>
  <si>
    <t>2001</t>
  </si>
  <si>
    <t>8004</t>
  </si>
  <si>
    <t>21003</t>
  </si>
  <si>
    <t>3002</t>
  </si>
  <si>
    <t>6005</t>
  </si>
  <si>
    <t>3005</t>
  </si>
  <si>
    <t>5001</t>
  </si>
  <si>
    <t>22002</t>
  </si>
  <si>
    <t>6002</t>
  </si>
  <si>
    <t>20002</t>
  </si>
  <si>
    <t>5005</t>
  </si>
  <si>
    <t>4002</t>
  </si>
  <si>
    <t>21002</t>
  </si>
  <si>
    <t>8002</t>
  </si>
  <si>
    <t>10001</t>
  </si>
  <si>
    <t>ГБУЗ РБ ГБ г.Нефтекамск</t>
  </si>
  <si>
    <t>14024</t>
  </si>
  <si>
    <t>16001</t>
  </si>
  <si>
    <t>ГБУЗ РБ КБ № 1 г.Стерлитамак</t>
  </si>
  <si>
    <t>16009</t>
  </si>
  <si>
    <t>Обособленное структурное подразделение ГБУЗ РБ ГКБ №1 г. Стерлитамак, ранее именуемое ГБУЗ РБ ГБ №2 г.Стерлитамак</t>
  </si>
  <si>
    <t>ГБУЗ РБ ГБ №2 г.Стерлитамак</t>
  </si>
  <si>
    <t>ГБУЗ РБ ГБ №2 г.Стерлитамак (реорганизованное)</t>
  </si>
  <si>
    <t>16003</t>
  </si>
  <si>
    <t>ГБУЗ РБ ГБ №4 г.Стерлитамак</t>
  </si>
  <si>
    <t>13003</t>
  </si>
  <si>
    <t>ГБУЗ РБ ГБ №1 г.Октябрьский</t>
  </si>
  <si>
    <t>16010</t>
  </si>
  <si>
    <t>ГБУЗ РБ ГИБ г.Стерлитамак</t>
  </si>
  <si>
    <t>16016</t>
  </si>
  <si>
    <t>ГБУЗ РБ ДБ г. Стерлитамак</t>
  </si>
  <si>
    <t>1002</t>
  </si>
  <si>
    <t>7001</t>
  </si>
  <si>
    <t>3006</t>
  </si>
  <si>
    <t>2002</t>
  </si>
  <si>
    <t>22001</t>
  </si>
  <si>
    <t>11005</t>
  </si>
  <si>
    <t>9001</t>
  </si>
  <si>
    <t>12006</t>
  </si>
  <si>
    <t>5003</t>
  </si>
  <si>
    <t>22005</t>
  </si>
  <si>
    <t>6004</t>
  </si>
  <si>
    <t>12005</t>
  </si>
  <si>
    <t>16005</t>
  </si>
  <si>
    <t>22008</t>
  </si>
  <si>
    <t>6003</t>
  </si>
  <si>
    <t>11004</t>
  </si>
  <si>
    <t>6001</t>
  </si>
  <si>
    <t>5002</t>
  </si>
  <si>
    <t>1001</t>
  </si>
  <si>
    <t>11002</t>
  </si>
  <si>
    <t>22003</t>
  </si>
  <si>
    <t>1003</t>
  </si>
  <si>
    <t>16006</t>
  </si>
  <si>
    <t>16007</t>
  </si>
  <si>
    <t>17001</t>
  </si>
  <si>
    <t>19001</t>
  </si>
  <si>
    <t>14005</t>
  </si>
  <si>
    <t>15002</t>
  </si>
  <si>
    <t>7002</t>
  </si>
  <si>
    <t>20001</t>
  </si>
  <si>
    <t>17006</t>
  </si>
  <si>
    <t>20003</t>
  </si>
  <si>
    <t>21004</t>
  </si>
  <si>
    <t>12008</t>
  </si>
  <si>
    <t>ОСП ГБУЗ РБ ГБ г.Нефтекамск, ранее именуемое ГБУЗ РБ Агидельская ГБ</t>
  </si>
  <si>
    <t>10002</t>
  </si>
  <si>
    <t>ОСП ГБУЗ РБ ЦГБ города Кумертау, ранее именуемое ГБУЗ РБ Ермолаевская ЦРБ</t>
  </si>
  <si>
    <t>14008</t>
  </si>
  <si>
    <t>ОСП ГБУЗ РБ ГБ города Салават, ранее именуемое ГБУЗ РБ Детская ГБ города Салават</t>
  </si>
  <si>
    <t>14009</t>
  </si>
  <si>
    <t>ОСП Родильный дом ГБУЗ РБ ГБ г.Салават</t>
  </si>
  <si>
    <t>16026</t>
  </si>
  <si>
    <t>ОСП ГБУЗ РБ ГБ №4 города Стерлитамак ранее именуемое ГБУЗ РБ Стерлитамакская ЦРП</t>
  </si>
  <si>
    <t>123</t>
  </si>
  <si>
    <t>ОСП ГБУЗ РБ ГКБ №21 г.Уфа , ранее именуемое ГБУЗ РБ Уфимская ЦРП</t>
  </si>
  <si>
    <t>169</t>
  </si>
  <si>
    <t>ООО «АНЭКО»</t>
  </si>
  <si>
    <t>235</t>
  </si>
  <si>
    <t>ООО Еромед-Уфа</t>
  </si>
  <si>
    <t>232</t>
  </si>
  <si>
    <t>ООО  "Клиника глазных болезней"</t>
  </si>
  <si>
    <t>241</t>
  </si>
  <si>
    <t>ООО "Клиника современной флебологии"</t>
  </si>
  <si>
    <t>914</t>
  </si>
  <si>
    <t xml:space="preserve">ООО "Лаборатория гемодиализа" </t>
  </si>
  <si>
    <t>14001</t>
  </si>
  <si>
    <t>ООО "Медсервис"</t>
  </si>
  <si>
    <t>17049</t>
  </si>
  <si>
    <t>ООО Медсервис (Верхнеяркеево)</t>
  </si>
  <si>
    <t>188</t>
  </si>
  <si>
    <t xml:space="preserve">ООО "МД Проект 2010" </t>
  </si>
  <si>
    <t>262</t>
  </si>
  <si>
    <t>ООО "ММЦ "Клиника аллергологии и педиатрии"</t>
  </si>
  <si>
    <t>172</t>
  </si>
  <si>
    <t>ООО «МЦ МЕГИ»</t>
  </si>
  <si>
    <t>16068</t>
  </si>
  <si>
    <t xml:space="preserve">ООО МЦ "Семейный доктор" </t>
  </si>
  <si>
    <t>257</t>
  </si>
  <si>
    <t>ООО РКСР Здоровье нации</t>
  </si>
  <si>
    <t>170</t>
  </si>
  <si>
    <t>ООО «ЦМТ»</t>
  </si>
  <si>
    <t>248</t>
  </si>
  <si>
    <t>ООО "Юхелф"</t>
  </si>
  <si>
    <t>171</t>
  </si>
  <si>
    <t>Поликлиника УФИЦ РАН</t>
  </si>
  <si>
    <t>4006</t>
  </si>
  <si>
    <t>ФГБУЗ "Медико-санитарная часть № 142 Федерального медико-биологического агентства"</t>
  </si>
  <si>
    <t>16004</t>
  </si>
  <si>
    <t>ЧУЗ "РЖД-Медицина" г.Стерлитамак"</t>
  </si>
  <si>
    <t>3591518</t>
  </si>
  <si>
    <t>111</t>
  </si>
  <si>
    <t>ГБУЗ РБ ДП № 2 г.Уфа</t>
  </si>
  <si>
    <t>110</t>
  </si>
  <si>
    <t>ГБУЗ РБ ДП № 3 г.Уфа</t>
  </si>
  <si>
    <t>70</t>
  </si>
  <si>
    <t>ГБУЗ РБ Детская поликлиника № 4</t>
  </si>
  <si>
    <t>112</t>
  </si>
  <si>
    <t>ГБУЗ РБ ДП № 5 г.Уфа</t>
  </si>
  <si>
    <t>113</t>
  </si>
  <si>
    <t>ГБУЗ РБ ДП № 6 г.Уфа</t>
  </si>
  <si>
    <t>71</t>
  </si>
  <si>
    <t>ГБУЗ РБ Поликлиника № 1 г Уфа</t>
  </si>
  <si>
    <t>83</t>
  </si>
  <si>
    <t>ГБУЗ РБ Поликлиника № 2 г.Уфа</t>
  </si>
  <si>
    <t>84</t>
  </si>
  <si>
    <t>ГБУЗ РБ Поликлиника № 32 г.Уфа</t>
  </si>
  <si>
    <t>88</t>
  </si>
  <si>
    <t>ГБУЗ РБ Поликлиника № 38 г.Уфа</t>
  </si>
  <si>
    <t>91</t>
  </si>
  <si>
    <t>ГБУЗ РБ Поликлиника № 43 г.Уфа</t>
  </si>
  <si>
    <t>92</t>
  </si>
  <si>
    <t>ГБУЗ РБ Поликлиника № 44 г.Уфа</t>
  </si>
  <si>
    <t>93</t>
  </si>
  <si>
    <t>ГБУЗ РБ Поликлиника № 46 г.Уфа</t>
  </si>
  <si>
    <t>95</t>
  </si>
  <si>
    <t>ГБУЗ РБ Поликлиника № 48 г.Уфа</t>
  </si>
  <si>
    <t>97</t>
  </si>
  <si>
    <t>ГБУЗ РБ Поликлиника № 50 г.Уфа</t>
  </si>
  <si>
    <t>98</t>
  </si>
  <si>
    <t>ГБУЗ РБ Поликлиника № 51 г.Уфа</t>
  </si>
  <si>
    <t>99</t>
  </si>
  <si>
    <t>ГБУЗ РБ Поликлиника № 52 г.Уфа</t>
  </si>
  <si>
    <t>94</t>
  </si>
  <si>
    <t>ГБУЗ РБ ГКБ Демского района г.Уфа</t>
  </si>
  <si>
    <t>35</t>
  </si>
  <si>
    <t>ГБУЗ РБ ГКБ № 5 г.Уфа</t>
  </si>
  <si>
    <t>18</t>
  </si>
  <si>
    <t>ГБУЗ РБ ГКБ № 8 г.Уфа</t>
  </si>
  <si>
    <t>42</t>
  </si>
  <si>
    <t>ГБУЗ РБ ГБ № 9 г.Уфа</t>
  </si>
  <si>
    <t>30</t>
  </si>
  <si>
    <t>ГБУЗ РБ ГКБ № 10 г.Уфа</t>
  </si>
  <si>
    <t>22</t>
  </si>
  <si>
    <t>ГБУЗ РБ ГБ № 12 г. Уфа</t>
  </si>
  <si>
    <t>178</t>
  </si>
  <si>
    <t>Обособленное структурное подразделение ГБУЗ РБ ГКБ №13 г.Уфа, ранее именуемое ГБУЗ РБ ГБ №12 г.Уфа</t>
  </si>
  <si>
    <t>23</t>
  </si>
  <si>
    <t>ГБУЗ РБ ГКБ № 13 г. Уфа</t>
  </si>
  <si>
    <t>12</t>
  </si>
  <si>
    <t>ГБУЗ РБ ГДКБ № 17 г.Уфа</t>
  </si>
  <si>
    <t>8</t>
  </si>
  <si>
    <t>ГБУЗ РБ ГКБ № 18 г.Уфа</t>
  </si>
  <si>
    <t>32</t>
  </si>
  <si>
    <t>ГБУЗ РБ РД № 3 г.Уфа</t>
  </si>
  <si>
    <t>28</t>
  </si>
  <si>
    <t>22113</t>
  </si>
  <si>
    <t>ГБУЗ РКОД МЗ РБ</t>
  </si>
  <si>
    <t>22103</t>
  </si>
  <si>
    <t>22109</t>
  </si>
  <si>
    <t>6</t>
  </si>
  <si>
    <t>22124</t>
  </si>
  <si>
    <t>ГБУЗ РВФД</t>
  </si>
  <si>
    <t>22120</t>
  </si>
  <si>
    <t>ГБУЗ РБ РКИБ</t>
  </si>
  <si>
    <t>176</t>
  </si>
  <si>
    <t>ООО "ПЭТ-Технолоджи", в том числе:</t>
  </si>
  <si>
    <t>количество случаев</t>
  </si>
  <si>
    <t>-операции без имплантации референсных маркеров</t>
  </si>
  <si>
    <t>-операции с имплантацией референсных маркеров</t>
  </si>
  <si>
    <t>22134</t>
  </si>
  <si>
    <t>ООО "Центр ПЭТ-Технолоджи", в том числе:</t>
  </si>
  <si>
    <t>265</t>
  </si>
  <si>
    <t>ООО "ММЦ Медикал Он Груп-Уфа"</t>
  </si>
  <si>
    <t>16103</t>
  </si>
  <si>
    <t>Обособленное структурное подразделение ГБУЗ РБ ГБ №2 города Стерлитамак (реорганизованное), ранее именуемое ГБУЗ РБ Стерлитамакская ЦРП</t>
  </si>
  <si>
    <t>22133</t>
  </si>
  <si>
    <t>Обособленное структурное подразделение ГБУЗ Республиканская клиническая инфекционная больница, ранее именуемое ГБУЗ РБ ГИБ г.Стерлитамак</t>
  </si>
  <si>
    <t>Итого</t>
  </si>
  <si>
    <t>Объемы сеансов (услуг) заместительной почечной терапии методами гемодиализа и перитонеального диализа на 2020 год</t>
  </si>
  <si>
    <t>Наименование МО</t>
  </si>
  <si>
    <t xml:space="preserve">Объемы 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</si>
  <si>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</si>
  <si>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</si>
  <si>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Медицинская помощь, оказываемая в амбулаторных условиях</t>
  </si>
  <si>
    <t>Круглосуточный стационар</t>
  </si>
  <si>
    <t xml:space="preserve"> В период госпитализации пациентов: </t>
  </si>
  <si>
    <t>Дневной стационар</t>
  </si>
  <si>
    <t>гемодиализ интермиттирующий высокопоточный (А18.05.002.001)</t>
  </si>
  <si>
    <t>перитонеальный диализ при нарушении ультрафильтации  (А18.30.001.003)</t>
  </si>
  <si>
    <t xml:space="preserve">Услуги диализа, оказываемые в отделениях фильтрации </t>
  </si>
  <si>
    <t>гемодиализ интермиттирующий низкопоточный (А18.05.002,
А18.05.002.002)</t>
  </si>
  <si>
    <t>гемодиафильтрация (А18.05.011)</t>
  </si>
  <si>
    <t>гемофильтрация крови продленная (А18.05.003.001)</t>
  </si>
  <si>
    <t>селективная гемосорбция липополисахаридов (А18.05.006.001)</t>
  </si>
  <si>
    <t>ООО "Лаборатория Гемодиализа"</t>
  </si>
  <si>
    <t>161</t>
  </si>
  <si>
    <t>ООО "Экома"</t>
  </si>
  <si>
    <t>251</t>
  </si>
  <si>
    <t>ООО "МЦ "Агидель""</t>
  </si>
  <si>
    <t>165</t>
  </si>
  <si>
    <t>ООО "Сфера Эстейт"</t>
  </si>
  <si>
    <t xml:space="preserve">ООО "ДиаЛайф" </t>
  </si>
  <si>
    <t xml:space="preserve">ГБУЗ РБ ГКБ № 21 г.Уфа </t>
  </si>
  <si>
    <t xml:space="preserve">ГБУЗ РБ ГБ г. Нефтекамск </t>
  </si>
  <si>
    <t>ГБУЗ РКИБ</t>
  </si>
  <si>
    <t>Прирост регистра пациентов (на 10%)</t>
  </si>
  <si>
    <t>ИТОГО с учетом прироста регистра пациентов на 10%</t>
  </si>
  <si>
    <t>50</t>
  </si>
  <si>
    <t>16008</t>
  </si>
  <si>
    <t>157</t>
  </si>
  <si>
    <t>911</t>
  </si>
  <si>
    <t>233</t>
  </si>
  <si>
    <t>22107</t>
  </si>
  <si>
    <t>199</t>
  </si>
  <si>
    <t>22131</t>
  </si>
  <si>
    <t>Скорая медицинская помощь на 2020 год</t>
  </si>
  <si>
    <t>Наименование медицинских организаций</t>
  </si>
  <si>
    <t>Протокол № 118 от 28.08.2020</t>
  </si>
  <si>
    <t>в т.ч. Тромболитики</t>
  </si>
  <si>
    <t>Объемы скорой медицинской помощи в рамках базовой программы ОМС по состоянию на 01.08.2020</t>
  </si>
  <si>
    <t>из них с применением тромболи-тических препаратов</t>
  </si>
  <si>
    <t xml:space="preserve">Врачебные </t>
  </si>
  <si>
    <t>Специализи-рованные</t>
  </si>
  <si>
    <t>ВСЕГО</t>
  </si>
  <si>
    <t>Фельдшерские</t>
  </si>
  <si>
    <t>ГАУЗ РБ Учалинская ЦГБ</t>
  </si>
  <si>
    <t>ГБУЗ РБ Большеустикинская ЦРБ</t>
  </si>
  <si>
    <t>ГБУЗ РБ ГБ № 1 города Октябрьский</t>
  </si>
  <si>
    <t>ГБУЗ РБ ГБ г. Кумертау (без обособленного структурного подразделения, реорганизованного в соответствии с распоряжением Правительства Республики Башкортостан от 31.10.2014 № 1157-р, ранее именуемое ГБУЗ РБ Ермолаевская ЦРБ)</t>
  </si>
  <si>
    <t>Обособленное структурное подразделение ГБУЗ РБ ГБ г. Кумертау, реорганизованное в соответствии с распоряжением Правительства Республики Башкортостан от 31.10.2014 № 1157-р, ранее именуемое ГБУЗ РБ Ермолаевская ЦРБ</t>
  </si>
  <si>
    <t>ГБУЗ РБ ГБ города Нефтекамск</t>
  </si>
  <si>
    <t>ГБУЗ РБ ГБ города Салават</t>
  </si>
  <si>
    <t>ГБУЗ РБ ССМП г.Стерлитамак</t>
  </si>
  <si>
    <t>ГБУЗ РБ ЦГБ города Сибай</t>
  </si>
  <si>
    <t>ГБУЗ РБ Чекмагушевкая ЦРБ</t>
  </si>
  <si>
    <t>ГБУЗ  РССМП и ЦМК</t>
  </si>
  <si>
    <t>ФГУЗ "МСЧ № 142 ФМБА" России</t>
  </si>
  <si>
    <t>Объемы медицинской помощи за пределами РБ</t>
  </si>
  <si>
    <t xml:space="preserve">ИТОГО </t>
  </si>
  <si>
    <t xml:space="preserve">Объемы отдельных диагностических исследований, оказываемых в амбулаторно-поликлинических условиях, на 2020 год.                                                                                                                                                 </t>
  </si>
  <si>
    <t>Компьютерная томография</t>
  </si>
  <si>
    <t>Магнитно-резонансная томография</t>
  </si>
  <si>
    <t>без К для АЦКТ</t>
  </si>
  <si>
    <t>без К</t>
  </si>
  <si>
    <t>с К</t>
  </si>
  <si>
    <t>с К  и исп. АИ</t>
  </si>
  <si>
    <t>ГБУЗ РБ ГБ № 1 г.Октябрьский</t>
  </si>
  <si>
    <t>181</t>
  </si>
  <si>
    <t>ООО "Клиника Эксперт Уфа"</t>
  </si>
  <si>
    <t>915</t>
  </si>
  <si>
    <t xml:space="preserve">ООО  "ЛДЦ МИБС-Уфа"                                                                                           </t>
  </si>
  <si>
    <t>ООО "Медсервис" (г. Салават)</t>
  </si>
  <si>
    <t>15036</t>
  </si>
  <si>
    <t xml:space="preserve">ООО "МедТех"      </t>
  </si>
  <si>
    <t>ООО "МД Проект 2010""</t>
  </si>
  <si>
    <t>ООО МЦ МЕГИ</t>
  </si>
  <si>
    <t>ООО ММЦ Профилактическая медицина</t>
  </si>
  <si>
    <t>ЧУЗ «КБ «РЖД - Медицина» г. Уфа»</t>
  </si>
  <si>
    <t>ГБУЗ РБ Поликлиника№32 г.Уфа</t>
  </si>
  <si>
    <t>ГБУЗ РБ Поликлиника №46 г.Уфа</t>
  </si>
  <si>
    <t>ГБУЗ РБ ГКБ Демского района г. Уфа</t>
  </si>
  <si>
    <t xml:space="preserve">ГБУЗ РБ ГДКБ №17 г.Уфа </t>
  </si>
  <si>
    <t>ГБУЗ "РКПЦ" МЗ РБ</t>
  </si>
  <si>
    <t xml:space="preserve">Объемы отдельных диагностических исследований, оказываемых в амбулаторно-поликлинических условиях, на 2020 год.                                                                                                                           </t>
  </si>
  <si>
    <t>Эндоскопические диагностические исследования</t>
  </si>
  <si>
    <t>Гистологические исследования</t>
  </si>
  <si>
    <t>Молекулярно-генетические исследования</t>
  </si>
  <si>
    <t>Бронхо-скопия</t>
  </si>
  <si>
    <t>Гастро-скопия</t>
  </si>
  <si>
    <t>План в рамках Приказа 364-Д от 28.02.2020г</t>
  </si>
  <si>
    <t>План в рамках Приказа 2269-Д от 19.12.2019 (2 этап скрининга колоректального рака)</t>
  </si>
  <si>
    <t>Колоно-скопия всего</t>
  </si>
  <si>
    <t>2 категория</t>
  </si>
  <si>
    <t>3 категория</t>
  </si>
  <si>
    <t>4 категория</t>
  </si>
  <si>
    <t>5 категория</t>
  </si>
  <si>
    <t>Молекулярно-генетические исследования мутаций в гене EGFR в биопсийном (операционном) материале</t>
  </si>
  <si>
    <t>Молекулярно-генетические исследования мутаций в гене BRAF в биопсийном (операционном) материале</t>
  </si>
  <si>
    <t>Молекулярно-генетические исследования мутаций в гене KRAS в биопсийном (операционном) материале</t>
  </si>
  <si>
    <t>Молекулярно-генетические исследования мутаций в гене NRAS в биопсийном (операционном) материале</t>
  </si>
  <si>
    <t>Молекулярно-генетические исследования мутаций в гене BRCA1/2 в биопсийном (операционном) материале</t>
  </si>
  <si>
    <t>Исследования с применением молекулярно-генетических методов in situ гибридизации FISH</t>
  </si>
  <si>
    <t>Иные**( молекулярно-генетические исследования мутаций в гене MSI, IDH 1/ 2, TP53, MGMT (метил-е), MLH1 (метил-е), стандартные кариотипирование  костного мозга)</t>
  </si>
  <si>
    <t>Колоноскопия</t>
  </si>
  <si>
    <t>Колоно-скопия</t>
  </si>
  <si>
    <t xml:space="preserve">Колоно-скопия с наркозом </t>
  </si>
  <si>
    <t xml:space="preserve">Колоно-скопия с полип-эктомией </t>
  </si>
  <si>
    <t>ГБУЗ РБ Учалинская ЦРБ</t>
  </si>
  <si>
    <t>ГБУЗ РБ ГБ № 2 г. Стерлитамак</t>
  </si>
  <si>
    <t xml:space="preserve">ГБУЗ РБ ГБ № 4 г. Стерлитамак </t>
  </si>
  <si>
    <t>ГБУЗ РБ Детская больница г. Стерлитамак</t>
  </si>
  <si>
    <t>ФГБУЗ МСЧ № 142 ФМБА</t>
  </si>
  <si>
    <t>ФГБУЗ РБ "Поликлиника Уфимского НЦ РАН"</t>
  </si>
  <si>
    <t>ЧУЗ «РЖД- Медицина» г.Стерлитамак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</si>
  <si>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</si>
  <si>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</si>
  <si>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</si>
  <si>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>ГБУЗ РБ Детская поликлиника № 5 г. Уфа</t>
  </si>
  <si>
    <t>ГБУЗ РБ Детская поликлиника № 6 г. Уфа</t>
  </si>
  <si>
    <t>ГБУЗ РБ Поликлиника № 1 г. Уфа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</si>
  <si>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</si>
  <si>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</si>
  <si>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</si>
  <si>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</si>
  <si>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</si>
  <si>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</si>
  <si>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</si>
  <si>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</si>
  <si>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</si>
  <si>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</si>
  <si>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 xml:space="preserve">ГБУЗ РБ ГКБ № 5 г. Уфа </t>
  </si>
  <si>
    <t>ГБУЗ РБ ГБ № 9 г. Уфа</t>
  </si>
  <si>
    <t>ГБУЗ РБ ГКБ № 10 г. Уфа</t>
  </si>
  <si>
    <t>ГБУЗ РБ ГКБ № 12 г. Уфа</t>
  </si>
  <si>
    <t>ГАУЗ РКОД РБ</t>
  </si>
  <si>
    <t>Объемы обращений в связи с заболеваниями на 2020 год в рамках базовой Программы ОМС</t>
  </si>
  <si>
    <t xml:space="preserve">Обращения </t>
  </si>
  <si>
    <t>в том числе:</t>
  </si>
  <si>
    <t>ММОЦ</t>
  </si>
  <si>
    <t>ЦАОП</t>
  </si>
  <si>
    <t>Обращения МО, не имеющих прикрепленное население</t>
  </si>
  <si>
    <t>Обращения для целей учета процедур гемодиализа</t>
  </si>
  <si>
    <t>Объемы обращений по заболеваниям на долечивание в травматологических пунктах</t>
  </si>
  <si>
    <t>Обращения МО, имеющие прикрепленное население</t>
  </si>
  <si>
    <t>финансируемые по реестрам</t>
  </si>
  <si>
    <t>финансируемые по подушевому принципу</t>
  </si>
  <si>
    <t>5033</t>
  </si>
  <si>
    <t>ГБУЗ РБ Бирская стоматологическая поликлиника</t>
  </si>
  <si>
    <t>7003</t>
  </si>
  <si>
    <t>ГАУЗ РБ СП Дюртюлинского района</t>
  </si>
  <si>
    <t>Обособленное структурное подразделение ГБУЗ РБ ГБ г.Нефтекамск, ранее именуемое ГБУЗ РБ Агидельская ГБ</t>
  </si>
  <si>
    <t>12054</t>
  </si>
  <si>
    <t>ООО "Ваша стоматология" (г.Нефтекамск)</t>
  </si>
  <si>
    <t>12055</t>
  </si>
  <si>
    <t>ООО "ВИП" (г.Нефтекамск)</t>
  </si>
  <si>
    <t>12060</t>
  </si>
  <si>
    <t>ООО "Дента" (г.Нефтекамск)</t>
  </si>
  <si>
    <t>12053</t>
  </si>
  <si>
    <t>ООО "Корона+" (г.Нефтекамск)</t>
  </si>
  <si>
    <t>12072</t>
  </si>
  <si>
    <t>ООО "Корона" (г.Нефтекамск)</t>
  </si>
  <si>
    <t>12059</t>
  </si>
  <si>
    <t>ООО "СтомЭл" (г.Нефтекамс)</t>
  </si>
  <si>
    <t>12057</t>
  </si>
  <si>
    <t>ООО "ЭнжеДент" (г.Нефтекамс)</t>
  </si>
  <si>
    <t>12061</t>
  </si>
  <si>
    <t>ООО "Дантист+" (г.Нефтекамск)</t>
  </si>
  <si>
    <t>ООО МЦ "СЕМЕЙНЫЙ ДОКТОР" (г.Бирск)</t>
  </si>
  <si>
    <t>15013</t>
  </si>
  <si>
    <t>ГАУЗ РБ Стоматологическая поликлиника г.Сибай</t>
  </si>
  <si>
    <t>ФГБУЗ МСЧ №142 ФМБА России</t>
  </si>
  <si>
    <t xml:space="preserve">Обособленное структурное подразделение ГБУЗ РБ ГКБ №1 города Стерлитамак, ранее именуемое ГБУЗ РБ ГБ №2 </t>
  </si>
  <si>
    <t>ГБУЗ РБ Городская больница №2 г.Стерлитамак (код 16008)</t>
  </si>
  <si>
    <t xml:space="preserve">ГБУЗ РБ Городская больница №2 г.Стерлитамак </t>
  </si>
  <si>
    <t>Обособленное структурное подразделение ГБУЗ РБ ГБ №4 города Стерлитамак ранее именуемое ГБУЗ РБ Стерлитамакская ЦРП</t>
  </si>
  <si>
    <t>Обособленное структурное подразделение ГБУЗ РБ ГБ № 2 города Стерлитамак (реорганизованное в соответствии с распоряжением Правительства РБ от 21.10.2019 № 1170-р, ранее именуемое ГБУЗ РБ Стерлитамакская ЦРБ)</t>
  </si>
  <si>
    <t>16036</t>
  </si>
  <si>
    <t>ГБУЗ РБ Стоматологическая поликлиника г.Стерлитамак</t>
  </si>
  <si>
    <t>Обособленное структурное подразделение ГБУЗ РБ ГБ города Салават, ранее именуемое ГБУЗ РБ Детская ГБ города Салават</t>
  </si>
  <si>
    <t>Обособленное структурное подразделение Родильный дом ГБУЗ РБ ГБ г.Салават</t>
  </si>
  <si>
    <t>14018</t>
  </si>
  <si>
    <t>ГБУЗ РБ Стоматологическая поликлиника г.Салават</t>
  </si>
  <si>
    <t>Обособленное структурное подразделение ГБУЗ РБ ЦГБ города Кумертау, ранее именуемое ГБУЗ РБ Ермолаевская ЦРБ</t>
  </si>
  <si>
    <t>ЧУЗ "РЖД-МЕДИЦИНА" Г.СТЕРЛИТАМАК"</t>
  </si>
  <si>
    <t>13007</t>
  </si>
  <si>
    <t>ГБУЗ РБ Стоматологическая поликлиника г. Октябрьский</t>
  </si>
  <si>
    <t>1006</t>
  </si>
  <si>
    <t>ООО "Академия здоровья" (с.Киргиз-Мияки)</t>
  </si>
  <si>
    <t>3004</t>
  </si>
  <si>
    <t>ООО "Дентал Стандарт" (с.Бижбуляк)</t>
  </si>
  <si>
    <t>ООО "Медсервис" (с.Верхнеяркеево)</t>
  </si>
  <si>
    <t>1004</t>
  </si>
  <si>
    <t>ООО "Радуга" (с.Киргиз-Мияки)</t>
  </si>
  <si>
    <t>1005</t>
  </si>
  <si>
    <t>ООО "Центр здоровья и красоты" (с.Киргиз-Мияки)</t>
  </si>
  <si>
    <t>3174</t>
  </si>
  <si>
    <t>ООО "Экодент" (г.Белебей)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</si>
  <si>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</si>
  <si>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</si>
  <si>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</si>
  <si>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</si>
  <si>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</si>
  <si>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114</t>
  </si>
  <si>
    <t>ГАУЗ РБ Детская стоматологическая поликлиника №3 г.Уфа</t>
  </si>
  <si>
    <t>115</t>
  </si>
  <si>
    <t>ГБУЗ РБ Детская стоматологическая поликлиника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</si>
  <si>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</si>
  <si>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</si>
  <si>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</si>
  <si>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</si>
  <si>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</si>
  <si>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</si>
  <si>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№48 г.Уфа</t>
  </si>
  <si>
    <t>ГБУЗ РБ Поликлиника №50 г.Уфа</t>
  </si>
  <si>
    <t>ГБУЗ РБ Поликлиника №51 г.Уфа</t>
  </si>
  <si>
    <t>ГБУЗ РБ Поликлиника №52 г.Уфа</t>
  </si>
  <si>
    <t>104</t>
  </si>
  <si>
    <t>ГБУЗ РБ Стоматологическая поликлиника №1 г.Уфа</t>
  </si>
  <si>
    <t>105</t>
  </si>
  <si>
    <t>ГБУЗ РБ Стоматологическая поликлиника №2 г.Уфа</t>
  </si>
  <si>
    <t>106</t>
  </si>
  <si>
    <t>ГБУЗ РБ Стоматологическая поликлиника №4 г.Уфа</t>
  </si>
  <si>
    <t>107</t>
  </si>
  <si>
    <t>ГБУЗ РБ Стоматологическая поликлиника №5 г.Уфа</t>
  </si>
  <si>
    <t>108</t>
  </si>
  <si>
    <t>ГБУЗ РБ Стоматологическая поликлиника №6 г.Уфа</t>
  </si>
  <si>
    <t>116</t>
  </si>
  <si>
    <t>ГБУЗ РБ Стоматологическая поликлиника №8 г.Уфа</t>
  </si>
  <si>
    <t>131</t>
  </si>
  <si>
    <t>ГБУЗ РБ Стоматологическая поликлиника №9 г.Уфа</t>
  </si>
  <si>
    <t>ГБУЗ РБ ГКБ Дёмского района г.Уфа</t>
  </si>
  <si>
    <t>29</t>
  </si>
  <si>
    <t>ФГБОУ ВО БГМУ Минздрава России (стоматология)</t>
  </si>
  <si>
    <t>УФИЦ РАН</t>
  </si>
  <si>
    <t>ЧУЗ "КБ "РЖД-МЕДИЦИНА" Г.УФА"</t>
  </si>
  <si>
    <t>ООО "Центр здоровья и красоты" (с.Буздяк)</t>
  </si>
  <si>
    <t>ООО "Витадент Космо" (г.Уфа)</t>
  </si>
  <si>
    <t>22060</t>
  </si>
  <si>
    <t>ООО "Дантист" (г.Благовещенск)</t>
  </si>
  <si>
    <t>ООО "Евромед-Уфа" (г.Уфа)</t>
  </si>
  <si>
    <t>ООО "Лаборатория гемодиализа" (г.Уфа)</t>
  </si>
  <si>
    <t>191</t>
  </si>
  <si>
    <t>ООО "Медхелп" (г.Уфа)</t>
  </si>
  <si>
    <t>ООО "Сфера-Эстейт" (г.Уфа)</t>
  </si>
  <si>
    <t>ООО "Бомонд" (г.Уфа)</t>
  </si>
  <si>
    <t>ООО "Клиника современной флебологии" (г. Уфа)</t>
  </si>
  <si>
    <t>ООО "Экома" (г.Уфа)</t>
  </si>
  <si>
    <t>ООО "Эмидент Люкс" (г.Уфа, ул.Айская)</t>
  </si>
  <si>
    <t>ООО "Эмидент Люкс" (г.Уфа, ул.Революционная, 99)</t>
  </si>
  <si>
    <t>ООО "Эмидент Люкс" (г.Уфа, ул.Революционная, 57)</t>
  </si>
  <si>
    <t>Обособленное структурное подразделение ГБУЗ РБ ГКБ № 21 г. Уфа ранее именуемое ГБУЗ РБ Уфимская ЦРП</t>
  </si>
  <si>
    <t>22122</t>
  </si>
  <si>
    <t>АУЗ РСП</t>
  </si>
  <si>
    <t>16027</t>
  </si>
  <si>
    <t>ООО "ММОЦ" г.Стерлитамак</t>
  </si>
  <si>
    <t>Объемы медицинской помощи в амбулаторно-поликлинических условиях
 в неотложной форме на 2020 год</t>
  </si>
  <si>
    <t>Объемы всего на 2020 год</t>
  </si>
  <si>
    <t>План январь - март 2020 г.</t>
  </si>
  <si>
    <t>План апрель - декабрь 2020 г.</t>
  </si>
  <si>
    <t>Реестровый номер</t>
  </si>
  <si>
    <t>уровень</t>
  </si>
  <si>
    <t xml:space="preserve">Объемы всего </t>
  </si>
  <si>
    <t xml:space="preserve">в том числе:          </t>
  </si>
  <si>
    <t>Объемы всего</t>
  </si>
  <si>
    <t xml:space="preserve">в том числе:                                   </t>
  </si>
  <si>
    <t>посещения, финансируемые по реестрм</t>
  </si>
  <si>
    <t>объемы на травмпункты</t>
  </si>
  <si>
    <t>посещения финансируемые по реестрам</t>
  </si>
  <si>
    <t>посещения МО, имеющие прикрепленное население</t>
  </si>
  <si>
    <t>посещения МО, имеющие прикрепленное население по специальности "стоматология"</t>
  </si>
  <si>
    <t>приемное отделение
(для МО г. Уфы)</t>
  </si>
  <si>
    <t>посещения МО, не имеющих прикрепленное население</t>
  </si>
  <si>
    <t>финансируемые по реестрам по специальности "стоматология"</t>
  </si>
  <si>
    <t>по профилю "травматология и ортопедия"</t>
  </si>
  <si>
    <t>по профилю
"офтальмология"</t>
  </si>
  <si>
    <t>024001</t>
  </si>
  <si>
    <t>1А</t>
  </si>
  <si>
    <t>021003</t>
  </si>
  <si>
    <t>022204</t>
  </si>
  <si>
    <t>025004</t>
  </si>
  <si>
    <t>021607</t>
  </si>
  <si>
    <t>022001</t>
  </si>
  <si>
    <t>028004</t>
  </si>
  <si>
    <t>022103</t>
  </si>
  <si>
    <t>023002</t>
  </si>
  <si>
    <t>2Б</t>
  </si>
  <si>
    <t>026005</t>
  </si>
  <si>
    <t>024005</t>
  </si>
  <si>
    <t>2А</t>
  </si>
  <si>
    <t>023005</t>
  </si>
  <si>
    <t>ООО "Академия здоровья" с. Киргиз-Мияки</t>
  </si>
  <si>
    <t xml:space="preserve">ООО "Дентал Стандарт " с. Бижбуляк </t>
  </si>
  <si>
    <t>025001</t>
  </si>
  <si>
    <t>025033</t>
  </si>
  <si>
    <t>ГБУЗ РБ Бирская СП</t>
  </si>
  <si>
    <t>022003</t>
  </si>
  <si>
    <t>022202</t>
  </si>
  <si>
    <t>022060</t>
  </si>
  <si>
    <t xml:space="preserve">ООО Дантист, г. Благовещенск    </t>
  </si>
  <si>
    <t>022002</t>
  </si>
  <si>
    <t>025005</t>
  </si>
  <si>
    <t>024002</t>
  </si>
  <si>
    <t>021605</t>
  </si>
  <si>
    <t>021002</t>
  </si>
  <si>
    <t>026001</t>
  </si>
  <si>
    <t>3А</t>
  </si>
  <si>
    <t>027001</t>
  </si>
  <si>
    <t>027003</t>
  </si>
  <si>
    <t>023006</t>
  </si>
  <si>
    <t>021105</t>
  </si>
  <si>
    <t>022012</t>
  </si>
  <si>
    <t>022201</t>
  </si>
  <si>
    <t>028002</t>
  </si>
  <si>
    <t>029001</t>
  </si>
  <si>
    <t>021206</t>
  </si>
  <si>
    <t>025003</t>
  </si>
  <si>
    <t>022205</t>
  </si>
  <si>
    <t>026004</t>
  </si>
  <si>
    <t>021205</t>
  </si>
  <si>
    <t>021102</t>
  </si>
  <si>
    <t>022208</t>
  </si>
  <si>
    <t>021111</t>
  </si>
  <si>
    <t>ГБУЗ РБ ГБ г.Кумертау - Ермолаевская ЦРБ</t>
  </si>
  <si>
    <t>021104</t>
  </si>
  <si>
    <t>026002</t>
  </si>
  <si>
    <t>025002</t>
  </si>
  <si>
    <t>021001</t>
  </si>
  <si>
    <t xml:space="preserve">ООО "Радуга"  с.Киргиз-Мияки                                             </t>
  </si>
  <si>
    <t>022203</t>
  </si>
  <si>
    <t>026003</t>
  </si>
  <si>
    <t>021606</t>
  </si>
  <si>
    <t>021603</t>
  </si>
  <si>
    <t>ГБУЗ РБ ГБ №4 г.Стерлитамак - Стерлитамакская ЦРП</t>
  </si>
  <si>
    <t>ГБУЗ РБ ГБ №2 г.Стерлитамак - Стерлитамакская ЦРП</t>
  </si>
  <si>
    <t>022102</t>
  </si>
  <si>
    <t>021701</t>
  </si>
  <si>
    <t>022720</t>
  </si>
  <si>
    <t>ГБУЗ РБ ГКБ №21 г.Уфа - Уфимская ЦРП</t>
  </si>
  <si>
    <t>021901</t>
  </si>
  <si>
    <t>021405</t>
  </si>
  <si>
    <t>021501</t>
  </si>
  <si>
    <t>027002</t>
  </si>
  <si>
    <t>022000</t>
  </si>
  <si>
    <t>021706</t>
  </si>
  <si>
    <t>022104</t>
  </si>
  <si>
    <t>024006</t>
  </si>
  <si>
    <t>1Б</t>
  </si>
  <si>
    <t>021201</t>
  </si>
  <si>
    <t>021254</t>
  </si>
  <si>
    <t>ООО Ваша стоматология, 
г. Нефтекамск</t>
  </si>
  <si>
    <t>021256</t>
  </si>
  <si>
    <t>ООО ВИП, г. Нефтекамск</t>
  </si>
  <si>
    <t>021266</t>
  </si>
  <si>
    <t>ООО СтомЭл г. Нефтекамск</t>
  </si>
  <si>
    <t>ООО Корона,  г. Нефтекамск</t>
  </si>
  <si>
    <t>021253</t>
  </si>
  <si>
    <t>ООО Корона+,  г. Нефтекамск</t>
  </si>
  <si>
    <t>ООО Дантист+,  г. Нефтекамск</t>
  </si>
  <si>
    <t>ГБУЗ РБ ГБ г.Нефтекамск - Агидельская ГБ</t>
  </si>
  <si>
    <t>021303</t>
  </si>
  <si>
    <t>021307</t>
  </si>
  <si>
    <t>ГБУЗ РБ Стоматологическая поликлиника г.Октябрьский</t>
  </si>
  <si>
    <t>021502</t>
  </si>
  <si>
    <t>021513</t>
  </si>
  <si>
    <t>021401</t>
  </si>
  <si>
    <t>ООО Медсервис, г. Салават</t>
  </si>
  <si>
    <t>021424</t>
  </si>
  <si>
    <t>021418</t>
  </si>
  <si>
    <t>ГБУЗ РБ ГБ г.Салават - ДБ г.Салават</t>
  </si>
  <si>
    <t>021602</t>
  </si>
  <si>
    <t>021608</t>
  </si>
  <si>
    <t>ГБУЗ РБ Городская больница №2 г.Стерлитамак (закрыто)</t>
  </si>
  <si>
    <t>021601</t>
  </si>
  <si>
    <t xml:space="preserve">Обособленное структурное подразделение ГБУЗ РБ ГКБ №1 г. Стерлитамак, ранее именуемое ГБУЗ РБ ГБ №2 г.Стерлитамак </t>
  </si>
  <si>
    <t>021616</t>
  </si>
  <si>
    <t>ГБУЗ РБ ДБ г.Стерлитамак</t>
  </si>
  <si>
    <t>021636</t>
  </si>
  <si>
    <t>ГБУЗ РБ СП г.Стерлитамак</t>
  </si>
  <si>
    <t>021604</t>
  </si>
  <si>
    <t>027100</t>
  </si>
  <si>
    <t>028300</t>
  </si>
  <si>
    <t>028400</t>
  </si>
  <si>
    <t>028800</t>
  </si>
  <si>
    <t>029100</t>
  </si>
  <si>
    <t>029200</t>
  </si>
  <si>
    <t>029300</t>
  </si>
  <si>
    <t>021210</t>
  </si>
  <si>
    <t>ГБУЗ РБ ГКБ Демского района г.Уфы</t>
  </si>
  <si>
    <t>029500</t>
  </si>
  <si>
    <t>029700</t>
  </si>
  <si>
    <t>029800</t>
  </si>
  <si>
    <t>029900</t>
  </si>
  <si>
    <t>024200</t>
  </si>
  <si>
    <t>021800</t>
  </si>
  <si>
    <t>023000</t>
  </si>
  <si>
    <t>022200</t>
  </si>
  <si>
    <t>Обособленное структурное подразделение ГБУЗ РБ ГКБ №13 г.Уфа ранее именуемое ГБУЗ РБ ГБ №12 г.Уфа</t>
  </si>
  <si>
    <t>022300</t>
  </si>
  <si>
    <t>028000</t>
  </si>
  <si>
    <t>3Б</t>
  </si>
  <si>
    <t>ГАУЗ РБ ГКБ №18 г.Уфа</t>
  </si>
  <si>
    <t>023500</t>
  </si>
  <si>
    <t>021200</t>
  </si>
  <si>
    <t>021110</t>
  </si>
  <si>
    <t>021100</t>
  </si>
  <si>
    <t>027000</t>
  </si>
  <si>
    <t>021120</t>
  </si>
  <si>
    <t>021130</t>
  </si>
  <si>
    <t>021150</t>
  </si>
  <si>
    <t>021050</t>
  </si>
  <si>
    <t>020177</t>
  </si>
  <si>
    <t>ООО Центр здоровья и красоты, с. Буздяк</t>
  </si>
  <si>
    <t>020193</t>
  </si>
  <si>
    <t xml:space="preserve">ООО Эмидент Люкс г. Уфа, ул. Айская, 16 </t>
  </si>
  <si>
    <t>020202</t>
  </si>
  <si>
    <t xml:space="preserve">ООО Эмидент Люкс г. Уфа, ул. Революционная, 99 </t>
  </si>
  <si>
    <t>ООО Эмидент Люкс г. Уфа, ул. Революционная, 57</t>
  </si>
  <si>
    <t xml:space="preserve">ООО Бомонд </t>
  </si>
  <si>
    <t>020171</t>
  </si>
  <si>
    <t>022117</t>
  </si>
  <si>
    <t>022800</t>
  </si>
  <si>
    <t>3Г</t>
  </si>
  <si>
    <t>022109</t>
  </si>
  <si>
    <t>ГБУ УфНИИ ГБ АН РБ</t>
  </si>
  <si>
    <t>022113</t>
  </si>
  <si>
    <t>3В</t>
  </si>
  <si>
    <t>ГБУЗ РБ ГКБ №21 г.Уфа</t>
  </si>
  <si>
    <t>022400</t>
  </si>
  <si>
    <t>022710</t>
  </si>
  <si>
    <t>х</t>
  </si>
  <si>
    <t xml:space="preserve">Амбулаторно-поликлиническая помощь в части посещений с профилактическими и иными целями  в рамках базовой программы ОМС на 2020 год </t>
  </si>
  <si>
    <t xml:space="preserve">Итого </t>
  </si>
  <si>
    <t>Комплексные посещения для проведения профилактических медицинских осмотров</t>
  </si>
  <si>
    <t>Комплексные посещения для проведения диспансеризации</t>
  </si>
  <si>
    <t>Посещения с иными целями</t>
  </si>
  <si>
    <t>Профилактический медосмотр взрослых, в том числе при первом посещении по поводу диспансерного наблюдения</t>
  </si>
  <si>
    <t xml:space="preserve">Профилактический медосмотр несовершеннолетних </t>
  </si>
  <si>
    <t>Диспансеризация взрослого населения</t>
  </si>
  <si>
    <t xml:space="preserve"> Диспансеризация детей- сирот</t>
  </si>
  <si>
    <t xml:space="preserve">(1 этап)  </t>
  </si>
  <si>
    <t xml:space="preserve">финансируемые по реестрам  </t>
  </si>
  <si>
    <t>ГБУЗ РБ ГБ №2 г.Стерлитамак (реорганизованное )</t>
  </si>
  <si>
    <t>Обособленное структурное подразделение ГБУЗ РБ ГБ №2 г.Стерлитамак, ранее именуемое ГБУЗ РБ Стерлитамакская ЦРП</t>
  </si>
  <si>
    <t>Обособленное структурное подразделение ГБУЗ РБ ГБ №4 города Стерлитамак, ранее именуемое ГБУЗ РБ Стерлитамакская ЦРП</t>
  </si>
  <si>
    <t>Обособленное структурное подразделение Родильный дом ГБУЗ РБ ГБ города Салават</t>
  </si>
  <si>
    <t>ГАУЗ РБ Стоматологическая поликлиника №8 г.Уфа</t>
  </si>
  <si>
    <t>ГАУЗ РБ Стоматологическая поликлиника №9 г.Уфа</t>
  </si>
  <si>
    <t>ЧУЗ «КБ «РЖД- Медицина» г.Уфа</t>
  </si>
  <si>
    <t>Обособленное структурное подразделение ГБУЗ РБ ГКБ № 21 г. Уфа, ранее именуемое ГБУЗ РБ Уфимская ЦРП</t>
  </si>
  <si>
    <t>Обособленное структурное подразделение ГБУЗ РКИБ, ранее именуемое ГБУЗ РБ Городская инфекционная больница г.Стерлитамак</t>
  </si>
  <si>
    <t>ООО "Лаборатория гемодиализа"</t>
  </si>
  <si>
    <t>ООО "МЦ "Агидель"</t>
  </si>
  <si>
    <t>ООО "Сфера-Эстейт"</t>
  </si>
  <si>
    <t>260</t>
  </si>
  <si>
    <t>ООО "ДиаЛайф"</t>
  </si>
  <si>
    <t xml:space="preserve">Амбулаторно-поликлиническая помощь в части профилактических посещений с  иными целями на 2020 год </t>
  </si>
  <si>
    <t>ВСЕГО посещений</t>
  </si>
  <si>
    <t xml:space="preserve"> Посещения для проведения диспансеризации определенных групп населения (2 этап)</t>
  </si>
  <si>
    <t xml:space="preserve">Посещения для проведения диспансерного наблюдения 
</t>
  </si>
  <si>
    <t>Посещения по центрам  здоровья</t>
  </si>
  <si>
    <t xml:space="preserve"> Разовые посещения в связи с заболеванием</t>
  </si>
  <si>
    <t xml:space="preserve"> Посещения медицинских работников, имеющих среднее медицинское образование, ведущих самостоятельный прием</t>
  </si>
  <si>
    <t xml:space="preserve"> Посещения с другими целями (патронаж, выдача справок и иных медицинских документов и др.)</t>
  </si>
  <si>
    <t>Посещения МО, имеющих прикрепленное население</t>
  </si>
  <si>
    <t>Посещения МО, не имеющих прикрепленного населения</t>
  </si>
  <si>
    <t>Гериатрия</t>
  </si>
  <si>
    <t>Консультативные посещения</t>
  </si>
  <si>
    <t>первичный прием</t>
  </si>
  <si>
    <t>повторная консуль-тация</t>
  </si>
  <si>
    <t xml:space="preserve"> Объемы медицинской помощи, оказываемой в центрах здоровья, на 2020 год.</t>
  </si>
  <si>
    <t>№п/п</t>
  </si>
  <si>
    <t> ВСЕГО на 2020 год</t>
  </si>
  <si>
    <t xml:space="preserve">План январь-март 2020 год </t>
  </si>
  <si>
    <t xml:space="preserve">План июль - декабрь 2020 год </t>
  </si>
  <si>
    <t>Всего посещения</t>
  </si>
  <si>
    <t>из них:</t>
  </si>
  <si>
    <t>взрослое население</t>
  </si>
  <si>
    <t>детское население</t>
  </si>
  <si>
    <t>первичное посещение для проведения комплексного обследования</t>
  </si>
  <si>
    <t>посещение для динамического наблюдения</t>
  </si>
  <si>
    <t>Уточненный план исследований  на 2020 год</t>
  </si>
  <si>
    <t>Всего в рамках программы ОМС по КСГ</t>
  </si>
  <si>
    <t xml:space="preserve">В рамках  сверхбазовой программы ОМС </t>
  </si>
  <si>
    <t>долечивание</t>
  </si>
  <si>
    <t>изоляторы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</si>
</sst>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&quot;Да&quot;;&quot;Да&quot;;&quot;Нет&quot;"/>
    <numFmt numFmtId="168" formatCode="#,##0.00&quot; &quot;[$руб.-419];[Red]&quot;-&quot;#,##0.00&quot; &quot;[$руб.-419]"/>
    <numFmt numFmtId="169" formatCode="_(\$* #,##0_);_(\$* \(#,##0\);_(\$* &quot;-&quot;_);_(@_)"/>
  </numFmts>
  <fonts count="10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9263">
    <xf numFmtId="0" fontId="0" fillId="0" borderId="0"/>
    <xf numFmtId="0" fontId="8" fillId="28" borderId="0" applyNumberFormat="0" applyBorder="0" applyAlignment="0" applyProtection="0"/>
    <xf numFmtId="0" fontId="8" fillId="29" borderId="0"/>
    <xf numFmtId="0" fontId="8" fillId="30" borderId="0" applyNumberFormat="0" applyBorder="0" applyAlignment="0" applyProtection="0"/>
    <xf numFmtId="0" fontId="8" fillId="31" borderId="0"/>
    <xf numFmtId="0" fontId="8" fillId="32" borderId="0" applyNumberFormat="0" applyBorder="0" applyAlignment="0" applyProtection="0"/>
    <xf numFmtId="0" fontId="8" fillId="33" borderId="0"/>
    <xf numFmtId="0" fontId="8" fillId="34" borderId="0" applyNumberFormat="0" applyBorder="0" applyAlignment="0" applyProtection="0"/>
    <xf numFmtId="0" fontId="8" fillId="35" borderId="0"/>
    <xf numFmtId="0" fontId="8" fillId="36" borderId="0" applyNumberFormat="0" applyBorder="0" applyAlignment="0" applyProtection="0"/>
    <xf numFmtId="0" fontId="8" fillId="37" borderId="0"/>
    <xf numFmtId="0" fontId="8" fillId="38" borderId="0" applyNumberFormat="0" applyBorder="0" applyAlignment="0" applyProtection="0"/>
    <xf numFmtId="0" fontId="8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/>
    <xf numFmtId="0" fontId="8" fillId="44" borderId="0" applyNumberFormat="0" applyBorder="0" applyAlignment="0" applyProtection="0"/>
    <xf numFmtId="0" fontId="8" fillId="45" borderId="0"/>
    <xf numFmtId="0" fontId="8" fillId="46" borderId="0" applyNumberFormat="0" applyBorder="0" applyAlignment="0" applyProtection="0"/>
    <xf numFmtId="0" fontId="8" fillId="47" borderId="0"/>
    <xf numFmtId="0" fontId="8" fillId="34" borderId="0" applyNumberFormat="0" applyBorder="0" applyAlignment="0" applyProtection="0"/>
    <xf numFmtId="0" fontId="8" fillId="35" borderId="0"/>
    <xf numFmtId="0" fontId="8" fillId="42" borderId="0" applyNumberFormat="0" applyBorder="0" applyAlignment="0" applyProtection="0"/>
    <xf numFmtId="0" fontId="8" fillId="43" borderId="0"/>
    <xf numFmtId="0" fontId="8" fillId="48" borderId="0" applyNumberFormat="0" applyBorder="0" applyAlignment="0" applyProtection="0"/>
    <xf numFmtId="0" fontId="8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58" borderId="0" applyNumberFormat="0" applyBorder="0" applyAlignment="0" applyProtection="0"/>
    <xf numFmtId="0" fontId="9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/>
    <xf numFmtId="0" fontId="9" fillId="62" borderId="0" applyNumberFormat="0" applyBorder="0" applyAlignment="0" applyProtection="0"/>
    <xf numFmtId="0" fontId="9" fillId="63" borderId="0"/>
    <xf numFmtId="0" fontId="9" fillId="64" borderId="0" applyNumberFormat="0" applyBorder="0" applyAlignment="0" applyProtection="0"/>
    <xf numFmtId="0" fontId="9" fillId="65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66" borderId="0" applyNumberFormat="0" applyBorder="0" applyAlignment="0" applyProtection="0"/>
    <xf numFmtId="0" fontId="9" fillId="67" borderId="0"/>
    <xf numFmtId="0" fontId="10" fillId="30" borderId="0" applyNumberFormat="0" applyBorder="0" applyAlignment="0" applyProtection="0"/>
    <xf numFmtId="0" fontId="10" fillId="31" borderId="0"/>
    <xf numFmtId="0" fontId="11" fillId="50" borderId="11" applyNumberFormat="0" applyAlignment="0" applyProtection="0"/>
    <xf numFmtId="0" fontId="11" fillId="68" borderId="11"/>
    <xf numFmtId="0" fontId="12" fillId="69" borderId="12" applyNumberFormat="0" applyAlignment="0" applyProtection="0"/>
    <xf numFmtId="0" fontId="12" fillId="70" borderId="0"/>
    <xf numFmtId="166" fontId="13" fillId="0" borderId="0"/>
    <xf numFmtId="167" fontId="13" fillId="0" borderId="0" applyBorder="0" applyProtection="0"/>
    <xf numFmtId="166" fontId="13" fillId="0" borderId="0" applyBorder="0" applyProtection="0"/>
    <xf numFmtId="166" fontId="13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3" borderId="0"/>
    <xf numFmtId="0" fontId="17" fillId="0" borderId="0" applyNumberFormat="0" applyBorder="0" applyProtection="0">
      <alignment horizontal="center"/>
    </xf>
    <xf numFmtId="0" fontId="18" fillId="0" borderId="13" applyNumberFormat="0" applyFill="0" applyAlignment="0" applyProtection="0"/>
    <xf numFmtId="0" fontId="18" fillId="0" borderId="13"/>
    <xf numFmtId="0" fontId="19" fillId="0" borderId="14" applyNumberFormat="0" applyFill="0" applyAlignment="0" applyProtection="0"/>
    <xf numFmtId="0" fontId="19" fillId="0" borderId="14"/>
    <xf numFmtId="0" fontId="20" fillId="0" borderId="15" applyNumberFormat="0" applyFill="0" applyAlignment="0" applyProtection="0"/>
    <xf numFmtId="0" fontId="20" fillId="0" borderId="15"/>
    <xf numFmtId="0" fontId="20" fillId="0" borderId="0" applyNumberFormat="0" applyFill="0" applyBorder="0" applyAlignment="0" applyProtection="0"/>
    <xf numFmtId="0" fontId="20" fillId="0" borderId="0"/>
    <xf numFmtId="0" fontId="17" fillId="0" borderId="0" applyNumberFormat="0" applyBorder="0" applyProtection="0">
      <alignment horizontal="center" textRotation="90"/>
    </xf>
    <xf numFmtId="0" fontId="21" fillId="38" borderId="11" applyNumberFormat="0" applyAlignment="0" applyProtection="0"/>
    <xf numFmtId="0" fontId="21" fillId="39" borderId="11"/>
    <xf numFmtId="0" fontId="22" fillId="0" borderId="16" applyNumberFormat="0" applyFill="0" applyAlignment="0" applyProtection="0"/>
    <xf numFmtId="0" fontId="22" fillId="0" borderId="0"/>
    <xf numFmtId="0" fontId="23" fillId="51" borderId="0" applyNumberFormat="0" applyBorder="0" applyAlignment="0" applyProtection="0"/>
    <xf numFmtId="0" fontId="23" fillId="71" borderId="0"/>
    <xf numFmtId="0" fontId="24" fillId="0" borderId="0"/>
    <xf numFmtId="0" fontId="25" fillId="41" borderId="17" applyNumberFormat="0" applyFont="0" applyAlignment="0" applyProtection="0"/>
    <xf numFmtId="0" fontId="26" fillId="72" borderId="17"/>
    <xf numFmtId="0" fontId="27" fillId="50" borderId="18" applyNumberFormat="0" applyAlignment="0" applyProtection="0"/>
    <xf numFmtId="0" fontId="27" fillId="68" borderId="18"/>
    <xf numFmtId="0" fontId="28" fillId="0" borderId="0" applyNumberFormat="0" applyBorder="0" applyProtection="0"/>
    <xf numFmtId="168" fontId="28" fillId="0" borderId="0" applyBorder="0" applyProtection="0"/>
    <xf numFmtId="0" fontId="29" fillId="0" borderId="0" applyNumberFormat="0" applyFill="0" applyBorder="0" applyAlignment="0" applyProtection="0"/>
    <xf numFmtId="0" fontId="29" fillId="0" borderId="0"/>
    <xf numFmtId="0" fontId="30" fillId="0" borderId="19" applyNumberFormat="0" applyFill="0" applyAlignment="0" applyProtection="0"/>
    <xf numFmtId="0" fontId="30" fillId="0" borderId="20"/>
    <xf numFmtId="0" fontId="31" fillId="0" borderId="0" applyNumberFormat="0" applyFill="0" applyBorder="0" applyAlignment="0" applyProtection="0"/>
    <xf numFmtId="0" fontId="31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9" borderId="11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4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68" borderId="18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4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68" borderId="11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" fillId="0" borderId="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4" fillId="0" borderId="2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3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" fillId="0" borderId="2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4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15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22" applyNumberFormat="0" applyFill="0" applyAlignment="0" applyProtection="0"/>
    <xf numFmtId="0" fontId="20" fillId="0" borderId="15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0" fillId="0" borderId="1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0" fillId="0" borderId="23" applyNumberFormat="0" applyFill="0" applyAlignment="0" applyProtection="0"/>
    <xf numFmtId="0" fontId="30" fillId="0" borderId="2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69" borderId="12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2" fillId="69" borderId="12" applyNumberFormat="0" applyAlignment="0" applyProtection="0"/>
    <xf numFmtId="0" fontId="12" fillId="7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3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71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1" fillId="0" borderId="0"/>
    <xf numFmtId="0" fontId="43" fillId="0" borderId="0"/>
    <xf numFmtId="0" fontId="4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0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1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1" borderId="1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41" borderId="17" applyNumberFormat="0" applyFont="0" applyAlignment="0" applyProtection="0"/>
    <xf numFmtId="0" fontId="49" fillId="41" borderId="17" applyNumberFormat="0" applyFont="0" applyAlignment="0" applyProtection="0"/>
    <xf numFmtId="0" fontId="43" fillId="41" borderId="17" applyNumberFormat="0" applyFont="0" applyAlignment="0" applyProtection="0"/>
    <xf numFmtId="0" fontId="25" fillId="41" borderId="1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1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2" fillId="0" borderId="16" applyNumberFormat="0" applyFill="0" applyAlignment="0" applyProtection="0"/>
    <xf numFmtId="0" fontId="22" fillId="0" borderId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5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51" fillId="0" borderId="0"/>
    <xf numFmtId="169" fontId="58" fillId="0" borderId="0"/>
    <xf numFmtId="165" fontId="8" fillId="0" borderId="0" applyFont="0" applyFill="0" applyBorder="0" applyAlignment="0" applyProtection="0"/>
    <xf numFmtId="167" fontId="51" fillId="0" borderId="0"/>
    <xf numFmtId="167" fontId="51" fillId="0" borderId="0" applyFill="0" applyBorder="0" applyAlignment="0" applyProtection="0"/>
    <xf numFmtId="167" fontId="51" fillId="0" borderId="0"/>
    <xf numFmtId="164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6" fillId="0" borderId="0"/>
    <xf numFmtId="0" fontId="49" fillId="0" borderId="0"/>
    <xf numFmtId="0" fontId="25" fillId="0" borderId="0"/>
    <xf numFmtId="0" fontId="25" fillId="0" borderId="0"/>
    <xf numFmtId="0" fontId="49" fillId="0" borderId="0"/>
    <xf numFmtId="0" fontId="49" fillId="0" borderId="0"/>
    <xf numFmtId="0" fontId="8" fillId="0" borderId="0"/>
    <xf numFmtId="0" fontId="1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5" fillId="0" borderId="0"/>
    <xf numFmtId="0" fontId="25" fillId="0" borderId="0"/>
  </cellStyleXfs>
  <cellXfs count="623">
    <xf numFmtId="0" fontId="0" fillId="0" borderId="0" xfId="0"/>
    <xf numFmtId="0" fontId="61" fillId="0" borderId="0" xfId="0" applyFont="1" applyFill="1"/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3" fontId="62" fillId="0" borderId="0" xfId="0" applyNumberFormat="1" applyFont="1" applyFill="1" applyAlignment="1">
      <alignment horizontal="center" vertical="center"/>
    </xf>
    <xf numFmtId="0" fontId="62" fillId="0" borderId="0" xfId="57788" applyFont="1" applyFill="1" applyAlignment="1">
      <alignment horizontal="center" vertical="center"/>
    </xf>
    <xf numFmtId="0" fontId="62" fillId="0" borderId="0" xfId="57788" applyFont="1" applyFill="1" applyAlignment="1">
      <alignment horizontal="left" vertical="center"/>
    </xf>
    <xf numFmtId="3" fontId="62" fillId="0" borderId="0" xfId="0" applyNumberFormat="1" applyFont="1" applyFill="1" applyAlignment="1">
      <alignment horizontal="center"/>
    </xf>
    <xf numFmtId="3" fontId="61" fillId="0" borderId="0" xfId="0" applyNumberFormat="1" applyFont="1" applyFill="1" applyAlignment="1">
      <alignment horizontal="center"/>
    </xf>
    <xf numFmtId="0" fontId="61" fillId="0" borderId="0" xfId="0" applyFont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3" fontId="61" fillId="0" borderId="0" xfId="0" applyNumberFormat="1" applyFont="1" applyAlignment="1">
      <alignment horizontal="center" vertical="center"/>
    </xf>
    <xf numFmtId="0" fontId="61" fillId="74" borderId="0" xfId="57846" applyFont="1" applyFill="1"/>
    <xf numFmtId="0" fontId="61" fillId="74" borderId="0" xfId="57846" applyFont="1" applyFill="1" applyAlignment="1">
      <alignment horizontal="center"/>
    </xf>
    <xf numFmtId="0" fontId="65" fillId="74" borderId="0" xfId="57846" applyFont="1" applyFill="1"/>
    <xf numFmtId="0" fontId="66" fillId="74" borderId="0" xfId="57846" applyFont="1" applyFill="1" applyProtection="1">
      <protection locked="0"/>
    </xf>
    <xf numFmtId="3" fontId="67" fillId="74" borderId="10" xfId="57846" applyNumberFormat="1" applyFont="1" applyFill="1" applyBorder="1" applyAlignment="1" applyProtection="1">
      <alignment horizontal="center" vertical="center"/>
      <protection locked="0"/>
    </xf>
    <xf numFmtId="3" fontId="66" fillId="74" borderId="25" xfId="57846" applyNumberFormat="1" applyFont="1" applyFill="1" applyBorder="1" applyAlignment="1" applyProtection="1">
      <alignment horizontal="center" vertical="center"/>
      <protection locked="0"/>
    </xf>
    <xf numFmtId="0" fontId="66" fillId="74" borderId="10" xfId="57846" applyFont="1" applyFill="1" applyBorder="1" applyProtection="1">
      <protection locked="0"/>
    </xf>
    <xf numFmtId="3" fontId="69" fillId="74" borderId="10" xfId="57846" applyNumberFormat="1" applyFont="1" applyFill="1" applyBorder="1" applyAlignment="1" applyProtection="1">
      <alignment vertical="center" wrapText="1"/>
      <protection locked="0"/>
    </xf>
    <xf numFmtId="0" fontId="69" fillId="74" borderId="10" xfId="57846" applyFont="1" applyFill="1" applyBorder="1" applyAlignment="1" applyProtection="1">
      <alignment vertical="center" wrapText="1"/>
      <protection locked="0"/>
    </xf>
    <xf numFmtId="3" fontId="66" fillId="74" borderId="10" xfId="57846" applyNumberFormat="1" applyFont="1" applyFill="1" applyBorder="1" applyAlignment="1" applyProtection="1">
      <alignment horizontal="center" vertical="center"/>
      <protection locked="0"/>
    </xf>
    <xf numFmtId="3" fontId="66" fillId="74" borderId="10" xfId="57846" applyNumberFormat="1" applyFont="1" applyFill="1" applyBorder="1" applyAlignment="1" applyProtection="1">
      <alignment vertical="center"/>
      <protection locked="0"/>
    </xf>
    <xf numFmtId="0" fontId="69" fillId="74" borderId="25" xfId="57846" applyFont="1" applyFill="1" applyBorder="1" applyAlignment="1" applyProtection="1">
      <alignment vertical="center" wrapText="1"/>
      <protection locked="0"/>
    </xf>
    <xf numFmtId="3" fontId="66" fillId="74" borderId="25" xfId="57846" applyNumberFormat="1" applyFont="1" applyFill="1" applyBorder="1" applyAlignment="1" applyProtection="1">
      <alignment vertical="center"/>
      <protection locked="0"/>
    </xf>
    <xf numFmtId="3" fontId="69" fillId="74" borderId="25" xfId="57846" applyNumberFormat="1" applyFont="1" applyFill="1" applyBorder="1" applyAlignment="1" applyProtection="1">
      <alignment vertical="center" wrapText="1"/>
      <protection locked="0"/>
    </xf>
    <xf numFmtId="3" fontId="66" fillId="74" borderId="28" xfId="57846" applyNumberFormat="1" applyFont="1" applyFill="1" applyBorder="1" applyAlignment="1" applyProtection="1">
      <alignment horizontal="center" vertical="center"/>
      <protection locked="0"/>
    </xf>
    <xf numFmtId="0" fontId="66" fillId="74" borderId="10" xfId="57846" applyFont="1" applyFill="1" applyBorder="1" applyAlignment="1" applyProtection="1">
      <alignment horizontal="center"/>
      <protection locked="0"/>
    </xf>
    <xf numFmtId="3" fontId="66" fillId="74" borderId="28" xfId="57846" applyNumberFormat="1" applyFont="1" applyFill="1" applyBorder="1" applyAlignment="1" applyProtection="1">
      <alignment vertical="center"/>
      <protection locked="0"/>
    </xf>
    <xf numFmtId="3" fontId="69" fillId="74" borderId="28" xfId="57846" applyNumberFormat="1" applyFont="1" applyFill="1" applyBorder="1" applyAlignment="1" applyProtection="1">
      <alignment vertical="center" wrapText="1"/>
      <protection locked="0"/>
    </xf>
    <xf numFmtId="0" fontId="69" fillId="74" borderId="28" xfId="57846" applyFont="1" applyFill="1" applyBorder="1" applyAlignment="1" applyProtection="1">
      <alignment vertical="center" wrapText="1"/>
      <protection locked="0"/>
    </xf>
    <xf numFmtId="3" fontId="66" fillId="74" borderId="29" xfId="57846" applyNumberFormat="1" applyFont="1" applyFill="1" applyBorder="1" applyAlignment="1" applyProtection="1">
      <alignment horizontal="center" vertical="center"/>
      <protection locked="0"/>
    </xf>
    <xf numFmtId="3" fontId="66" fillId="74" borderId="29" xfId="57846" applyNumberFormat="1" applyFont="1" applyFill="1" applyBorder="1" applyAlignment="1" applyProtection="1">
      <alignment vertical="center"/>
      <protection locked="0"/>
    </xf>
    <xf numFmtId="3" fontId="70" fillId="74" borderId="10" xfId="57846" applyNumberFormat="1" applyFont="1" applyFill="1" applyBorder="1" applyAlignment="1" applyProtection="1">
      <alignment vertical="center"/>
      <protection locked="0"/>
    </xf>
    <xf numFmtId="3" fontId="70" fillId="74" borderId="29" xfId="57846" applyNumberFormat="1" applyFont="1" applyFill="1" applyBorder="1" applyAlignment="1" applyProtection="1">
      <alignment horizontal="center" vertical="center"/>
      <protection locked="0"/>
    </xf>
    <xf numFmtId="3" fontId="70" fillId="74" borderId="10" xfId="57846" applyNumberFormat="1" applyFont="1" applyFill="1" applyBorder="1" applyAlignment="1" applyProtection="1">
      <alignment horizontal="center" vertical="center"/>
      <protection locked="0"/>
    </xf>
    <xf numFmtId="3" fontId="70" fillId="74" borderId="25" xfId="57846" applyNumberFormat="1" applyFont="1" applyFill="1" applyBorder="1" applyAlignment="1" applyProtection="1">
      <alignment horizontal="center" vertical="center"/>
      <protection locked="0"/>
    </xf>
    <xf numFmtId="3" fontId="66" fillId="74" borderId="10" xfId="57846" applyNumberFormat="1" applyFont="1" applyFill="1" applyBorder="1" applyAlignment="1" applyProtection="1">
      <alignment horizontal="center"/>
      <protection locked="0"/>
    </xf>
    <xf numFmtId="0" fontId="67" fillId="74" borderId="0" xfId="57846" applyFont="1" applyFill="1" applyProtection="1">
      <protection locked="0"/>
    </xf>
    <xf numFmtId="0" fontId="71" fillId="74" borderId="10" xfId="57846" applyFont="1" applyFill="1" applyBorder="1" applyAlignment="1" applyProtection="1">
      <alignment horizontal="center" vertical="center" wrapText="1"/>
      <protection locked="0"/>
    </xf>
    <xf numFmtId="0" fontId="71" fillId="74" borderId="28" xfId="57846" applyFont="1" applyFill="1" applyBorder="1" applyAlignment="1" applyProtection="1">
      <alignment horizontal="center" vertical="center" wrapText="1"/>
      <protection locked="0"/>
    </xf>
    <xf numFmtId="0" fontId="66" fillId="74" borderId="0" xfId="57846" applyFont="1" applyFill="1" applyAlignment="1" applyProtection="1">
      <alignment horizontal="center"/>
      <protection locked="0"/>
    </xf>
    <xf numFmtId="0" fontId="72" fillId="74" borderId="10" xfId="57846" applyFont="1" applyFill="1" applyBorder="1" applyAlignment="1" applyProtection="1">
      <alignment horizontal="center" vertical="center" textRotation="90" wrapText="1"/>
      <protection locked="0"/>
    </xf>
    <xf numFmtId="0" fontId="62" fillId="74" borderId="0" xfId="0" applyFont="1" applyFill="1"/>
    <xf numFmtId="3" fontId="62" fillId="74" borderId="0" xfId="0" applyNumberFormat="1" applyFont="1" applyFill="1"/>
    <xf numFmtId="0" fontId="62" fillId="74" borderId="0" xfId="0" applyFont="1" applyFill="1" applyAlignment="1">
      <alignment vertical="center"/>
    </xf>
    <xf numFmtId="3" fontId="73" fillId="74" borderId="10" xfId="0" applyNumberFormat="1" applyFont="1" applyFill="1" applyBorder="1" applyAlignment="1">
      <alignment horizontal="center"/>
    </xf>
    <xf numFmtId="3" fontId="62" fillId="74" borderId="10" xfId="57736" applyNumberFormat="1" applyFont="1" applyFill="1" applyBorder="1" applyAlignment="1" applyProtection="1">
      <alignment horizontal="center" vertical="center" wrapText="1"/>
      <protection locked="0" hidden="1"/>
    </xf>
    <xf numFmtId="3" fontId="62" fillId="74" borderId="10" xfId="0" applyNumberFormat="1" applyFont="1" applyFill="1" applyBorder="1" applyAlignment="1">
      <alignment horizontal="center"/>
    </xf>
    <xf numFmtId="3" fontId="62" fillId="74" borderId="10" xfId="0" applyNumberFormat="1" applyFont="1" applyFill="1" applyBorder="1" applyAlignment="1">
      <alignment horizontal="center" vertical="center"/>
    </xf>
    <xf numFmtId="4" fontId="74" fillId="74" borderId="10" xfId="0" applyNumberFormat="1" applyFont="1" applyFill="1" applyBorder="1" applyAlignment="1">
      <alignment vertical="center" wrapText="1"/>
    </xf>
    <xf numFmtId="0" fontId="74" fillId="74" borderId="10" xfId="0" applyFont="1" applyFill="1" applyBorder="1" applyAlignment="1">
      <alignment horizontal="center" vertical="center"/>
    </xf>
    <xf numFmtId="0" fontId="75" fillId="74" borderId="10" xfId="0" applyFont="1" applyFill="1" applyBorder="1" applyAlignment="1">
      <alignment wrapText="1"/>
    </xf>
    <xf numFmtId="0" fontId="75" fillId="74" borderId="10" xfId="0" applyFont="1" applyFill="1" applyBorder="1" applyAlignment="1">
      <alignment horizontal="center" vertical="center"/>
    </xf>
    <xf numFmtId="3" fontId="62" fillId="74" borderId="10" xfId="0" applyNumberFormat="1" applyFont="1" applyFill="1" applyBorder="1"/>
    <xf numFmtId="0" fontId="74" fillId="74" borderId="10" xfId="0" applyFont="1" applyFill="1" applyBorder="1" applyAlignment="1">
      <alignment vertical="center" wrapText="1"/>
    </xf>
    <xf numFmtId="0" fontId="74" fillId="74" borderId="10" xfId="0" applyFont="1" applyFill="1" applyBorder="1" applyAlignment="1">
      <alignment horizontal="left" vertical="center"/>
    </xf>
    <xf numFmtId="3" fontId="73" fillId="74" borderId="10" xfId="0" applyNumberFormat="1" applyFont="1" applyFill="1" applyBorder="1" applyAlignment="1">
      <alignment horizontal="center" vertical="center"/>
    </xf>
    <xf numFmtId="0" fontId="75" fillId="74" borderId="10" xfId="0" applyFont="1" applyFill="1" applyBorder="1" applyAlignment="1">
      <alignment vertical="center" wrapText="1"/>
    </xf>
    <xf numFmtId="0" fontId="62" fillId="74" borderId="10" xfId="0" applyFont="1" applyFill="1" applyBorder="1" applyAlignment="1">
      <alignment horizontal="center" vertical="center" wrapText="1"/>
    </xf>
    <xf numFmtId="0" fontId="76" fillId="74" borderId="0" xfId="0" applyFont="1" applyFill="1" applyAlignment="1">
      <alignment horizontal="center" vertical="center"/>
    </xf>
    <xf numFmtId="0" fontId="76" fillId="74" borderId="0" xfId="0" applyFont="1" applyFill="1"/>
    <xf numFmtId="3" fontId="62" fillId="74" borderId="0" xfId="0" applyNumberFormat="1" applyFont="1" applyFill="1" applyBorder="1" applyAlignment="1">
      <alignment horizontal="right" vertical="center"/>
    </xf>
    <xf numFmtId="0" fontId="73" fillId="74" borderId="0" xfId="0" applyFont="1" applyFill="1" applyAlignment="1">
      <alignment horizontal="center" vertical="center"/>
    </xf>
    <xf numFmtId="3" fontId="62" fillId="0" borderId="24" xfId="57788" applyNumberFormat="1" applyFont="1" applyFill="1" applyBorder="1" applyAlignment="1">
      <alignment horizontal="center" vertical="center" wrapText="1"/>
    </xf>
    <xf numFmtId="3" fontId="73" fillId="0" borderId="24" xfId="57788" applyNumberFormat="1" applyFont="1" applyFill="1" applyBorder="1" applyAlignment="1">
      <alignment horizontal="center" vertical="center" wrapText="1"/>
    </xf>
    <xf numFmtId="0" fontId="62" fillId="0" borderId="30" xfId="57788" applyFont="1" applyFill="1" applyBorder="1" applyAlignment="1">
      <alignment horizontal="center" vertical="center" wrapText="1"/>
    </xf>
    <xf numFmtId="0" fontId="62" fillId="0" borderId="10" xfId="57788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31" xfId="57788" applyFont="1" applyFill="1" applyBorder="1" applyAlignment="1">
      <alignment horizontal="left" vertical="center" wrapText="1"/>
    </xf>
    <xf numFmtId="3" fontId="62" fillId="0" borderId="10" xfId="57788" applyNumberFormat="1" applyFont="1" applyFill="1" applyBorder="1" applyAlignment="1">
      <alignment horizontal="center" vertical="center" wrapText="1"/>
    </xf>
    <xf numFmtId="0" fontId="62" fillId="0" borderId="10" xfId="57788" applyFont="1" applyFill="1" applyBorder="1" applyAlignment="1">
      <alignment horizontal="center" vertical="center"/>
    </xf>
    <xf numFmtId="0" fontId="62" fillId="0" borderId="26" xfId="57788" applyFont="1" applyFill="1" applyBorder="1" applyAlignment="1">
      <alignment horizontal="left" vertical="center" wrapText="1"/>
    </xf>
    <xf numFmtId="0" fontId="62" fillId="0" borderId="10" xfId="57788" applyFont="1" applyFill="1" applyBorder="1" applyAlignment="1">
      <alignment horizontal="left" vertical="center" wrapText="1"/>
    </xf>
    <xf numFmtId="0" fontId="73" fillId="0" borderId="10" xfId="57788" applyFont="1" applyFill="1" applyBorder="1" applyAlignment="1">
      <alignment horizontal="center" vertical="center"/>
    </xf>
    <xf numFmtId="0" fontId="73" fillId="0" borderId="0" xfId="57788" applyFont="1" applyFill="1" applyAlignment="1">
      <alignment horizontal="center" vertical="center"/>
    </xf>
    <xf numFmtId="4" fontId="62" fillId="0" borderId="27" xfId="59247" applyNumberFormat="1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3" fontId="62" fillId="0" borderId="10" xfId="57788" applyNumberFormat="1" applyFont="1" applyFill="1" applyBorder="1" applyAlignment="1">
      <alignment horizontal="left" vertical="center" wrapText="1"/>
    </xf>
    <xf numFmtId="3" fontId="73" fillId="0" borderId="10" xfId="57788" applyNumberFormat="1" applyFont="1" applyFill="1" applyBorder="1" applyAlignment="1">
      <alignment horizontal="center" vertical="center" wrapText="1"/>
    </xf>
    <xf numFmtId="0" fontId="62" fillId="0" borderId="10" xfId="59250" applyFont="1" applyFill="1" applyBorder="1" applyAlignment="1">
      <alignment vertical="center" wrapText="1"/>
    </xf>
    <xf numFmtId="0" fontId="62" fillId="0" borderId="0" xfId="59253" applyFont="1" applyFill="1" applyAlignment="1">
      <alignment horizontal="center" vertical="center"/>
    </xf>
    <xf numFmtId="0" fontId="73" fillId="0" borderId="10" xfId="57788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vertical="center" wrapText="1"/>
    </xf>
    <xf numFmtId="3" fontId="62" fillId="0" borderId="10" xfId="0" applyNumberFormat="1" applyFont="1" applyFill="1" applyBorder="1" applyAlignment="1">
      <alignment vertical="center" wrapText="1"/>
    </xf>
    <xf numFmtId="3" fontId="62" fillId="0" borderId="27" xfId="57788" applyNumberFormat="1" applyFont="1" applyFill="1" applyBorder="1" applyAlignment="1">
      <alignment horizontal="center" vertical="center" wrapText="1"/>
    </xf>
    <xf numFmtId="3" fontId="62" fillId="0" borderId="0" xfId="57788" applyNumberFormat="1" applyFont="1" applyFill="1" applyAlignment="1">
      <alignment horizontal="center" vertical="center"/>
    </xf>
    <xf numFmtId="0" fontId="81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83" fillId="0" borderId="0" xfId="0" applyFont="1" applyFill="1"/>
    <xf numFmtId="0" fontId="66" fillId="0" borderId="0" xfId="0" applyFont="1" applyFill="1" applyAlignment="1">
      <alignment horizontal="center"/>
    </xf>
    <xf numFmtId="3" fontId="66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3" fontId="7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3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61" fillId="0" borderId="0" xfId="0" applyNumberFormat="1" applyFont="1" applyFill="1"/>
    <xf numFmtId="0" fontId="61" fillId="0" borderId="10" xfId="0" applyFont="1" applyFill="1" applyBorder="1" applyAlignment="1" applyProtection="1">
      <alignment horizontal="left" vertical="center"/>
      <protection locked="0"/>
    </xf>
    <xf numFmtId="0" fontId="65" fillId="0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Fill="1" applyBorder="1" applyAlignment="1" applyProtection="1">
      <alignment horizontal="left" vertical="center"/>
      <protection locked="0"/>
    </xf>
    <xf numFmtId="3" fontId="65" fillId="0" borderId="10" xfId="0" applyNumberFormat="1" applyFont="1" applyFill="1" applyBorder="1" applyAlignment="1" applyProtection="1">
      <alignment horizontal="center" vertical="center"/>
      <protection locked="0"/>
    </xf>
    <xf numFmtId="3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Fill="1"/>
    <xf numFmtId="41" fontId="65" fillId="0" borderId="0" xfId="0" applyNumberFormat="1" applyFont="1" applyFill="1"/>
    <xf numFmtId="0" fontId="84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3" fontId="61" fillId="0" borderId="0" xfId="0" applyNumberFormat="1" applyFont="1" applyFill="1" applyAlignment="1">
      <alignment horizontal="center" vertical="center"/>
    </xf>
    <xf numFmtId="3" fontId="75" fillId="0" borderId="26" xfId="0" applyNumberFormat="1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72" fillId="74" borderId="28" xfId="57846" applyFont="1" applyFill="1" applyBorder="1" applyAlignment="1" applyProtection="1">
      <alignment horizontal="center" vertical="center" textRotation="90" wrapText="1"/>
      <protection locked="0"/>
    </xf>
    <xf numFmtId="0" fontId="61" fillId="0" borderId="0" xfId="0" applyFont="1" applyFill="1" applyAlignment="1">
      <alignment vertical="center"/>
    </xf>
    <xf numFmtId="0" fontId="66" fillId="0" borderId="25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3" fontId="61" fillId="0" borderId="10" xfId="0" applyNumberFormat="1" applyFont="1" applyFill="1" applyBorder="1" applyAlignment="1">
      <alignment vertical="center"/>
    </xf>
    <xf numFmtId="0" fontId="63" fillId="75" borderId="10" xfId="0" applyFont="1" applyFill="1" applyBorder="1" applyAlignment="1">
      <alignment horizontal="center" vertical="center" wrapText="1"/>
    </xf>
    <xf numFmtId="0" fontId="63" fillId="75" borderId="10" xfId="0" applyFont="1" applyFill="1" applyBorder="1" applyAlignment="1">
      <alignment vertical="center"/>
    </xf>
    <xf numFmtId="0" fontId="61" fillId="75" borderId="10" xfId="0" applyFont="1" applyFill="1" applyBorder="1" applyAlignment="1">
      <alignment vertical="center"/>
    </xf>
    <xf numFmtId="0" fontId="61" fillId="75" borderId="0" xfId="0" applyFont="1" applyFill="1" applyAlignment="1">
      <alignment vertical="center"/>
    </xf>
    <xf numFmtId="0" fontId="63" fillId="76" borderId="10" xfId="0" applyFont="1" applyFill="1" applyBorder="1" applyAlignment="1">
      <alignment horizontal="center" vertical="center" wrapText="1"/>
    </xf>
    <xf numFmtId="0" fontId="63" fillId="76" borderId="10" xfId="0" applyFont="1" applyFill="1" applyBorder="1" applyAlignment="1">
      <alignment vertical="center"/>
    </xf>
    <xf numFmtId="0" fontId="61" fillId="76" borderId="10" xfId="0" applyFont="1" applyFill="1" applyBorder="1" applyAlignment="1">
      <alignment vertical="center"/>
    </xf>
    <xf numFmtId="0" fontId="61" fillId="76" borderId="0" xfId="0" applyFont="1" applyFill="1" applyAlignment="1">
      <alignment vertical="center"/>
    </xf>
    <xf numFmtId="0" fontId="63" fillId="77" borderId="10" xfId="0" applyFont="1" applyFill="1" applyBorder="1" applyAlignment="1">
      <alignment horizontal="center" vertical="center" wrapText="1"/>
    </xf>
    <xf numFmtId="0" fontId="63" fillId="77" borderId="10" xfId="0" applyFont="1" applyFill="1" applyBorder="1" applyAlignment="1">
      <alignment vertical="center"/>
    </xf>
    <xf numFmtId="0" fontId="61" fillId="77" borderId="10" xfId="0" applyFont="1" applyFill="1" applyBorder="1" applyAlignment="1">
      <alignment vertical="center"/>
    </xf>
    <xf numFmtId="0" fontId="61" fillId="77" borderId="0" xfId="0" applyFont="1" applyFill="1" applyAlignment="1">
      <alignment vertical="center"/>
    </xf>
    <xf numFmtId="0" fontId="63" fillId="0" borderId="1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63" fillId="78" borderId="10" xfId="0" applyFont="1" applyFill="1" applyBorder="1" applyAlignment="1">
      <alignment horizontal="center" vertical="center" wrapText="1"/>
    </xf>
    <xf numFmtId="0" fontId="63" fillId="78" borderId="10" xfId="0" applyFont="1" applyFill="1" applyBorder="1" applyAlignment="1">
      <alignment vertical="center"/>
    </xf>
    <xf numFmtId="0" fontId="61" fillId="78" borderId="10" xfId="0" applyFont="1" applyFill="1" applyBorder="1" applyAlignment="1">
      <alignment vertical="center"/>
    </xf>
    <xf numFmtId="0" fontId="63" fillId="79" borderId="10" xfId="0" applyFont="1" applyFill="1" applyBorder="1" applyAlignment="1">
      <alignment horizontal="center" vertical="center" wrapText="1"/>
    </xf>
    <xf numFmtId="0" fontId="63" fillId="79" borderId="10" xfId="0" applyFont="1" applyFill="1" applyBorder="1" applyAlignment="1">
      <alignment vertical="center"/>
    </xf>
    <xf numFmtId="0" fontId="61" fillId="79" borderId="10" xfId="0" applyFont="1" applyFill="1" applyBorder="1" applyAlignment="1">
      <alignment vertical="center"/>
    </xf>
    <xf numFmtId="0" fontId="61" fillId="79" borderId="0" xfId="0" applyFont="1" applyFill="1" applyAlignment="1">
      <alignment vertical="center"/>
    </xf>
    <xf numFmtId="0" fontId="61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/>
    </xf>
    <xf numFmtId="3" fontId="65" fillId="0" borderId="10" xfId="0" applyNumberFormat="1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3" fontId="62" fillId="74" borderId="0" xfId="0" applyNumberFormat="1" applyFont="1" applyFill="1" applyAlignment="1">
      <alignment horizontal="center" vertical="center"/>
    </xf>
    <xf numFmtId="3" fontId="62" fillId="74" borderId="50" xfId="0" applyNumberFormat="1" applyFont="1" applyFill="1" applyBorder="1" applyAlignment="1">
      <alignment horizontal="center" vertical="center"/>
    </xf>
    <xf numFmtId="3" fontId="62" fillId="74" borderId="48" xfId="0" applyNumberFormat="1" applyFont="1" applyFill="1" applyBorder="1" applyAlignment="1">
      <alignment horizontal="center" vertical="center"/>
    </xf>
    <xf numFmtId="3" fontId="62" fillId="74" borderId="48" xfId="0" applyNumberFormat="1" applyFont="1" applyFill="1" applyBorder="1" applyAlignment="1">
      <alignment horizontal="center" vertical="center" wrapText="1"/>
    </xf>
    <xf numFmtId="3" fontId="62" fillId="0" borderId="51" xfId="0" applyNumberFormat="1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/>
    </xf>
    <xf numFmtId="3" fontId="62" fillId="74" borderId="53" xfId="59261" applyNumberFormat="1" applyFont="1" applyFill="1" applyBorder="1" applyAlignment="1">
      <alignment horizontal="left" vertical="center" wrapText="1"/>
    </xf>
    <xf numFmtId="3" fontId="62" fillId="74" borderId="54" xfId="59261" applyNumberFormat="1" applyFont="1" applyFill="1" applyBorder="1" applyAlignment="1">
      <alignment horizontal="left" vertical="center" wrapText="1"/>
    </xf>
    <xf numFmtId="3" fontId="62" fillId="74" borderId="28" xfId="58105" applyNumberFormat="1" applyFont="1" applyFill="1" applyBorder="1" applyAlignment="1">
      <alignment horizontal="center" vertical="center" wrapText="1"/>
    </xf>
    <xf numFmtId="3" fontId="62" fillId="74" borderId="55" xfId="0" applyNumberFormat="1" applyFont="1" applyFill="1" applyBorder="1" applyAlignment="1">
      <alignment horizontal="center" vertical="center"/>
    </xf>
    <xf numFmtId="3" fontId="62" fillId="74" borderId="35" xfId="0" applyNumberFormat="1" applyFont="1" applyFill="1" applyBorder="1" applyAlignment="1">
      <alignment horizontal="center" vertical="center"/>
    </xf>
    <xf numFmtId="3" fontId="62" fillId="74" borderId="28" xfId="0" applyNumberFormat="1" applyFont="1" applyFill="1" applyBorder="1" applyAlignment="1">
      <alignment horizontal="center" vertical="center"/>
    </xf>
    <xf numFmtId="3" fontId="62" fillId="74" borderId="31" xfId="0" applyNumberFormat="1" applyFont="1" applyFill="1" applyBorder="1" applyAlignment="1">
      <alignment horizontal="center" vertical="center"/>
    </xf>
    <xf numFmtId="3" fontId="62" fillId="74" borderId="53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62" fillId="0" borderId="56" xfId="0" applyFont="1" applyFill="1" applyBorder="1" applyAlignment="1">
      <alignment horizontal="center" vertical="center"/>
    </xf>
    <xf numFmtId="3" fontId="62" fillId="74" borderId="57" xfId="59261" applyNumberFormat="1" applyFont="1" applyFill="1" applyBorder="1" applyAlignment="1">
      <alignment horizontal="left" vertical="center" wrapText="1"/>
    </xf>
    <xf numFmtId="3" fontId="62" fillId="74" borderId="58" xfId="59261" applyNumberFormat="1" applyFont="1" applyFill="1" applyBorder="1" applyAlignment="1">
      <alignment horizontal="left" vertical="center" wrapText="1"/>
    </xf>
    <xf numFmtId="3" fontId="62" fillId="74" borderId="10" xfId="58105" applyNumberFormat="1" applyFont="1" applyFill="1" applyBorder="1" applyAlignment="1">
      <alignment horizontal="center" vertical="center" wrapText="1"/>
    </xf>
    <xf numFmtId="3" fontId="62" fillId="74" borderId="27" xfId="0" applyNumberFormat="1" applyFont="1" applyFill="1" applyBorder="1" applyAlignment="1">
      <alignment horizontal="center" vertical="center"/>
    </xf>
    <xf numFmtId="3" fontId="62" fillId="74" borderId="26" xfId="0" applyNumberFormat="1" applyFont="1" applyFill="1" applyBorder="1" applyAlignment="1">
      <alignment horizontal="center" vertical="center"/>
    </xf>
    <xf numFmtId="3" fontId="62" fillId="74" borderId="57" xfId="0" applyNumberFormat="1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74" borderId="60" xfId="0" applyFont="1" applyFill="1" applyBorder="1" applyAlignment="1">
      <alignment vertical="center" wrapText="1"/>
    </xf>
    <xf numFmtId="0" fontId="62" fillId="74" borderId="58" xfId="0" applyFont="1" applyFill="1" applyBorder="1" applyAlignment="1">
      <alignment vertical="center" wrapText="1"/>
    </xf>
    <xf numFmtId="3" fontId="62" fillId="74" borderId="57" xfId="59251" applyNumberFormat="1" applyFont="1" applyFill="1" applyBorder="1" applyAlignment="1">
      <alignment horizontal="left" vertical="center" wrapText="1"/>
    </xf>
    <xf numFmtId="3" fontId="62" fillId="74" borderId="58" xfId="59251" applyNumberFormat="1" applyFont="1" applyFill="1" applyBorder="1" applyAlignment="1">
      <alignment horizontal="left" vertical="center" wrapText="1"/>
    </xf>
    <xf numFmtId="1" fontId="62" fillId="74" borderId="57" xfId="59261" applyNumberFormat="1" applyFont="1" applyFill="1" applyBorder="1" applyAlignment="1">
      <alignment horizontal="left" vertical="center" wrapText="1"/>
    </xf>
    <xf numFmtId="1" fontId="62" fillId="74" borderId="58" xfId="59261" applyNumberFormat="1" applyFont="1" applyFill="1" applyBorder="1" applyAlignment="1">
      <alignment horizontal="left" vertical="center" wrapText="1"/>
    </xf>
    <xf numFmtId="4" fontId="62" fillId="74" borderId="57" xfId="59261" applyNumberFormat="1" applyFont="1" applyFill="1" applyBorder="1" applyAlignment="1">
      <alignment horizontal="left" vertical="center" wrapText="1"/>
    </xf>
    <xf numFmtId="4" fontId="62" fillId="74" borderId="58" xfId="59261" applyNumberFormat="1" applyFont="1" applyFill="1" applyBorder="1" applyAlignment="1">
      <alignment horizontal="left" vertical="center" wrapText="1"/>
    </xf>
    <xf numFmtId="3" fontId="62" fillId="74" borderId="57" xfId="0" applyNumberFormat="1" applyFont="1" applyFill="1" applyBorder="1" applyAlignment="1">
      <alignment vertical="center" wrapText="1"/>
    </xf>
    <xf numFmtId="3" fontId="62" fillId="74" borderId="58" xfId="0" applyNumberFormat="1" applyFont="1" applyFill="1" applyBorder="1" applyAlignment="1">
      <alignment vertical="center" wrapText="1"/>
    </xf>
    <xf numFmtId="3" fontId="62" fillId="74" borderId="58" xfId="59261" applyNumberFormat="1" applyFont="1" applyFill="1" applyBorder="1" applyAlignment="1">
      <alignment horizontal="center" vertical="center" wrapText="1"/>
    </xf>
    <xf numFmtId="3" fontId="62" fillId="74" borderId="27" xfId="59261" applyNumberFormat="1" applyFont="1" applyFill="1" applyBorder="1" applyAlignment="1">
      <alignment horizontal="left" vertical="center" wrapText="1"/>
    </xf>
    <xf numFmtId="3" fontId="62" fillId="74" borderId="27" xfId="58105" applyNumberFormat="1" applyFont="1" applyFill="1" applyBorder="1" applyAlignment="1">
      <alignment horizontal="center" vertical="center" wrapText="1"/>
    </xf>
    <xf numFmtId="3" fontId="62" fillId="74" borderId="27" xfId="59261" applyNumberFormat="1" applyFont="1" applyFill="1" applyBorder="1" applyAlignment="1">
      <alignment horizontal="center" vertical="center" wrapText="1"/>
    </xf>
    <xf numFmtId="3" fontId="62" fillId="74" borderId="61" xfId="0" applyNumberFormat="1" applyFont="1" applyFill="1" applyBorder="1" applyAlignment="1">
      <alignment horizontal="center" vertical="center"/>
    </xf>
    <xf numFmtId="3" fontId="62" fillId="74" borderId="62" xfId="0" applyNumberFormat="1" applyFont="1" applyFill="1" applyBorder="1" applyAlignment="1">
      <alignment horizontal="center" vertical="center"/>
    </xf>
    <xf numFmtId="3" fontId="62" fillId="74" borderId="60" xfId="59251" applyNumberFormat="1" applyFont="1" applyFill="1" applyBorder="1" applyAlignment="1">
      <alignment horizontal="left" vertical="center" wrapText="1"/>
    </xf>
    <xf numFmtId="3" fontId="62" fillId="74" borderId="63" xfId="59251" applyNumberFormat="1" applyFont="1" applyFill="1" applyBorder="1" applyAlignment="1">
      <alignment horizontal="left" vertical="center" wrapText="1"/>
    </xf>
    <xf numFmtId="3" fontId="62" fillId="74" borderId="25" xfId="58105" applyNumberFormat="1" applyFont="1" applyFill="1" applyBorder="1" applyAlignment="1">
      <alignment horizontal="center" vertical="center" wrapText="1"/>
    </xf>
    <xf numFmtId="3" fontId="62" fillId="74" borderId="34" xfId="0" applyNumberFormat="1" applyFont="1" applyFill="1" applyBorder="1" applyAlignment="1">
      <alignment horizontal="center" vertical="center"/>
    </xf>
    <xf numFmtId="3" fontId="62" fillId="74" borderId="25" xfId="0" applyNumberFormat="1" applyFont="1" applyFill="1" applyBorder="1" applyAlignment="1">
      <alignment horizontal="center" vertical="center"/>
    </xf>
    <xf numFmtId="3" fontId="62" fillId="74" borderId="64" xfId="0" applyNumberFormat="1" applyFont="1" applyFill="1" applyBorder="1" applyAlignment="1">
      <alignment horizontal="center" vertical="center"/>
    </xf>
    <xf numFmtId="3" fontId="62" fillId="74" borderId="65" xfId="0" applyNumberFormat="1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73" fillId="0" borderId="67" xfId="0" applyFont="1" applyFill="1" applyBorder="1" applyAlignment="1">
      <alignment vertical="center"/>
    </xf>
    <xf numFmtId="3" fontId="73" fillId="74" borderId="71" xfId="0" applyNumberFormat="1" applyFont="1" applyFill="1" applyBorder="1" applyAlignment="1">
      <alignment horizontal="center" vertical="center"/>
    </xf>
    <xf numFmtId="3" fontId="73" fillId="74" borderId="69" xfId="0" applyNumberFormat="1" applyFont="1" applyFill="1" applyBorder="1" applyAlignment="1">
      <alignment horizontal="center" vertical="center"/>
    </xf>
    <xf numFmtId="3" fontId="73" fillId="0" borderId="72" xfId="0" applyNumberFormat="1" applyFont="1" applyFill="1" applyBorder="1" applyAlignment="1">
      <alignment horizontal="center" vertical="center"/>
    </xf>
    <xf numFmtId="3" fontId="73" fillId="0" borderId="67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right" vertical="center"/>
    </xf>
    <xf numFmtId="3" fontId="62" fillId="0" borderId="0" xfId="0" applyNumberFormat="1" applyFont="1" applyFill="1" applyBorder="1" applyAlignment="1">
      <alignment horizontal="center" vertical="center"/>
    </xf>
    <xf numFmtId="3" fontId="62" fillId="74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3" fillId="0" borderId="0" xfId="0" applyNumberFormat="1" applyFont="1" applyFill="1" applyBorder="1" applyAlignment="1">
      <alignment horizontal="center" vertical="center"/>
    </xf>
    <xf numFmtId="3" fontId="73" fillId="74" borderId="0" xfId="0" applyNumberFormat="1" applyFont="1" applyFill="1" applyBorder="1" applyAlignment="1">
      <alignment horizontal="center" vertical="center"/>
    </xf>
    <xf numFmtId="3" fontId="73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0" fontId="62" fillId="74" borderId="47" xfId="0" applyFont="1" applyFill="1" applyBorder="1" applyAlignment="1">
      <alignment horizontal="center" vertical="center" wrapText="1"/>
    </xf>
    <xf numFmtId="3" fontId="62" fillId="74" borderId="49" xfId="0" applyNumberFormat="1" applyFont="1" applyFill="1" applyBorder="1" applyAlignment="1">
      <alignment horizontal="center" vertical="center" wrapText="1"/>
    </xf>
    <xf numFmtId="3" fontId="73" fillId="74" borderId="68" xfId="0" applyNumberFormat="1" applyFont="1" applyFill="1" applyBorder="1" applyAlignment="1">
      <alignment horizontal="center" vertical="center"/>
    </xf>
    <xf numFmtId="3" fontId="73" fillId="74" borderId="70" xfId="0" applyNumberFormat="1" applyFont="1" applyFill="1" applyBorder="1" applyAlignment="1">
      <alignment horizontal="center" vertical="center"/>
    </xf>
    <xf numFmtId="0" fontId="62" fillId="74" borderId="0" xfId="0" applyFont="1" applyFill="1" applyBorder="1" applyAlignment="1">
      <alignment horizontal="center" vertical="center"/>
    </xf>
    <xf numFmtId="0" fontId="73" fillId="74" borderId="0" xfId="0" applyFont="1" applyFill="1" applyBorder="1" applyAlignment="1">
      <alignment vertical="center"/>
    </xf>
    <xf numFmtId="3" fontId="73" fillId="74" borderId="0" xfId="0" applyNumberFormat="1" applyFont="1" applyFill="1" applyAlignment="1">
      <alignment horizontal="center" vertical="center"/>
    </xf>
    <xf numFmtId="3" fontId="62" fillId="74" borderId="0" xfId="0" applyNumberFormat="1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0" xfId="0" applyFont="1" applyFill="1" applyAlignment="1">
      <alignment horizontal="center" vertical="center"/>
    </xf>
    <xf numFmtId="3" fontId="75" fillId="74" borderId="0" xfId="0" applyNumberFormat="1" applyFont="1" applyFill="1" applyAlignment="1">
      <alignment horizontal="center" vertical="center"/>
    </xf>
    <xf numFmtId="3" fontId="66" fillId="74" borderId="0" xfId="0" applyNumberFormat="1" applyFont="1" applyFill="1" applyAlignment="1">
      <alignment horizontal="center" vertical="center"/>
    </xf>
    <xf numFmtId="3" fontId="75" fillId="0" borderId="0" xfId="0" applyNumberFormat="1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90" fillId="74" borderId="10" xfId="0" applyFont="1" applyFill="1" applyBorder="1" applyAlignment="1">
      <alignment horizontal="center" vertical="center" wrapText="1"/>
    </xf>
    <xf numFmtId="3" fontId="75" fillId="0" borderId="10" xfId="0" applyNumberFormat="1" applyFont="1" applyFill="1" applyBorder="1" applyAlignment="1">
      <alignment horizontal="center" vertical="center" wrapText="1"/>
    </xf>
    <xf numFmtId="3" fontId="90" fillId="74" borderId="48" xfId="0" applyNumberFormat="1" applyFont="1" applyFill="1" applyBorder="1" applyAlignment="1">
      <alignment horizontal="center" vertical="center" wrapText="1"/>
    </xf>
    <xf numFmtId="4" fontId="90" fillId="74" borderId="48" xfId="0" applyNumberFormat="1" applyFont="1" applyFill="1" applyBorder="1" applyAlignment="1">
      <alignment horizontal="center" vertical="center" wrapText="1"/>
    </xf>
    <xf numFmtId="0" fontId="75" fillId="0" borderId="52" xfId="0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3" fontId="75" fillId="0" borderId="83" xfId="59261" applyNumberFormat="1" applyFont="1" applyFill="1" applyBorder="1" applyAlignment="1">
      <alignment horizontal="left" vertical="center" wrapText="1"/>
    </xf>
    <xf numFmtId="3" fontId="75" fillId="74" borderId="35" xfId="58105" applyNumberFormat="1" applyFont="1" applyFill="1" applyBorder="1" applyAlignment="1">
      <alignment horizontal="center" vertical="center" wrapText="1"/>
    </xf>
    <xf numFmtId="3" fontId="75" fillId="74" borderId="28" xfId="58105" applyNumberFormat="1" applyFont="1" applyFill="1" applyBorder="1" applyAlignment="1">
      <alignment horizontal="center" vertical="center" wrapText="1"/>
    </xf>
    <xf numFmtId="3" fontId="66" fillId="74" borderId="28" xfId="58105" applyNumberFormat="1" applyFont="1" applyFill="1" applyBorder="1" applyAlignment="1">
      <alignment horizontal="center" vertical="center" wrapText="1"/>
    </xf>
    <xf numFmtId="3" fontId="66" fillId="74" borderId="31" xfId="58105" applyNumberFormat="1" applyFont="1" applyFill="1" applyBorder="1" applyAlignment="1">
      <alignment horizontal="center" vertical="center" wrapText="1"/>
    </xf>
    <xf numFmtId="3" fontId="75" fillId="74" borderId="31" xfId="0" applyNumberFormat="1" applyFont="1" applyFill="1" applyBorder="1" applyAlignment="1">
      <alignment horizontal="center" vertical="center"/>
    </xf>
    <xf numFmtId="3" fontId="75" fillId="0" borderId="54" xfId="0" applyNumberFormat="1" applyFont="1" applyFill="1" applyBorder="1" applyAlignment="1">
      <alignment horizontal="center" vertical="center"/>
    </xf>
    <xf numFmtId="3" fontId="75" fillId="0" borderId="28" xfId="0" applyNumberFormat="1" applyFont="1" applyFill="1" applyBorder="1" applyAlignment="1">
      <alignment horizontal="center" vertical="center"/>
    </xf>
    <xf numFmtId="3" fontId="75" fillId="0" borderId="55" xfId="0" applyNumberFormat="1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center"/>
    </xf>
    <xf numFmtId="0" fontId="75" fillId="0" borderId="56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3" fontId="75" fillId="0" borderId="65" xfId="59261" applyNumberFormat="1" applyFont="1" applyFill="1" applyBorder="1" applyAlignment="1">
      <alignment horizontal="left" vertical="center" wrapText="1"/>
    </xf>
    <xf numFmtId="3" fontId="75" fillId="74" borderId="58" xfId="58105" applyNumberFormat="1" applyFont="1" applyFill="1" applyBorder="1" applyAlignment="1">
      <alignment horizontal="center" vertical="center" wrapText="1"/>
    </xf>
    <xf numFmtId="3" fontId="75" fillId="74" borderId="10" xfId="58105" applyNumberFormat="1" applyFont="1" applyFill="1" applyBorder="1" applyAlignment="1">
      <alignment horizontal="center" vertical="center" wrapText="1"/>
    </xf>
    <xf numFmtId="3" fontId="75" fillId="0" borderId="58" xfId="0" applyNumberFormat="1" applyFont="1" applyFill="1" applyBorder="1" applyAlignment="1">
      <alignment horizontal="center" vertical="center"/>
    </xf>
    <xf numFmtId="3" fontId="75" fillId="0" borderId="10" xfId="0" applyNumberFormat="1" applyFont="1" applyFill="1" applyBorder="1" applyAlignment="1">
      <alignment horizontal="center" vertical="center"/>
    </xf>
    <xf numFmtId="0" fontId="75" fillId="0" borderId="61" xfId="0" applyFont="1" applyFill="1" applyBorder="1" applyAlignment="1">
      <alignment horizontal="center" vertical="center"/>
    </xf>
    <xf numFmtId="0" fontId="75" fillId="0" borderId="65" xfId="0" applyFont="1" applyFill="1" applyBorder="1" applyAlignment="1">
      <alignment horizontal="left" vertical="center" wrapText="1"/>
    </xf>
    <xf numFmtId="3" fontId="75" fillId="74" borderId="58" xfId="0" applyNumberFormat="1" applyFont="1" applyFill="1" applyBorder="1" applyAlignment="1">
      <alignment horizontal="center" vertical="center"/>
    </xf>
    <xf numFmtId="3" fontId="75" fillId="74" borderId="10" xfId="0" applyNumberFormat="1" applyFont="1" applyFill="1" applyBorder="1" applyAlignment="1">
      <alignment horizontal="center" vertical="center"/>
    </xf>
    <xf numFmtId="3" fontId="75" fillId="0" borderId="62" xfId="59261" applyNumberFormat="1" applyFont="1" applyFill="1" applyBorder="1" applyAlignment="1">
      <alignment horizontal="left" vertical="center" wrapText="1"/>
    </xf>
    <xf numFmtId="3" fontId="75" fillId="0" borderId="62" xfId="59251" applyNumberFormat="1" applyFont="1" applyFill="1" applyBorder="1" applyAlignment="1">
      <alignment horizontal="left" vertical="center" wrapText="1"/>
    </xf>
    <xf numFmtId="3" fontId="75" fillId="0" borderId="30" xfId="59261" applyNumberFormat="1" applyFont="1" applyFill="1" applyBorder="1" applyAlignment="1">
      <alignment horizontal="left" vertical="center" wrapText="1"/>
    </xf>
    <xf numFmtId="0" fontId="75" fillId="0" borderId="27" xfId="0" applyFont="1" applyFill="1" applyBorder="1" applyAlignment="1">
      <alignment vertical="center" wrapText="1"/>
    </xf>
    <xf numFmtId="3" fontId="75" fillId="0" borderId="65" xfId="59251" applyNumberFormat="1" applyFont="1" applyFill="1" applyBorder="1" applyAlignment="1">
      <alignment horizontal="left" vertical="center" wrapText="1"/>
    </xf>
    <xf numFmtId="0" fontId="75" fillId="0" borderId="62" xfId="0" applyFont="1" applyFill="1" applyBorder="1" applyAlignment="1">
      <alignment vertical="center"/>
    </xf>
    <xf numFmtId="3" fontId="75" fillId="0" borderId="62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horizontal="left" vertical="center" wrapText="1"/>
    </xf>
    <xf numFmtId="3" fontId="75" fillId="74" borderId="27" xfId="58105" applyNumberFormat="1" applyFont="1" applyFill="1" applyBorder="1" applyAlignment="1">
      <alignment horizontal="center" vertical="center" wrapText="1"/>
    </xf>
    <xf numFmtId="3" fontId="75" fillId="0" borderId="31" xfId="0" applyNumberFormat="1" applyFont="1" applyFill="1" applyBorder="1" applyAlignment="1">
      <alignment horizontal="center" vertical="center"/>
    </xf>
    <xf numFmtId="3" fontId="75" fillId="0" borderId="30" xfId="59251" applyNumberFormat="1" applyFont="1" applyFill="1" applyBorder="1" applyAlignment="1">
      <alignment horizontal="left" vertical="center" wrapText="1"/>
    </xf>
    <xf numFmtId="3" fontId="66" fillId="74" borderId="10" xfId="58105" applyNumberFormat="1" applyFont="1" applyFill="1" applyBorder="1" applyAlignment="1">
      <alignment horizontal="center" vertical="center" wrapText="1"/>
    </xf>
    <xf numFmtId="3" fontId="66" fillId="74" borderId="26" xfId="58105" applyNumberFormat="1" applyFont="1" applyFill="1" applyBorder="1" applyAlignment="1">
      <alignment horizontal="center" vertical="center" wrapText="1"/>
    </xf>
    <xf numFmtId="3" fontId="75" fillId="74" borderId="61" xfId="0" applyNumberFormat="1" applyFont="1" applyFill="1" applyBorder="1" applyAlignment="1">
      <alignment horizontal="center" vertical="center"/>
    </xf>
    <xf numFmtId="3" fontId="75" fillId="0" borderId="27" xfId="0" applyNumberFormat="1" applyFont="1" applyFill="1" applyBorder="1" applyAlignment="1">
      <alignment horizontal="center" vertical="center"/>
    </xf>
    <xf numFmtId="0" fontId="75" fillId="0" borderId="59" xfId="0" applyFont="1" applyFill="1" applyBorder="1" applyAlignment="1">
      <alignment horizontal="center" vertical="center"/>
    </xf>
    <xf numFmtId="3" fontId="75" fillId="0" borderId="33" xfId="59251" applyNumberFormat="1" applyFont="1" applyFill="1" applyBorder="1" applyAlignment="1">
      <alignment horizontal="left" vertical="center" wrapText="1"/>
    </xf>
    <xf numFmtId="3" fontId="75" fillId="74" borderId="63" xfId="58105" applyNumberFormat="1" applyFont="1" applyFill="1" applyBorder="1" applyAlignment="1">
      <alignment horizontal="center" vertical="center" wrapText="1"/>
    </xf>
    <xf numFmtId="3" fontId="75" fillId="74" borderId="25" xfId="58105" applyNumberFormat="1" applyFont="1" applyFill="1" applyBorder="1" applyAlignment="1">
      <alignment horizontal="center" vertical="center" wrapText="1"/>
    </xf>
    <xf numFmtId="3" fontId="75" fillId="74" borderId="55" xfId="0" applyNumberFormat="1" applyFont="1" applyFill="1" applyBorder="1" applyAlignment="1">
      <alignment horizontal="center" vertical="center"/>
    </xf>
    <xf numFmtId="3" fontId="75" fillId="0" borderId="61" xfId="0" applyNumberFormat="1" applyFont="1" applyFill="1" applyBorder="1" applyAlignment="1">
      <alignment horizontal="center" vertical="center"/>
    </xf>
    <xf numFmtId="0" fontId="75" fillId="0" borderId="32" xfId="0" applyFont="1" applyFill="1" applyBorder="1" applyAlignment="1">
      <alignment horizontal="center" vertical="center"/>
    </xf>
    <xf numFmtId="0" fontId="75" fillId="0" borderId="48" xfId="0" applyFont="1" applyFill="1" applyBorder="1" applyAlignment="1">
      <alignment horizontal="center" vertical="center"/>
    </xf>
    <xf numFmtId="3" fontId="66" fillId="74" borderId="25" xfId="58105" applyNumberFormat="1" applyFont="1" applyFill="1" applyBorder="1" applyAlignment="1">
      <alignment horizontal="center" vertical="center" wrapText="1"/>
    </xf>
    <xf numFmtId="3" fontId="75" fillId="74" borderId="64" xfId="0" applyNumberFormat="1" applyFont="1" applyFill="1" applyBorder="1" applyAlignment="1">
      <alignment horizontal="center" vertical="center"/>
    </xf>
    <xf numFmtId="3" fontId="75" fillId="0" borderId="34" xfId="0" applyNumberFormat="1" applyFont="1" applyFill="1" applyBorder="1" applyAlignment="1">
      <alignment horizontal="center" vertical="center"/>
    </xf>
    <xf numFmtId="3" fontId="75" fillId="0" borderId="25" xfId="0" applyNumberFormat="1" applyFont="1" applyFill="1" applyBorder="1" applyAlignment="1">
      <alignment horizontal="center" vertical="center"/>
    </xf>
    <xf numFmtId="3" fontId="75" fillId="0" borderId="32" xfId="0" applyNumberFormat="1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horizontal="center" vertical="center"/>
    </xf>
    <xf numFmtId="3" fontId="75" fillId="0" borderId="64" xfId="0" applyNumberFormat="1" applyFont="1" applyFill="1" applyBorder="1" applyAlignment="1">
      <alignment horizontal="center" vertical="center"/>
    </xf>
    <xf numFmtId="0" fontId="75" fillId="0" borderId="68" xfId="0" applyFont="1" applyFill="1" applyBorder="1" applyAlignment="1">
      <alignment horizontal="center" vertical="center"/>
    </xf>
    <xf numFmtId="0" fontId="75" fillId="0" borderId="84" xfId="0" applyFont="1" applyFill="1" applyBorder="1" applyAlignment="1">
      <alignment horizontal="center" vertical="center"/>
    </xf>
    <xf numFmtId="0" fontId="74" fillId="0" borderId="72" xfId="0" applyFont="1" applyFill="1" applyBorder="1" applyAlignment="1">
      <alignment vertical="center"/>
    </xf>
    <xf numFmtId="3" fontId="74" fillId="74" borderId="68" xfId="0" applyNumberFormat="1" applyFont="1" applyFill="1" applyBorder="1" applyAlignment="1">
      <alignment horizontal="center" vertical="center"/>
    </xf>
    <xf numFmtId="3" fontId="74" fillId="74" borderId="69" xfId="0" applyNumberFormat="1" applyFont="1" applyFill="1" applyBorder="1" applyAlignment="1">
      <alignment horizontal="center" vertical="center"/>
    </xf>
    <xf numFmtId="3" fontId="67" fillId="74" borderId="69" xfId="0" applyNumberFormat="1" applyFont="1" applyFill="1" applyBorder="1" applyAlignment="1">
      <alignment horizontal="center" vertical="center"/>
    </xf>
    <xf numFmtId="3" fontId="74" fillId="74" borderId="70" xfId="0" applyNumberFormat="1" applyFont="1" applyFill="1" applyBorder="1" applyAlignment="1">
      <alignment horizontal="center" vertical="center"/>
    </xf>
    <xf numFmtId="3" fontId="74" fillId="0" borderId="71" xfId="0" applyNumberFormat="1" applyFont="1" applyFill="1" applyBorder="1" applyAlignment="1">
      <alignment horizontal="center" vertical="center"/>
    </xf>
    <xf numFmtId="3" fontId="74" fillId="0" borderId="69" xfId="0" applyNumberFormat="1" applyFont="1" applyFill="1" applyBorder="1" applyAlignment="1">
      <alignment horizontal="center" vertical="center"/>
    </xf>
    <xf numFmtId="3" fontId="74" fillId="0" borderId="72" xfId="0" applyNumberFormat="1" applyFont="1" applyFill="1" applyBorder="1" applyAlignment="1">
      <alignment horizontal="center" vertical="center"/>
    </xf>
    <xf numFmtId="3" fontId="74" fillId="0" borderId="70" xfId="0" applyNumberFormat="1" applyFont="1" applyFill="1" applyBorder="1" applyAlignment="1">
      <alignment horizontal="center" vertical="center"/>
    </xf>
    <xf numFmtId="0" fontId="75" fillId="74" borderId="0" xfId="0" applyFont="1" applyFill="1" applyAlignment="1">
      <alignment horizontal="center" vertical="center"/>
    </xf>
    <xf numFmtId="3" fontId="75" fillId="74" borderId="54" xfId="0" applyNumberFormat="1" applyFont="1" applyFill="1" applyBorder="1" applyAlignment="1">
      <alignment horizontal="center" vertical="center"/>
    </xf>
    <xf numFmtId="0" fontId="75" fillId="74" borderId="28" xfId="0" applyFont="1" applyFill="1" applyBorder="1" applyAlignment="1">
      <alignment horizontal="center" vertical="center"/>
    </xf>
    <xf numFmtId="3" fontId="75" fillId="74" borderId="63" xfId="0" applyNumberFormat="1" applyFont="1" applyFill="1" applyBorder="1" applyAlignment="1">
      <alignment horizontal="center" vertical="center"/>
    </xf>
    <xf numFmtId="0" fontId="75" fillId="74" borderId="25" xfId="0" applyFont="1" applyFill="1" applyBorder="1" applyAlignment="1">
      <alignment horizontal="center" vertical="center"/>
    </xf>
    <xf numFmtId="0" fontId="0" fillId="0" borderId="0" xfId="0" applyFill="1"/>
    <xf numFmtId="0" fontId="81" fillId="0" borderId="0" xfId="0" applyFont="1" applyFill="1"/>
    <xf numFmtId="0" fontId="66" fillId="0" borderId="0" xfId="0" applyFont="1" applyFill="1"/>
    <xf numFmtId="3" fontId="75" fillId="0" borderId="10" xfId="59248" applyNumberFormat="1" applyFont="1" applyFill="1" applyBorder="1" applyAlignment="1">
      <alignment horizontal="center" vertical="center" wrapText="1"/>
    </xf>
    <xf numFmtId="0" fontId="62" fillId="0" borderId="10" xfId="59247" applyFont="1" applyFill="1" applyBorder="1" applyAlignment="1">
      <alignment horizontal="center" vertical="center"/>
    </xf>
    <xf numFmtId="4" fontId="62" fillId="0" borderId="10" xfId="59247" applyNumberFormat="1" applyFont="1" applyFill="1" applyBorder="1" applyAlignment="1">
      <alignment horizontal="left" vertical="center" wrapText="1"/>
    </xf>
    <xf numFmtId="3" fontId="62" fillId="0" borderId="10" xfId="59247" applyNumberFormat="1" applyFont="1" applyFill="1" applyBorder="1" applyAlignment="1">
      <alignment horizontal="center" vertical="center" wrapText="1"/>
    </xf>
    <xf numFmtId="4" fontId="62" fillId="0" borderId="10" xfId="59247" applyNumberFormat="1" applyFont="1" applyFill="1" applyBorder="1" applyAlignment="1">
      <alignment vertical="center" wrapText="1"/>
    </xf>
    <xf numFmtId="4" fontId="62" fillId="0" borderId="10" xfId="59262" applyNumberFormat="1" applyFont="1" applyFill="1" applyBorder="1" applyAlignment="1">
      <alignment vertical="center" wrapText="1"/>
    </xf>
    <xf numFmtId="4" fontId="93" fillId="0" borderId="10" xfId="59262" applyNumberFormat="1" applyFont="1" applyFill="1" applyBorder="1" applyAlignment="1">
      <alignment horizontal="left" vertical="center" wrapText="1"/>
    </xf>
    <xf numFmtId="3" fontId="93" fillId="0" borderId="10" xfId="59247" applyNumberFormat="1" applyFont="1" applyFill="1" applyBorder="1" applyAlignment="1">
      <alignment horizontal="center" vertical="center" wrapText="1"/>
    </xf>
    <xf numFmtId="0" fontId="62" fillId="0" borderId="28" xfId="59247" applyFont="1" applyFill="1" applyBorder="1" applyAlignment="1">
      <alignment horizontal="center" vertical="center"/>
    </xf>
    <xf numFmtId="4" fontId="62" fillId="0" borderId="10" xfId="59262" applyNumberFormat="1" applyFont="1" applyFill="1" applyBorder="1" applyAlignment="1">
      <alignment horizontal="left" vertical="center" wrapText="1"/>
    </xf>
    <xf numFmtId="0" fontId="62" fillId="0" borderId="25" xfId="59247" applyFont="1" applyFill="1" applyBorder="1" applyAlignment="1">
      <alignment horizontal="center" vertical="center"/>
    </xf>
    <xf numFmtId="0" fontId="62" fillId="0" borderId="29" xfId="59247" applyFont="1" applyFill="1" applyBorder="1" applyAlignment="1">
      <alignment horizontal="center" vertical="center"/>
    </xf>
    <xf numFmtId="4" fontId="62" fillId="0" borderId="10" xfId="57748" applyNumberFormat="1" applyFont="1" applyFill="1" applyBorder="1" applyAlignment="1">
      <alignment horizontal="left" vertical="center" wrapText="1"/>
    </xf>
    <xf numFmtId="3" fontId="62" fillId="0" borderId="10" xfId="59247" applyNumberFormat="1" applyFont="1" applyFill="1" applyBorder="1" applyAlignment="1">
      <alignment vertical="center" wrapText="1"/>
    </xf>
    <xf numFmtId="3" fontId="93" fillId="0" borderId="10" xfId="59247" applyNumberFormat="1" applyFont="1" applyFill="1" applyBorder="1" applyAlignment="1">
      <alignment vertical="center" wrapText="1"/>
    </xf>
    <xf numFmtId="3" fontId="63" fillId="0" borderId="10" xfId="59247" applyNumberFormat="1" applyFont="1" applyFill="1" applyBorder="1" applyAlignment="1">
      <alignment horizontal="center" vertical="center" wrapText="1"/>
    </xf>
    <xf numFmtId="3" fontId="73" fillId="0" borderId="10" xfId="59247" applyNumberFormat="1" applyFont="1" applyFill="1" applyBorder="1" applyAlignment="1">
      <alignment horizontal="left" vertical="center"/>
    </xf>
    <xf numFmtId="3" fontId="73" fillId="0" borderId="10" xfId="59247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3" fontId="94" fillId="0" borderId="0" xfId="0" applyNumberFormat="1" applyFont="1" applyFill="1" applyAlignment="1">
      <alignment horizontal="center" vertical="center" wrapText="1"/>
    </xf>
    <xf numFmtId="3" fontId="78" fillId="0" borderId="0" xfId="0" applyNumberFormat="1" applyFont="1" applyFill="1" applyAlignment="1">
      <alignment horizontal="left" vertical="center" wrapText="1"/>
    </xf>
    <xf numFmtId="3" fontId="78" fillId="0" borderId="0" xfId="0" applyNumberFormat="1" applyFont="1" applyFill="1" applyAlignment="1">
      <alignment horizontal="center" vertical="center" wrapText="1"/>
    </xf>
    <xf numFmtId="3" fontId="94" fillId="0" borderId="0" xfId="0" applyNumberFormat="1" applyFont="1" applyFill="1" applyAlignment="1">
      <alignment horizontal="center" vertical="center"/>
    </xf>
    <xf numFmtId="3" fontId="96" fillId="0" borderId="0" xfId="0" applyNumberFormat="1" applyFont="1" applyFill="1" applyAlignment="1">
      <alignment horizontal="center" vertical="center"/>
    </xf>
    <xf numFmtId="3" fontId="78" fillId="0" borderId="0" xfId="0" applyNumberFormat="1" applyFont="1" applyFill="1" applyAlignment="1">
      <alignment horizontal="left" vertical="center"/>
    </xf>
    <xf numFmtId="3" fontId="78" fillId="0" borderId="0" xfId="0" applyNumberFormat="1" applyFont="1" applyFill="1" applyAlignment="1">
      <alignment horizontal="center" vertical="center"/>
    </xf>
    <xf numFmtId="3" fontId="96" fillId="0" borderId="10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Fill="1" applyAlignment="1">
      <alignment horizontal="center" vertical="center"/>
    </xf>
    <xf numFmtId="3" fontId="80" fillId="0" borderId="10" xfId="0" applyNumberFormat="1" applyFont="1" applyFill="1" applyBorder="1" applyAlignment="1">
      <alignment horizontal="left" vertical="center" wrapText="1"/>
    </xf>
    <xf numFmtId="3" fontId="97" fillId="0" borderId="10" xfId="0" applyNumberFormat="1" applyFont="1" applyFill="1" applyBorder="1" applyAlignment="1">
      <alignment horizontal="center" vertical="center"/>
    </xf>
    <xf numFmtId="3" fontId="97" fillId="0" borderId="0" xfId="0" applyNumberFormat="1" applyFont="1" applyFill="1" applyAlignment="1">
      <alignment horizontal="center" vertical="center"/>
    </xf>
    <xf numFmtId="3" fontId="98" fillId="0" borderId="10" xfId="0" applyNumberFormat="1" applyFont="1" applyFill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center" vertical="center" wrapText="1"/>
    </xf>
    <xf numFmtId="3" fontId="80" fillId="0" borderId="10" xfId="0" applyNumberFormat="1" applyFont="1" applyFill="1" applyBorder="1" applyAlignment="1">
      <alignment horizontal="center" vertical="center"/>
    </xf>
    <xf numFmtId="3" fontId="99" fillId="0" borderId="10" xfId="0" applyNumberFormat="1" applyFont="1" applyFill="1" applyBorder="1" applyAlignment="1">
      <alignment horizontal="center" vertical="center" wrapText="1"/>
    </xf>
    <xf numFmtId="3" fontId="100" fillId="0" borderId="10" xfId="0" applyNumberFormat="1" applyFont="1" applyFill="1" applyBorder="1" applyAlignment="1">
      <alignment horizontal="left" vertical="center" wrapText="1"/>
    </xf>
    <xf numFmtId="3" fontId="100" fillId="0" borderId="10" xfId="0" applyNumberFormat="1" applyFont="1" applyFill="1" applyBorder="1" applyAlignment="1">
      <alignment horizontal="center" vertical="center" wrapText="1"/>
    </xf>
    <xf numFmtId="3" fontId="101" fillId="0" borderId="0" xfId="0" applyNumberFormat="1" applyFont="1" applyFill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3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3" fontId="61" fillId="0" borderId="0" xfId="0" applyNumberFormat="1" applyFont="1" applyAlignment="1">
      <alignment vertical="center" wrapText="1"/>
    </xf>
    <xf numFmtId="3" fontId="0" fillId="0" borderId="0" xfId="0" applyNumberFormat="1"/>
    <xf numFmtId="0" fontId="102" fillId="0" borderId="10" xfId="0" applyFont="1" applyBorder="1" applyAlignment="1">
      <alignment vertical="center" wrapText="1"/>
    </xf>
    <xf numFmtId="3" fontId="71" fillId="74" borderId="10" xfId="0" applyNumberFormat="1" applyFont="1" applyFill="1" applyBorder="1" applyAlignment="1">
      <alignment horizontal="center" vertical="center"/>
    </xf>
    <xf numFmtId="0" fontId="71" fillId="74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3" fontId="72" fillId="0" borderId="10" xfId="0" applyNumberFormat="1" applyFont="1" applyBorder="1" applyAlignment="1">
      <alignment horizontal="center" vertical="center"/>
    </xf>
    <xf numFmtId="0" fontId="61" fillId="0" borderId="0" xfId="0" applyFont="1" applyFill="1" applyAlignment="1">
      <alignment horizontal="justify" vertical="center"/>
    </xf>
    <xf numFmtId="0" fontId="103" fillId="0" borderId="10" xfId="57572" applyFont="1" applyFill="1" applyBorder="1" applyAlignment="1">
      <alignment horizontal="center" vertical="center" wrapText="1"/>
    </xf>
    <xf numFmtId="0" fontId="103" fillId="0" borderId="27" xfId="57572" applyFont="1" applyFill="1" applyBorder="1" applyAlignment="1">
      <alignment horizontal="center" vertical="center" wrapText="1"/>
    </xf>
    <xf numFmtId="0" fontId="103" fillId="0" borderId="28" xfId="57572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left" vertical="center" wrapText="1"/>
    </xf>
    <xf numFmtId="3" fontId="103" fillId="0" borderId="10" xfId="57572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3" fontId="71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vertical="center" wrapText="1"/>
    </xf>
    <xf numFmtId="0" fontId="76" fillId="0" borderId="25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3" fontId="103" fillId="0" borderId="10" xfId="0" applyNumberFormat="1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3" fontId="103" fillId="0" borderId="28" xfId="57572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90" fillId="0" borderId="25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90" fillId="0" borderId="28" xfId="0" applyFont="1" applyFill="1" applyBorder="1" applyAlignment="1">
      <alignment horizontal="center"/>
    </xf>
    <xf numFmtId="0" fontId="76" fillId="0" borderId="29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 wrapText="1"/>
    </xf>
    <xf numFmtId="0" fontId="76" fillId="0" borderId="34" xfId="0" applyFont="1" applyFill="1" applyBorder="1" applyAlignment="1">
      <alignment horizontal="center" vertical="center"/>
    </xf>
    <xf numFmtId="3" fontId="62" fillId="0" borderId="27" xfId="59247" applyNumberFormat="1" applyFont="1" applyFill="1" applyBorder="1" applyAlignment="1">
      <alignment vertical="center" wrapText="1"/>
    </xf>
    <xf numFmtId="0" fontId="76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 vertical="center" wrapText="1"/>
    </xf>
    <xf numFmtId="0" fontId="93" fillId="0" borderId="10" xfId="0" applyFont="1" applyFill="1" applyBorder="1" applyAlignment="1">
      <alignment wrapText="1"/>
    </xf>
    <xf numFmtId="4" fontId="93" fillId="0" borderId="10" xfId="0" applyNumberFormat="1" applyFont="1" applyFill="1" applyBorder="1" applyAlignment="1">
      <alignment vertical="center" wrapText="1"/>
    </xf>
    <xf numFmtId="3" fontId="66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6" fillId="0" borderId="10" xfId="0" applyNumberFormat="1" applyFont="1" applyFill="1" applyBorder="1" applyAlignment="1" applyProtection="1">
      <alignment horizontal="left" vertical="center"/>
      <protection locked="0"/>
    </xf>
    <xf numFmtId="4" fontId="66" fillId="0" borderId="34" xfId="59249" applyNumberFormat="1" applyFont="1" applyFill="1" applyBorder="1" applyAlignment="1">
      <alignment horizontal="left" vertical="center" wrapText="1"/>
    </xf>
    <xf numFmtId="0" fontId="104" fillId="0" borderId="10" xfId="0" applyFont="1" applyFill="1" applyBorder="1" applyAlignment="1">
      <alignment horizontal="center" vertical="center"/>
    </xf>
    <xf numFmtId="3" fontId="104" fillId="0" borderId="10" xfId="0" applyNumberFormat="1" applyFont="1" applyFill="1" applyBorder="1" applyAlignment="1">
      <alignment horizontal="left" vertical="center"/>
    </xf>
    <xf numFmtId="3" fontId="105" fillId="0" borderId="10" xfId="0" applyNumberFormat="1" applyFont="1" applyFill="1" applyBorder="1" applyAlignment="1">
      <alignment horizontal="center" vertical="center"/>
    </xf>
    <xf numFmtId="3" fontId="73" fillId="0" borderId="0" xfId="0" applyNumberFormat="1" applyFont="1" applyFill="1" applyBorder="1" applyAlignment="1">
      <alignment horizontal="left" vertical="center"/>
    </xf>
    <xf numFmtId="0" fontId="48" fillId="0" borderId="0" xfId="57736" applyFill="1"/>
    <xf numFmtId="0" fontId="106" fillId="0" borderId="0" xfId="57736" applyFont="1" applyFill="1" applyAlignment="1"/>
    <xf numFmtId="0" fontId="90" fillId="0" borderId="10" xfId="57736" applyFont="1" applyFill="1" applyBorder="1" applyAlignment="1">
      <alignment horizontal="center" vertical="center" wrapText="1"/>
    </xf>
    <xf numFmtId="0" fontId="90" fillId="0" borderId="26" xfId="57736" applyFont="1" applyFill="1" applyBorder="1" applyAlignment="1">
      <alignment horizontal="center" vertical="center" wrapText="1"/>
    </xf>
    <xf numFmtId="0" fontId="48" fillId="0" borderId="10" xfId="57736" applyFill="1" applyBorder="1" applyAlignment="1">
      <alignment horizontal="center" vertical="center" wrapText="1"/>
    </xf>
    <xf numFmtId="0" fontId="48" fillId="0" borderId="26" xfId="57736" applyFill="1" applyBorder="1" applyAlignment="1">
      <alignment horizontal="center" vertical="center" wrapText="1"/>
    </xf>
    <xf numFmtId="0" fontId="61" fillId="0" borderId="26" xfId="57736" applyFont="1" applyFill="1" applyBorder="1" applyAlignment="1">
      <alignment vertical="center" wrapText="1"/>
    </xf>
    <xf numFmtId="4" fontId="62" fillId="0" borderId="26" xfId="0" applyNumberFormat="1" applyFont="1" applyFill="1" applyBorder="1" applyAlignment="1">
      <alignment vertical="center" wrapText="1"/>
    </xf>
    <xf numFmtId="3" fontId="48" fillId="0" borderId="0" xfId="57736" applyNumberFormat="1" applyFill="1"/>
    <xf numFmtId="0" fontId="66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71" fillId="0" borderId="26" xfId="0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3" fontId="61" fillId="0" borderId="0" xfId="0" applyNumberFormat="1" applyFont="1" applyFill="1" applyAlignment="1">
      <alignment vertical="center" wrapText="1"/>
    </xf>
    <xf numFmtId="3" fontId="64" fillId="0" borderId="10" xfId="0" applyNumberFormat="1" applyFont="1" applyFill="1" applyBorder="1" applyAlignment="1">
      <alignment horizontal="center" vertical="center"/>
    </xf>
    <xf numFmtId="0" fontId="90" fillId="0" borderId="0" xfId="57736" applyFont="1" applyFill="1" applyAlignment="1">
      <alignment horizontal="center"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26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78" fillId="74" borderId="0" xfId="0" applyFont="1" applyFill="1" applyAlignment="1">
      <alignment horizontal="center" vertical="center" wrapText="1"/>
    </xf>
    <xf numFmtId="3" fontId="76" fillId="74" borderId="10" xfId="0" applyNumberFormat="1" applyFont="1" applyFill="1" applyBorder="1" applyAlignment="1">
      <alignment horizontal="center" vertical="center" wrapText="1"/>
    </xf>
    <xf numFmtId="0" fontId="74" fillId="74" borderId="10" xfId="0" applyFont="1" applyFill="1" applyBorder="1" applyAlignment="1">
      <alignment horizontal="right" wrapText="1"/>
    </xf>
    <xf numFmtId="0" fontId="73" fillId="74" borderId="0" xfId="0" applyFont="1" applyFill="1"/>
    <xf numFmtId="0" fontId="74" fillId="74" borderId="10" xfId="0" applyFont="1" applyFill="1" applyBorder="1" applyAlignment="1">
      <alignment horizontal="center" vertical="center"/>
    </xf>
    <xf numFmtId="2" fontId="79" fillId="74" borderId="0" xfId="0" applyNumberFormat="1" applyFont="1" applyFill="1" applyAlignment="1">
      <alignment horizontal="center" vertical="center" wrapText="1"/>
    </xf>
    <xf numFmtId="0" fontId="78" fillId="74" borderId="0" xfId="0" applyFont="1" applyFill="1" applyAlignment="1">
      <alignment horizontal="center" vertical="center" wrapText="1"/>
    </xf>
    <xf numFmtId="0" fontId="76" fillId="74" borderId="10" xfId="0" applyFont="1" applyFill="1" applyBorder="1" applyAlignment="1">
      <alignment horizontal="center" vertical="center" wrapText="1"/>
    </xf>
    <xf numFmtId="0" fontId="76" fillId="74" borderId="25" xfId="0" applyFont="1" applyFill="1" applyBorder="1" applyAlignment="1">
      <alignment horizontal="center" vertical="center" wrapText="1"/>
    </xf>
    <xf numFmtId="0" fontId="76" fillId="74" borderId="29" xfId="0" applyFont="1" applyFill="1" applyBorder="1" applyAlignment="1">
      <alignment horizontal="center" vertical="center" wrapText="1"/>
    </xf>
    <xf numFmtId="0" fontId="76" fillId="74" borderId="28" xfId="0" applyFont="1" applyFill="1" applyBorder="1" applyAlignment="1">
      <alignment horizontal="center" vertical="center" wrapText="1"/>
    </xf>
    <xf numFmtId="0" fontId="76" fillId="74" borderId="26" xfId="0" applyFont="1" applyFill="1" applyBorder="1" applyAlignment="1">
      <alignment horizontal="center"/>
    </xf>
    <xf numFmtId="0" fontId="76" fillId="74" borderId="30" xfId="0" applyFont="1" applyFill="1" applyBorder="1" applyAlignment="1">
      <alignment horizontal="center"/>
    </xf>
    <xf numFmtId="0" fontId="76" fillId="74" borderId="27" xfId="0" applyFont="1" applyFill="1" applyBorder="1" applyAlignment="1">
      <alignment horizontal="center"/>
    </xf>
    <xf numFmtId="3" fontId="76" fillId="74" borderId="10" xfId="0" applyNumberFormat="1" applyFont="1" applyFill="1" applyBorder="1" applyAlignment="1">
      <alignment horizontal="center" vertical="center" wrapText="1"/>
    </xf>
    <xf numFmtId="0" fontId="77" fillId="74" borderId="10" xfId="0" applyFont="1" applyFill="1" applyBorder="1" applyAlignment="1">
      <alignment horizontal="center" vertical="center"/>
    </xf>
    <xf numFmtId="0" fontId="77" fillId="74" borderId="10" xfId="0" applyFont="1" applyFill="1" applyBorder="1" applyAlignment="1">
      <alignment horizontal="center" vertical="center" wrapText="1"/>
    </xf>
    <xf numFmtId="3" fontId="76" fillId="74" borderId="26" xfId="0" applyNumberFormat="1" applyFont="1" applyFill="1" applyBorder="1" applyAlignment="1">
      <alignment horizontal="center" vertical="center" wrapText="1"/>
    </xf>
    <xf numFmtId="3" fontId="76" fillId="74" borderId="27" xfId="0" applyNumberFormat="1" applyFont="1" applyFill="1" applyBorder="1" applyAlignment="1">
      <alignment horizontal="center" vertical="center" wrapText="1"/>
    </xf>
    <xf numFmtId="0" fontId="68" fillId="74" borderId="26" xfId="57846" applyFont="1" applyFill="1" applyBorder="1" applyAlignment="1" applyProtection="1">
      <alignment horizontal="center" vertical="center" wrapText="1"/>
      <protection locked="0"/>
    </xf>
    <xf numFmtId="0" fontId="68" fillId="74" borderId="27" xfId="57846" applyFont="1" applyFill="1" applyBorder="1" applyAlignment="1" applyProtection="1">
      <alignment horizontal="center" vertical="center" wrapText="1"/>
      <protection locked="0"/>
    </xf>
    <xf numFmtId="0" fontId="65" fillId="74" borderId="24" xfId="57846" applyFont="1" applyFill="1" applyBorder="1" applyAlignment="1">
      <alignment horizontal="center" vertical="center" wrapText="1"/>
    </xf>
    <xf numFmtId="0" fontId="68" fillId="74" borderId="10" xfId="57846" applyFont="1" applyFill="1" applyBorder="1" applyAlignment="1" applyProtection="1">
      <alignment horizontal="center" vertical="center" wrapText="1"/>
      <protection locked="0"/>
    </xf>
    <xf numFmtId="0" fontId="72" fillId="74" borderId="25" xfId="57846" applyFont="1" applyFill="1" applyBorder="1" applyAlignment="1" applyProtection="1">
      <alignment horizontal="center" vertical="center" wrapText="1"/>
      <protection locked="0"/>
    </xf>
    <xf numFmtId="0" fontId="72" fillId="74" borderId="28" xfId="57846" applyFont="1" applyFill="1" applyBorder="1" applyAlignment="1" applyProtection="1">
      <alignment horizontal="center" vertical="center" wrapText="1"/>
      <protection locked="0"/>
    </xf>
    <xf numFmtId="3" fontId="79" fillId="0" borderId="0" xfId="57788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3" fontId="62" fillId="0" borderId="24" xfId="57788" applyNumberFormat="1" applyFont="1" applyFill="1" applyBorder="1" applyAlignment="1">
      <alignment horizontal="right" vertical="center" wrapText="1"/>
    </xf>
    <xf numFmtId="0" fontId="80" fillId="0" borderId="24" xfId="0" applyFont="1" applyFill="1" applyBorder="1" applyAlignment="1">
      <alignment vertical="center" wrapText="1"/>
    </xf>
    <xf numFmtId="0" fontId="62" fillId="0" borderId="10" xfId="57788" applyFont="1" applyFill="1" applyBorder="1" applyAlignment="1">
      <alignment horizontal="center" vertical="center" wrapText="1"/>
    </xf>
    <xf numFmtId="0" fontId="62" fillId="0" borderId="25" xfId="57788" applyFont="1" applyFill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3" fontId="62" fillId="0" borderId="25" xfId="0" applyNumberFormat="1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/>
    </xf>
    <xf numFmtId="0" fontId="80" fillId="0" borderId="28" xfId="0" applyFont="1" applyFill="1" applyBorder="1" applyAlignment="1">
      <alignment horizontal="center" vertical="center"/>
    </xf>
    <xf numFmtId="3" fontId="66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66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26" xfId="0" applyFont="1" applyFill="1" applyBorder="1" applyAlignment="1" applyProtection="1">
      <alignment horizontal="center" vertical="center" wrapText="1"/>
      <protection locked="0"/>
    </xf>
    <xf numFmtId="0" fontId="66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 applyProtection="1">
      <alignment horizontal="center" vertical="center"/>
      <protection locked="0"/>
    </xf>
    <xf numFmtId="0" fontId="66" fillId="0" borderId="29" xfId="0" applyFont="1" applyFill="1" applyBorder="1" applyAlignment="1" applyProtection="1">
      <alignment horizontal="center" vertical="center"/>
      <protection locked="0"/>
    </xf>
    <xf numFmtId="0" fontId="66" fillId="0" borderId="28" xfId="0" applyFont="1" applyFill="1" applyBorder="1" applyAlignment="1" applyProtection="1">
      <alignment horizontal="center" vertical="center"/>
      <protection locked="0"/>
    </xf>
    <xf numFmtId="3" fontId="66" fillId="0" borderId="26" xfId="0" applyNumberFormat="1" applyFont="1" applyFill="1" applyBorder="1" applyAlignment="1" applyProtection="1">
      <alignment horizontal="center" vertical="center"/>
      <protection locked="0"/>
    </xf>
    <xf numFmtId="3" fontId="66" fillId="0" borderId="30" xfId="0" applyNumberFormat="1" applyFont="1" applyFill="1" applyBorder="1" applyAlignment="1" applyProtection="1">
      <alignment horizontal="center" vertical="center"/>
      <protection locked="0"/>
    </xf>
    <xf numFmtId="3" fontId="66" fillId="0" borderId="27" xfId="0" applyNumberFormat="1" applyFont="1" applyFill="1" applyBorder="1" applyAlignment="1" applyProtection="1">
      <alignment horizontal="center" vertical="center"/>
      <protection locked="0"/>
    </xf>
    <xf numFmtId="0" fontId="71" fillId="0" borderId="25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 applyProtection="1">
      <alignment horizontal="center" vertical="center"/>
      <protection locked="0"/>
    </xf>
    <xf numFmtId="3" fontId="66" fillId="0" borderId="10" xfId="0" applyNumberFormat="1" applyFont="1" applyFill="1" applyBorder="1" applyAlignment="1">
      <alignment horizontal="center" vertical="center"/>
    </xf>
    <xf numFmtId="3" fontId="66" fillId="0" borderId="32" xfId="0" applyNumberFormat="1" applyFont="1" applyFill="1" applyBorder="1" applyAlignment="1">
      <alignment horizontal="center" vertical="center" wrapText="1"/>
    </xf>
    <xf numFmtId="3" fontId="66" fillId="0" borderId="33" xfId="0" applyNumberFormat="1" applyFont="1" applyFill="1" applyBorder="1" applyAlignment="1">
      <alignment horizontal="center" vertical="center" wrapText="1"/>
    </xf>
    <xf numFmtId="3" fontId="66" fillId="0" borderId="34" xfId="0" applyNumberFormat="1" applyFont="1" applyFill="1" applyBorder="1" applyAlignment="1">
      <alignment horizontal="center" vertical="center" wrapText="1"/>
    </xf>
    <xf numFmtId="3" fontId="66" fillId="0" borderId="31" xfId="0" applyNumberFormat="1" applyFont="1" applyFill="1" applyBorder="1" applyAlignment="1">
      <alignment horizontal="center" vertical="center" wrapText="1"/>
    </xf>
    <xf numFmtId="3" fontId="66" fillId="0" borderId="24" xfId="0" applyNumberFormat="1" applyFont="1" applyFill="1" applyBorder="1" applyAlignment="1">
      <alignment horizontal="center" vertical="center" wrapText="1"/>
    </xf>
    <xf numFmtId="3" fontId="66" fillId="0" borderId="35" xfId="0" applyNumberFormat="1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3" fontId="66" fillId="0" borderId="25" xfId="0" applyNumberFormat="1" applyFont="1" applyFill="1" applyBorder="1" applyAlignment="1">
      <alignment horizontal="center" vertical="center"/>
    </xf>
    <xf numFmtId="3" fontId="66" fillId="0" borderId="29" xfId="0" applyNumberFormat="1" applyFont="1" applyFill="1" applyBorder="1" applyAlignment="1">
      <alignment horizontal="center" vertical="center"/>
    </xf>
    <xf numFmtId="3" fontId="66" fillId="0" borderId="28" xfId="0" applyNumberFormat="1" applyFont="1" applyFill="1" applyBorder="1" applyAlignment="1">
      <alignment horizontal="center" vertical="center"/>
    </xf>
    <xf numFmtId="3" fontId="66" fillId="0" borderId="26" xfId="0" applyNumberFormat="1" applyFont="1" applyFill="1" applyBorder="1" applyAlignment="1">
      <alignment horizontal="center" vertical="center" wrapText="1"/>
    </xf>
    <xf numFmtId="3" fontId="66" fillId="0" borderId="27" xfId="0" applyNumberFormat="1" applyFont="1" applyFill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3" fontId="61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62" fillId="0" borderId="38" xfId="0" applyNumberFormat="1" applyFont="1" applyFill="1" applyBorder="1" applyAlignment="1">
      <alignment horizontal="center" vertical="center" wrapText="1"/>
    </xf>
    <xf numFmtId="3" fontId="62" fillId="0" borderId="46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3" fontId="62" fillId="74" borderId="36" xfId="0" applyNumberFormat="1" applyFont="1" applyFill="1" applyBorder="1" applyAlignment="1">
      <alignment horizontal="center" vertical="center" wrapText="1"/>
    </xf>
    <xf numFmtId="0" fontId="82" fillId="74" borderId="39" xfId="0" applyFont="1" applyFill="1" applyBorder="1" applyAlignment="1">
      <alignment horizontal="center" vertical="center" wrapText="1"/>
    </xf>
    <xf numFmtId="0" fontId="82" fillId="74" borderId="40" xfId="0" applyFont="1" applyFill="1" applyBorder="1" applyAlignment="1">
      <alignment horizontal="center" vertical="center" wrapText="1"/>
    </xf>
    <xf numFmtId="3" fontId="62" fillId="0" borderId="41" xfId="0" applyNumberFormat="1" applyFont="1" applyFill="1" applyBorder="1" applyAlignment="1">
      <alignment horizontal="center" vertical="center" wrapText="1"/>
    </xf>
    <xf numFmtId="3" fontId="62" fillId="0" borderId="42" xfId="0" applyNumberFormat="1" applyFont="1" applyFill="1" applyBorder="1" applyAlignment="1">
      <alignment horizontal="center" vertical="center" wrapText="1"/>
    </xf>
    <xf numFmtId="3" fontId="62" fillId="0" borderId="43" xfId="0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76" fillId="0" borderId="73" xfId="0" applyFont="1" applyFill="1" applyBorder="1" applyAlignment="1">
      <alignment horizontal="center" vertical="center" wrapText="1"/>
    </xf>
    <xf numFmtId="0" fontId="76" fillId="0" borderId="78" xfId="0" applyFont="1" applyFill="1" applyBorder="1" applyAlignment="1">
      <alignment horizontal="center" vertical="center" wrapText="1"/>
    </xf>
    <xf numFmtId="0" fontId="76" fillId="0" borderId="80" xfId="0" applyFont="1" applyFill="1" applyBorder="1" applyAlignment="1">
      <alignment horizontal="center" vertical="center" wrapText="1"/>
    </xf>
    <xf numFmtId="0" fontId="75" fillId="0" borderId="74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81" xfId="0" applyFont="1" applyBorder="1" applyAlignment="1">
      <alignment horizontal="center" vertical="center" wrapText="1"/>
    </xf>
    <xf numFmtId="0" fontId="76" fillId="0" borderId="75" xfId="0" applyFont="1" applyFill="1" applyBorder="1" applyAlignment="1">
      <alignment horizontal="center" vertical="center" wrapText="1"/>
    </xf>
    <xf numFmtId="0" fontId="76" fillId="0" borderId="79" xfId="0" applyFont="1" applyFill="1" applyBorder="1" applyAlignment="1">
      <alignment horizontal="center" vertical="center" wrapText="1"/>
    </xf>
    <xf numFmtId="0" fontId="76" fillId="0" borderId="82" xfId="0" applyFont="1" applyFill="1" applyBorder="1" applyAlignment="1">
      <alignment horizontal="center" vertical="center" wrapText="1"/>
    </xf>
    <xf numFmtId="3" fontId="76" fillId="74" borderId="36" xfId="0" applyNumberFormat="1" applyFont="1" applyFill="1" applyBorder="1" applyAlignment="1">
      <alignment horizontal="center" vertical="center" wrapText="1"/>
    </xf>
    <xf numFmtId="0" fontId="76" fillId="74" borderId="39" xfId="0" applyFont="1" applyFill="1" applyBorder="1" applyAlignment="1">
      <alignment horizontal="center" vertical="center" wrapText="1"/>
    </xf>
    <xf numFmtId="3" fontId="76" fillId="0" borderId="36" xfId="0" applyNumberFormat="1" applyFont="1" applyFill="1" applyBorder="1" applyAlignment="1">
      <alignment horizontal="center" vertical="center" wrapText="1"/>
    </xf>
    <xf numFmtId="0" fontId="82" fillId="0" borderId="39" xfId="0" applyFont="1" applyFill="1" applyBorder="1" applyAlignment="1">
      <alignment horizontal="center" vertical="center" wrapText="1"/>
    </xf>
    <xf numFmtId="0" fontId="82" fillId="0" borderId="40" xfId="0" applyFont="1" applyFill="1" applyBorder="1" applyAlignment="1">
      <alignment horizontal="center" vertical="center" wrapText="1"/>
    </xf>
    <xf numFmtId="4" fontId="76" fillId="0" borderId="76" xfId="0" applyNumberFormat="1" applyFont="1" applyFill="1" applyBorder="1" applyAlignment="1">
      <alignment horizontal="center" vertical="center" wrapText="1"/>
    </xf>
    <xf numFmtId="4" fontId="76" fillId="0" borderId="42" xfId="0" applyNumberFormat="1" applyFont="1" applyFill="1" applyBorder="1" applyAlignment="1">
      <alignment horizontal="center" vertical="center" wrapText="1"/>
    </xf>
    <xf numFmtId="0" fontId="76" fillId="0" borderId="77" xfId="0" applyFont="1" applyFill="1" applyBorder="1" applyAlignment="1">
      <alignment horizontal="center" vertical="center" wrapText="1"/>
    </xf>
    <xf numFmtId="3" fontId="76" fillId="74" borderId="58" xfId="0" applyNumberFormat="1" applyFont="1" applyFill="1" applyBorder="1" applyAlignment="1">
      <alignment horizontal="center" vertical="center" wrapText="1"/>
    </xf>
    <xf numFmtId="0" fontId="77" fillId="74" borderId="47" xfId="0" applyFont="1" applyFill="1" applyBorder="1" applyAlignment="1">
      <alignment horizontal="center" vertical="center" wrapText="1"/>
    </xf>
    <xf numFmtId="0" fontId="77" fillId="74" borderId="48" xfId="0" applyFont="1" applyFill="1" applyBorder="1" applyAlignment="1">
      <alignment horizontal="center" vertical="center" wrapText="1"/>
    </xf>
    <xf numFmtId="0" fontId="90" fillId="74" borderId="26" xfId="0" applyFont="1" applyFill="1" applyBorder="1" applyAlignment="1">
      <alignment horizontal="center" vertical="center" wrapText="1"/>
    </xf>
    <xf numFmtId="0" fontId="91" fillId="74" borderId="30" xfId="0" applyFont="1" applyFill="1" applyBorder="1" applyAlignment="1">
      <alignment horizontal="center" vertical="center" wrapText="1"/>
    </xf>
    <xf numFmtId="0" fontId="91" fillId="74" borderId="27" xfId="0" applyFont="1" applyFill="1" applyBorder="1" applyAlignment="1">
      <alignment horizontal="center" vertical="center" wrapText="1"/>
    </xf>
    <xf numFmtId="4" fontId="76" fillId="74" borderId="10" xfId="0" applyNumberFormat="1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center" vertical="center" wrapText="1"/>
    </xf>
    <xf numFmtId="0" fontId="77" fillId="0" borderId="48" xfId="0" applyFont="1" applyFill="1" applyBorder="1" applyAlignment="1">
      <alignment horizontal="center" vertical="center" wrapText="1"/>
    </xf>
    <xf numFmtId="3" fontId="76" fillId="0" borderId="61" xfId="0" applyNumberFormat="1" applyFont="1" applyFill="1" applyBorder="1" applyAlignment="1">
      <alignment horizontal="center" vertical="center" wrapText="1"/>
    </xf>
    <xf numFmtId="0" fontId="77" fillId="0" borderId="49" xfId="0" applyFont="1" applyFill="1" applyBorder="1" applyAlignment="1">
      <alignment horizontal="center" vertical="center" wrapText="1"/>
    </xf>
    <xf numFmtId="0" fontId="75" fillId="0" borderId="59" xfId="0" applyFont="1" applyFill="1" applyBorder="1" applyAlignment="1">
      <alignment horizontal="center" vertical="center"/>
    </xf>
    <xf numFmtId="0" fontId="82" fillId="0" borderId="52" xfId="0" applyFont="1" applyFill="1" applyBorder="1" applyAlignment="1">
      <alignment horizontal="center" vertical="center"/>
    </xf>
    <xf numFmtId="3" fontId="75" fillId="0" borderId="61" xfId="0" applyNumberFormat="1" applyFont="1" applyFill="1" applyBorder="1" applyAlignment="1">
      <alignment horizontal="center" vertical="center" wrapText="1"/>
    </xf>
    <xf numFmtId="0" fontId="82" fillId="0" borderId="49" xfId="0" applyFont="1" applyFill="1" applyBorder="1" applyAlignment="1">
      <alignment horizontal="center" vertical="center" wrapText="1"/>
    </xf>
    <xf numFmtId="4" fontId="76" fillId="74" borderId="58" xfId="0" applyNumberFormat="1" applyFont="1" applyFill="1" applyBorder="1" applyAlignment="1">
      <alignment horizontal="center" vertical="center" wrapText="1"/>
    </xf>
    <xf numFmtId="3" fontId="75" fillId="0" borderId="10" xfId="0" applyNumberFormat="1" applyFont="1" applyFill="1" applyBorder="1" applyAlignment="1">
      <alignment horizontal="center" vertical="center" wrapText="1"/>
    </xf>
    <xf numFmtId="0" fontId="82" fillId="0" borderId="48" xfId="0" applyFont="1" applyFill="1" applyBorder="1" applyAlignment="1">
      <alignment horizontal="center" vertical="center" wrapText="1"/>
    </xf>
    <xf numFmtId="3" fontId="90" fillId="74" borderId="25" xfId="0" applyNumberFormat="1" applyFont="1" applyFill="1" applyBorder="1" applyAlignment="1">
      <alignment horizontal="center" vertical="center" wrapText="1"/>
    </xf>
    <xf numFmtId="0" fontId="91" fillId="74" borderId="81" xfId="0" applyFont="1" applyFill="1" applyBorder="1" applyAlignment="1">
      <alignment horizontal="center" vertical="center" wrapText="1"/>
    </xf>
    <xf numFmtId="3" fontId="76" fillId="74" borderId="32" xfId="0" applyNumberFormat="1" applyFont="1" applyFill="1" applyBorder="1" applyAlignment="1">
      <alignment horizontal="center" vertical="center" wrapText="1"/>
    </xf>
    <xf numFmtId="0" fontId="82" fillId="74" borderId="82" xfId="0" applyFont="1" applyFill="1" applyBorder="1" applyAlignment="1">
      <alignment horizontal="center" vertical="center" wrapText="1"/>
    </xf>
    <xf numFmtId="3" fontId="75" fillId="0" borderId="58" xfId="0" applyNumberFormat="1" applyFont="1" applyFill="1" applyBorder="1" applyAlignment="1">
      <alignment horizontal="center" vertical="center" wrapText="1"/>
    </xf>
    <xf numFmtId="0" fontId="82" fillId="0" borderId="47" xfId="0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2" fillId="0" borderId="25" xfId="59247" applyFont="1" applyFill="1" applyBorder="1" applyAlignment="1">
      <alignment horizontal="center" vertical="center"/>
    </xf>
    <xf numFmtId="0" fontId="62" fillId="0" borderId="28" xfId="59247" applyFont="1" applyFill="1" applyBorder="1" applyAlignment="1">
      <alignment horizontal="center" vertical="center"/>
    </xf>
    <xf numFmtId="3" fontId="75" fillId="0" borderId="10" xfId="59248" applyNumberFormat="1" applyFont="1" applyFill="1" applyBorder="1" applyAlignment="1">
      <alignment horizontal="center" vertical="center" wrapText="1"/>
    </xf>
    <xf numFmtId="0" fontId="62" fillId="0" borderId="10" xfId="59247" applyFont="1" applyFill="1" applyBorder="1" applyAlignment="1">
      <alignment horizontal="center" vertical="center"/>
    </xf>
    <xf numFmtId="0" fontId="62" fillId="0" borderId="29" xfId="59247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/>
    </xf>
    <xf numFmtId="0" fontId="75" fillId="0" borderId="10" xfId="59247" applyFont="1" applyFill="1" applyBorder="1" applyAlignment="1">
      <alignment horizontal="center" vertical="center" wrapText="1"/>
    </xf>
    <xf numFmtId="0" fontId="75" fillId="0" borderId="25" xfId="59247" applyFont="1" applyFill="1" applyBorder="1" applyAlignment="1">
      <alignment horizontal="center" vertical="center" wrapText="1"/>
    </xf>
    <xf numFmtId="0" fontId="75" fillId="0" borderId="29" xfId="59247" applyFont="1" applyFill="1" applyBorder="1" applyAlignment="1">
      <alignment horizontal="center" vertical="center" wrapText="1"/>
    </xf>
    <xf numFmtId="0" fontId="75" fillId="0" borderId="28" xfId="59247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/>
    </xf>
    <xf numFmtId="3" fontId="80" fillId="0" borderId="25" xfId="0" applyNumberFormat="1" applyFont="1" applyFill="1" applyBorder="1" applyAlignment="1">
      <alignment horizontal="center" vertical="center" wrapText="1"/>
    </xf>
    <xf numFmtId="3" fontId="80" fillId="0" borderId="28" xfId="0" applyNumberFormat="1" applyFont="1" applyFill="1" applyBorder="1" applyAlignment="1">
      <alignment horizontal="center" vertical="center" wrapText="1"/>
    </xf>
    <xf numFmtId="3" fontId="97" fillId="0" borderId="10" xfId="0" applyNumberFormat="1" applyFont="1" applyFill="1" applyBorder="1" applyAlignment="1">
      <alignment horizontal="center" vertical="center" wrapText="1"/>
    </xf>
    <xf numFmtId="3" fontId="80" fillId="0" borderId="10" xfId="0" applyNumberFormat="1" applyFont="1" applyFill="1" applyBorder="1" applyAlignment="1">
      <alignment horizontal="center" vertical="center" wrapText="1"/>
    </xf>
    <xf numFmtId="3" fontId="95" fillId="0" borderId="0" xfId="0" applyNumberFormat="1" applyFont="1" applyFill="1" applyAlignment="1">
      <alignment horizontal="center" vertical="center" wrapText="1"/>
    </xf>
    <xf numFmtId="3" fontId="80" fillId="0" borderId="29" xfId="0" applyNumberFormat="1" applyFont="1" applyFill="1" applyBorder="1" applyAlignment="1">
      <alignment horizontal="center" vertical="center" wrapText="1"/>
    </xf>
    <xf numFmtId="3" fontId="97" fillId="0" borderId="26" xfId="0" applyNumberFormat="1" applyFont="1" applyFill="1" applyBorder="1" applyAlignment="1">
      <alignment horizontal="center" vertical="center"/>
    </xf>
    <xf numFmtId="3" fontId="97" fillId="0" borderId="30" xfId="0" applyNumberFormat="1" applyFont="1" applyFill="1" applyBorder="1" applyAlignment="1">
      <alignment horizontal="center" vertical="center"/>
    </xf>
    <xf numFmtId="3" fontId="97" fillId="0" borderId="27" xfId="0" applyNumberFormat="1" applyFont="1" applyFill="1" applyBorder="1" applyAlignment="1">
      <alignment horizontal="center" vertical="center"/>
    </xf>
    <xf numFmtId="3" fontId="97" fillId="0" borderId="10" xfId="0" applyNumberFormat="1" applyFont="1" applyFill="1" applyBorder="1" applyAlignment="1">
      <alignment horizontal="center" vertical="center"/>
    </xf>
    <xf numFmtId="3" fontId="80" fillId="0" borderId="26" xfId="0" applyNumberFormat="1" applyFont="1" applyFill="1" applyBorder="1" applyAlignment="1">
      <alignment horizontal="center" vertical="center" wrapText="1"/>
    </xf>
    <xf numFmtId="3" fontId="80" fillId="0" borderId="30" xfId="0" applyNumberFormat="1" applyFont="1" applyFill="1" applyBorder="1" applyAlignment="1">
      <alignment horizontal="center" vertical="center" wrapText="1"/>
    </xf>
    <xf numFmtId="3" fontId="80" fillId="0" borderId="27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103" fillId="0" borderId="10" xfId="57572" applyFont="1" applyFill="1" applyBorder="1" applyAlignment="1">
      <alignment horizontal="center" vertical="center" wrapText="1"/>
    </xf>
    <xf numFmtId="0" fontId="103" fillId="0" borderId="32" xfId="57572" applyFont="1" applyFill="1" applyBorder="1" applyAlignment="1">
      <alignment horizontal="center" vertical="center" wrapText="1"/>
    </xf>
    <xf numFmtId="0" fontId="103" fillId="0" borderId="33" xfId="57572" applyFont="1" applyFill="1" applyBorder="1" applyAlignment="1">
      <alignment horizontal="center" vertical="center" wrapText="1"/>
    </xf>
    <xf numFmtId="0" fontId="103" fillId="0" borderId="34" xfId="57572" applyFont="1" applyFill="1" applyBorder="1" applyAlignment="1">
      <alignment horizontal="center" vertical="center" wrapText="1"/>
    </xf>
    <xf numFmtId="0" fontId="103" fillId="0" borderId="31" xfId="57572" applyFont="1" applyFill="1" applyBorder="1" applyAlignment="1">
      <alignment horizontal="center" vertical="center" wrapText="1"/>
    </xf>
    <xf numFmtId="0" fontId="103" fillId="0" borderId="24" xfId="57572" applyFont="1" applyFill="1" applyBorder="1" applyAlignment="1">
      <alignment horizontal="center" vertical="center" wrapText="1"/>
    </xf>
    <xf numFmtId="0" fontId="103" fillId="0" borderId="35" xfId="57572" applyFont="1" applyFill="1" applyBorder="1" applyAlignment="1">
      <alignment horizontal="center" vertical="center" wrapText="1"/>
    </xf>
    <xf numFmtId="0" fontId="103" fillId="0" borderId="25" xfId="57572" applyFont="1" applyFill="1" applyBorder="1" applyAlignment="1">
      <alignment horizontal="center" vertical="center" wrapText="1"/>
    </xf>
    <xf numFmtId="0" fontId="103" fillId="0" borderId="29" xfId="57572" applyFont="1" applyFill="1" applyBorder="1" applyAlignment="1">
      <alignment horizontal="center" vertical="center" wrapText="1"/>
    </xf>
    <xf numFmtId="0" fontId="103" fillId="0" borderId="28" xfId="57572" applyFont="1" applyFill="1" applyBorder="1" applyAlignment="1">
      <alignment horizontal="center" vertical="center" wrapText="1"/>
    </xf>
    <xf numFmtId="0" fontId="103" fillId="0" borderId="26" xfId="57572" applyFont="1" applyFill="1" applyBorder="1" applyAlignment="1">
      <alignment horizontal="center" vertical="center" wrapText="1"/>
    </xf>
    <xf numFmtId="0" fontId="103" fillId="0" borderId="27" xfId="57572" applyFont="1" applyFill="1" applyBorder="1" applyAlignment="1">
      <alignment horizontal="center" vertical="center" wrapText="1"/>
    </xf>
    <xf numFmtId="0" fontId="103" fillId="0" borderId="79" xfId="57572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 vertical="center"/>
    </xf>
    <xf numFmtId="0" fontId="103" fillId="0" borderId="30" xfId="57572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65" fillId="0" borderId="26" xfId="57736" applyFont="1" applyFill="1" applyBorder="1" applyAlignment="1">
      <alignment horizontal="center" vertical="center" wrapText="1"/>
    </xf>
    <xf numFmtId="0" fontId="65" fillId="0" borderId="30" xfId="57736" applyFont="1" applyFill="1" applyBorder="1" applyAlignment="1">
      <alignment horizontal="center" vertical="center" wrapText="1"/>
    </xf>
    <xf numFmtId="0" fontId="48" fillId="0" borderId="25" xfId="57736" applyFill="1" applyBorder="1" applyAlignment="1">
      <alignment horizontal="center" vertical="center" wrapText="1"/>
    </xf>
    <xf numFmtId="0" fontId="48" fillId="0" borderId="29" xfId="57736" applyFill="1" applyBorder="1" applyAlignment="1">
      <alignment horizontal="center" vertical="center" wrapText="1"/>
    </xf>
    <xf numFmtId="0" fontId="48" fillId="0" borderId="28" xfId="57736" applyFill="1" applyBorder="1" applyAlignment="1">
      <alignment horizontal="center" vertical="center" wrapText="1"/>
    </xf>
    <xf numFmtId="0" fontId="66" fillId="0" borderId="26" xfId="57736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</cellXfs>
  <cellStyles count="5926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2 4" xfId="59252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8" xfId="57737"/>
    <cellStyle name="Обычный 18 2" xfId="57738"/>
    <cellStyle name="Обычный 18 2 2" xfId="57739"/>
    <cellStyle name="Обычный 18 3" xfId="57740"/>
    <cellStyle name="Обычный 19" xfId="57741"/>
    <cellStyle name="Обычный 19 2" xfId="57742"/>
    <cellStyle name="Обычный 19 2 2" xfId="57743"/>
    <cellStyle name="Обычный 19 3" xfId="57744"/>
    <cellStyle name="Обычный 19 4" xfId="57745"/>
    <cellStyle name="Обычный 19 5" xfId="57746"/>
    <cellStyle name="Обычный 2" xfId="57747"/>
    <cellStyle name="Обычный 2 10" xfId="57748"/>
    <cellStyle name="Обычный 2 100" xfId="57749"/>
    <cellStyle name="Обычный 2 101" xfId="57750"/>
    <cellStyle name="Обычный 2 102" xfId="57751"/>
    <cellStyle name="Обычный 2 103" xfId="57752"/>
    <cellStyle name="Обычный 2 104" xfId="57753"/>
    <cellStyle name="Обычный 2 105" xfId="57754"/>
    <cellStyle name="Обычный 2 106" xfId="57755"/>
    <cellStyle name="Обычный 2 107" xfId="57756"/>
    <cellStyle name="Обычный 2 108" xfId="57757"/>
    <cellStyle name="Обычный 2 109" xfId="57758"/>
    <cellStyle name="Обычный 2 11" xfId="57759"/>
    <cellStyle name="Обычный 2 110" xfId="57760"/>
    <cellStyle name="Обычный 2 111" xfId="57761"/>
    <cellStyle name="Обычный 2 112" xfId="57762"/>
    <cellStyle name="Обычный 2 113" xfId="57763"/>
    <cellStyle name="Обычный 2 114" xfId="57764"/>
    <cellStyle name="Обычный 2 115" xfId="57765"/>
    <cellStyle name="Обычный 2 116" xfId="57766"/>
    <cellStyle name="Обычный 2 117" xfId="57767"/>
    <cellStyle name="Обычный 2 118" xfId="57768"/>
    <cellStyle name="Обычный 2 119" xfId="57769"/>
    <cellStyle name="Обычный 2 12" xfId="57770"/>
    <cellStyle name="Обычный 2 120" xfId="57771"/>
    <cellStyle name="Обычный 2 121" xfId="57772"/>
    <cellStyle name="Обычный 2 122" xfId="57773"/>
    <cellStyle name="Обычный 2 123" xfId="57774"/>
    <cellStyle name="Обычный 2 124" xfId="57775"/>
    <cellStyle name="Обычный 2 125" xfId="57776"/>
    <cellStyle name="Обычный 2 126" xfId="57777"/>
    <cellStyle name="Обычный 2 127" xfId="57778"/>
    <cellStyle name="Обычный 2 128" xfId="57779"/>
    <cellStyle name="Обычный 2 129" xfId="57780"/>
    <cellStyle name="Обычный 2 13" xfId="57781"/>
    <cellStyle name="Обычный 2 130" xfId="57782"/>
    <cellStyle name="Обычный 2 131" xfId="57783"/>
    <cellStyle name="Обычный 2 132" xfId="57784"/>
    <cellStyle name="Обычный 2 133" xfId="57785"/>
    <cellStyle name="Обычный 2 134" xfId="57786"/>
    <cellStyle name="Обычный 2 135" xfId="57787"/>
    <cellStyle name="Обычный 2 136" xfId="57788"/>
    <cellStyle name="Обычный 2 137" xfId="57789"/>
    <cellStyle name="Обычный 2 138" xfId="57790"/>
    <cellStyle name="Обычный 2 14" xfId="57791"/>
    <cellStyle name="Обычный 2 15" xfId="57792"/>
    <cellStyle name="Обычный 2 16" xfId="57793"/>
    <cellStyle name="Обычный 2 17" xfId="57794"/>
    <cellStyle name="Обычный 2 18" xfId="57795"/>
    <cellStyle name="Обычный 2 19" xfId="57796"/>
    <cellStyle name="Обычный 2 2" xfId="57797"/>
    <cellStyle name="Обычный 2 2 2" xfId="57798"/>
    <cellStyle name="Обычный 2 2 2 2" xfId="57799"/>
    <cellStyle name="Обычный 2 2 2 2 2" xfId="59253"/>
    <cellStyle name="Обычный 2 2 2 3" xfId="59249"/>
    <cellStyle name="Обычный 2 2 3" xfId="57800"/>
    <cellStyle name="Обычный 2 2 4" xfId="57801"/>
    <cellStyle name="Обычный 2 20" xfId="57802"/>
    <cellStyle name="Обычный 2 21" xfId="57803"/>
    <cellStyle name="Обычный 2 22" xfId="57804"/>
    <cellStyle name="Обычный 2 23" xfId="57805"/>
    <cellStyle name="Обычный 2 24" xfId="57806"/>
    <cellStyle name="Обычный 2 25" xfId="57807"/>
    <cellStyle name="Обычный 2 26" xfId="57808"/>
    <cellStyle name="Обычный 2 27" xfId="57809"/>
    <cellStyle name="Обычный 2 28" xfId="57810"/>
    <cellStyle name="Обычный 2 29" xfId="57811"/>
    <cellStyle name="Обычный 2 3" xfId="57812"/>
    <cellStyle name="Обычный 2 3 2" xfId="59251"/>
    <cellStyle name="Обычный 2 3 3" xfId="59254"/>
    <cellStyle name="Обычный 2 30" xfId="57813"/>
    <cellStyle name="Обычный 2 31" xfId="57814"/>
    <cellStyle name="Обычный 2 32" xfId="57815"/>
    <cellStyle name="Обычный 2 33" xfId="57816"/>
    <cellStyle name="Обычный 2 34" xfId="57817"/>
    <cellStyle name="Обычный 2 35" xfId="57818"/>
    <cellStyle name="Обычный 2 36" xfId="57819"/>
    <cellStyle name="Обычный 2 37" xfId="57820"/>
    <cellStyle name="Обычный 2 38" xfId="57821"/>
    <cellStyle name="Обычный 2 39" xfId="57822"/>
    <cellStyle name="Обычный 2 4" xfId="57823"/>
    <cellStyle name="Обычный 2 40" xfId="57824"/>
    <cellStyle name="Обычный 2 41" xfId="57825"/>
    <cellStyle name="Обычный 2 42" xfId="57826"/>
    <cellStyle name="Обычный 2 43" xfId="57827"/>
    <cellStyle name="Обычный 2 44" xfId="57828"/>
    <cellStyle name="Обычный 2 45" xfId="57829"/>
    <cellStyle name="Обычный 2 46" xfId="57830"/>
    <cellStyle name="Обычный 2 47" xfId="57831"/>
    <cellStyle name="Обычный 2 48" xfId="57832"/>
    <cellStyle name="Обычный 2 49" xfId="57833"/>
    <cellStyle name="Обычный 2 5" xfId="57834"/>
    <cellStyle name="Обычный 2 5 2" xfId="59255"/>
    <cellStyle name="Обычный 2 50" xfId="57835"/>
    <cellStyle name="Обычный 2 51" xfId="57836"/>
    <cellStyle name="Обычный 2 52" xfId="57837"/>
    <cellStyle name="Обычный 2 53" xfId="57838"/>
    <cellStyle name="Обычный 2 54" xfId="57839"/>
    <cellStyle name="Обычный 2 55" xfId="57840"/>
    <cellStyle name="Обычный 2 56" xfId="57841"/>
    <cellStyle name="Обычный 2 57" xfId="57842"/>
    <cellStyle name="Обычный 2 58" xfId="57843"/>
    <cellStyle name="Обычный 2 59" xfId="57844"/>
    <cellStyle name="Обычный 2 6" xfId="57845"/>
    <cellStyle name="Обычный 2 6 2" xfId="57846"/>
    <cellStyle name="Обычный 2 60" xfId="57847"/>
    <cellStyle name="Обычный 2 61" xfId="57848"/>
    <cellStyle name="Обычный 2 62" xfId="57849"/>
    <cellStyle name="Обычный 2 63" xfId="57850"/>
    <cellStyle name="Обычный 2 64" xfId="57851"/>
    <cellStyle name="Обычный 2 65" xfId="57852"/>
    <cellStyle name="Обычный 2 66" xfId="57853"/>
    <cellStyle name="Обычный 2 67" xfId="57854"/>
    <cellStyle name="Обычный 2 68" xfId="57855"/>
    <cellStyle name="Обычный 2 69" xfId="57856"/>
    <cellStyle name="Обычный 2 7" xfId="57857"/>
    <cellStyle name="Обычный 2 70" xfId="57858"/>
    <cellStyle name="Обычный 2 71" xfId="57859"/>
    <cellStyle name="Обычный 2 72" xfId="57860"/>
    <cellStyle name="Обычный 2 73" xfId="57861"/>
    <cellStyle name="Обычный 2 74" xfId="57862"/>
    <cellStyle name="Обычный 2 75" xfId="57863"/>
    <cellStyle name="Обычный 2 76" xfId="57864"/>
    <cellStyle name="Обычный 2 77" xfId="57865"/>
    <cellStyle name="Обычный 2 78" xfId="57866"/>
    <cellStyle name="Обычный 2 79" xfId="57867"/>
    <cellStyle name="Обычный 2 8" xfId="57868"/>
    <cellStyle name="Обычный 2 80" xfId="57869"/>
    <cellStyle name="Обычный 2 81" xfId="57870"/>
    <cellStyle name="Обычный 2 82" xfId="57871"/>
    <cellStyle name="Обычный 2 83" xfId="57872"/>
    <cellStyle name="Обычный 2 84" xfId="57873"/>
    <cellStyle name="Обычный 2 85" xfId="57874"/>
    <cellStyle name="Обычный 2 86" xfId="57875"/>
    <cellStyle name="Обычный 2 87" xfId="57876"/>
    <cellStyle name="Обычный 2 88" xfId="57877"/>
    <cellStyle name="Обычный 2 89" xfId="57878"/>
    <cellStyle name="Обычный 2 9" xfId="57879"/>
    <cellStyle name="Обычный 2 90" xfId="57880"/>
    <cellStyle name="Обычный 2 91" xfId="57881"/>
    <cellStyle name="Обычный 2 92" xfId="57882"/>
    <cellStyle name="Обычный 2 93" xfId="57883"/>
    <cellStyle name="Обычный 2 94" xfId="57884"/>
    <cellStyle name="Обычный 2 95" xfId="57885"/>
    <cellStyle name="Обычный 2 96" xfId="57886"/>
    <cellStyle name="Обычный 2 97" xfId="57887"/>
    <cellStyle name="Обычный 2 98" xfId="57888"/>
    <cellStyle name="Обычный 2 99" xfId="57889"/>
    <cellStyle name="Обычный 2_npa105B" xfId="57890"/>
    <cellStyle name="Обычный 20" xfId="57891"/>
    <cellStyle name="Обычный 20 2" xfId="57892"/>
    <cellStyle name="Обычный 20 2 2" xfId="57893"/>
    <cellStyle name="Обычный 20 3" xfId="57894"/>
    <cellStyle name="Обычный 20 4" xfId="57895"/>
    <cellStyle name="Обычный 20 4 5" xfId="59248"/>
    <cellStyle name="Обычный 21" xfId="57896"/>
    <cellStyle name="Обычный 21 2" xfId="57897"/>
    <cellStyle name="Обычный 21 2 2" xfId="57898"/>
    <cellStyle name="Обычный 21 3" xfId="57899"/>
    <cellStyle name="Обычный 22" xfId="57900"/>
    <cellStyle name="Обычный 22 2" xfId="57901"/>
    <cellStyle name="Обычный 22 3" xfId="57902"/>
    <cellStyle name="Обычный 23" xfId="57903"/>
    <cellStyle name="Обычный 23 2" xfId="57904"/>
    <cellStyle name="Обычный 24" xfId="57905"/>
    <cellStyle name="Обычный 24 2" xfId="57906"/>
    <cellStyle name="Обычный 25" xfId="57907"/>
    <cellStyle name="Обычный 26" xfId="57908"/>
    <cellStyle name="Обычный 26 10" xfId="57909"/>
    <cellStyle name="Обычный 26 11" xfId="57910"/>
    <cellStyle name="Обычный 26 12" xfId="57911"/>
    <cellStyle name="Обычный 26 13" xfId="57912"/>
    <cellStyle name="Обычный 26 14" xfId="57913"/>
    <cellStyle name="Обычный 26 15" xfId="57914"/>
    <cellStyle name="Обычный 26 2" xfId="57915"/>
    <cellStyle name="Обычный 26 2 2" xfId="57916"/>
    <cellStyle name="Обычный 26 2 2 2" xfId="57917"/>
    <cellStyle name="Обычный 26 2 3" xfId="57918"/>
    <cellStyle name="Обычный 26 3" xfId="57919"/>
    <cellStyle name="Обычный 26 4" xfId="57920"/>
    <cellStyle name="Обычный 26 4 2" xfId="57921"/>
    <cellStyle name="Обычный 26 4 2 2" xfId="57922"/>
    <cellStyle name="Обычный 26 4 3" xfId="57923"/>
    <cellStyle name="Обычный 26 5" xfId="57924"/>
    <cellStyle name="Обычный 26 5 2" xfId="57925"/>
    <cellStyle name="Обычный 26 6" xfId="57926"/>
    <cellStyle name="Обычный 26 6 2" xfId="57927"/>
    <cellStyle name="Обычный 26 7" xfId="57928"/>
    <cellStyle name="Обычный 26 8" xfId="57929"/>
    <cellStyle name="Обычный 26 9" xfId="57930"/>
    <cellStyle name="Обычный 27" xfId="57931"/>
    <cellStyle name="Обычный 27 2" xfId="57932"/>
    <cellStyle name="Обычный 27 2 2" xfId="57933"/>
    <cellStyle name="Обычный 27 2 2 2" xfId="57934"/>
    <cellStyle name="Обычный 27 2 3" xfId="57935"/>
    <cellStyle name="Обычный 27 3" xfId="57936"/>
    <cellStyle name="Обычный 27 3 2" xfId="57937"/>
    <cellStyle name="Обычный 27 4" xfId="57938"/>
    <cellStyle name="Обычный 27 4 2" xfId="57939"/>
    <cellStyle name="Обычный 27 5" xfId="57940"/>
    <cellStyle name="Обычный 27 6" xfId="57941"/>
    <cellStyle name="Обычный 27 7" xfId="57942"/>
    <cellStyle name="Обычный 27 8" xfId="57943"/>
    <cellStyle name="Обычный 27 9" xfId="57944"/>
    <cellStyle name="Обычный 28" xfId="57945"/>
    <cellStyle name="Обычный 28 2" xfId="57946"/>
    <cellStyle name="Обычный 28 2 2" xfId="57947"/>
    <cellStyle name="Обычный 28 2 2 2" xfId="57948"/>
    <cellStyle name="Обычный 28 2 3" xfId="57949"/>
    <cellStyle name="Обычный 28 3" xfId="57950"/>
    <cellStyle name="Обычный 28 3 2" xfId="57951"/>
    <cellStyle name="Обычный 28 4" xfId="57952"/>
    <cellStyle name="Обычный 28 4 2" xfId="57953"/>
    <cellStyle name="Обычный 28 5" xfId="57954"/>
    <cellStyle name="Обычный 28 6" xfId="57955"/>
    <cellStyle name="Обычный 28 7" xfId="57956"/>
    <cellStyle name="Обычный 28 8" xfId="57957"/>
    <cellStyle name="Обычный 28 9" xfId="57958"/>
    <cellStyle name="Обычный 29" xfId="57959"/>
    <cellStyle name="Обычный 29 2" xfId="57960"/>
    <cellStyle name="Обычный 29 2 2" xfId="57961"/>
    <cellStyle name="Обычный 29 2 2 2" xfId="57962"/>
    <cellStyle name="Обычный 29 2 3" xfId="57963"/>
    <cellStyle name="Обычный 29 3" xfId="57964"/>
    <cellStyle name="Обычный 29 3 2" xfId="57965"/>
    <cellStyle name="Обычный 29 4" xfId="57966"/>
    <cellStyle name="Обычный 29 4 2" xfId="57967"/>
    <cellStyle name="Обычный 29 5" xfId="57968"/>
    <cellStyle name="Обычный 29 6" xfId="57969"/>
    <cellStyle name="Обычный 29 7" xfId="57970"/>
    <cellStyle name="Обычный 29 8" xfId="57971"/>
    <cellStyle name="Обычный 29 9" xfId="57972"/>
    <cellStyle name="Обычный 3" xfId="57973"/>
    <cellStyle name="Обычный 3 10" xfId="57974"/>
    <cellStyle name="Обычный 3 11" xfId="57975"/>
    <cellStyle name="Обычный 3 12" xfId="57976"/>
    <cellStyle name="Обычный 3 13" xfId="57977"/>
    <cellStyle name="Обычный 3 14" xfId="57978"/>
    <cellStyle name="Обычный 3 15" xfId="57979"/>
    <cellStyle name="Обычный 3 16" xfId="57980"/>
    <cellStyle name="Обычный 3 17" xfId="57981"/>
    <cellStyle name="Обычный 3 18" xfId="57982"/>
    <cellStyle name="Обычный 3 19" xfId="59250"/>
    <cellStyle name="Обычный 3 2" xfId="57983"/>
    <cellStyle name="Обычный 3 3" xfId="57984"/>
    <cellStyle name="Обычный 3 3 2" xfId="57985"/>
    <cellStyle name="Обычный 3 4" xfId="57986"/>
    <cellStyle name="Обычный 3 4 2" xfId="57987"/>
    <cellStyle name="Обычный 3 4 2 2" xfId="57988"/>
    <cellStyle name="Обычный 3 4 3" xfId="57989"/>
    <cellStyle name="Обычный 3 5" xfId="57990"/>
    <cellStyle name="Обычный 3 5 2" xfId="57991"/>
    <cellStyle name="Обычный 3 5 2 2" xfId="57992"/>
    <cellStyle name="Обычный 3 5 3" xfId="57993"/>
    <cellStyle name="Обычный 3 6" xfId="57994"/>
    <cellStyle name="Обычный 3 6 2" xfId="57995"/>
    <cellStyle name="Обычный 3 7" xfId="57996"/>
    <cellStyle name="Обычный 3 8" xfId="57997"/>
    <cellStyle name="Обычный 3 9" xfId="57998"/>
    <cellStyle name="Обычный 30" xfId="57999"/>
    <cellStyle name="Обычный 30 2" xfId="58000"/>
    <cellStyle name="Обычный 30 2 2" xfId="58001"/>
    <cellStyle name="Обычный 30 3" xfId="58002"/>
    <cellStyle name="Обычный 30 3 2" xfId="58003"/>
    <cellStyle name="Обычный 30 4" xfId="58004"/>
    <cellStyle name="Обычный 30 5" xfId="58005"/>
    <cellStyle name="Обычный 30 6" xfId="58006"/>
    <cellStyle name="Обычный 30 7" xfId="58007"/>
    <cellStyle name="Обычный 30 8" xfId="58008"/>
    <cellStyle name="Обычный 31" xfId="58009"/>
    <cellStyle name="Обычный 31 2" xfId="58010"/>
    <cellStyle name="Обычный 32" xfId="58011"/>
    <cellStyle name="Обычный 32 2" xfId="58012"/>
    <cellStyle name="Обычный 33" xfId="58013"/>
    <cellStyle name="Обычный 34" xfId="58014"/>
    <cellStyle name="Обычный 35" xfId="58015"/>
    <cellStyle name="Обычный 36" xfId="58016"/>
    <cellStyle name="Обычный 37" xfId="58017"/>
    <cellStyle name="Обычный 38" xfId="58018"/>
    <cellStyle name="Обычный 39" xfId="58019"/>
    <cellStyle name="Обычный 4" xfId="58020"/>
    <cellStyle name="Обычный 4 10" xfId="58021"/>
    <cellStyle name="Обычный 4 11" xfId="58022"/>
    <cellStyle name="Обычный 4 12" xfId="58023"/>
    <cellStyle name="Обычный 4 13" xfId="58024"/>
    <cellStyle name="Обычный 4 14" xfId="58025"/>
    <cellStyle name="Обычный 4 15" xfId="58026"/>
    <cellStyle name="Обычный 4 16" xfId="58027"/>
    <cellStyle name="Обычный 4 16 2" xfId="58028"/>
    <cellStyle name="Обычный 4 16 2 2" xfId="58029"/>
    <cellStyle name="Обычный 4 16 3" xfId="58030"/>
    <cellStyle name="Обычный 4 17" xfId="58031"/>
    <cellStyle name="Обычный 4 17 2" xfId="58032"/>
    <cellStyle name="Обычный 4 17 2 2" xfId="58033"/>
    <cellStyle name="Обычный 4 17 3" xfId="58034"/>
    <cellStyle name="Обычный 4 18" xfId="58035"/>
    <cellStyle name="Обычный 4 18 2" xfId="58036"/>
    <cellStyle name="Обычный 4 18 2 2" xfId="58037"/>
    <cellStyle name="Обычный 4 18 3" xfId="58038"/>
    <cellStyle name="Обычный 4 19" xfId="58039"/>
    <cellStyle name="Обычный 4 19 2" xfId="58040"/>
    <cellStyle name="Обычный 4 2" xfId="58041"/>
    <cellStyle name="Обычный 4 2 2" xfId="58042"/>
    <cellStyle name="Обычный 4 20" xfId="58043"/>
    <cellStyle name="Обычный 4 20 2" xfId="58044"/>
    <cellStyle name="Обычный 4 21" xfId="58045"/>
    <cellStyle name="Обычный 4 21 2" xfId="58046"/>
    <cellStyle name="Обычный 4 22" xfId="58047"/>
    <cellStyle name="Обычный 4 23" xfId="58048"/>
    <cellStyle name="Обычный 4 24" xfId="58049"/>
    <cellStyle name="Обычный 4 25" xfId="58050"/>
    <cellStyle name="Обычный 4 26" xfId="58051"/>
    <cellStyle name="Обычный 4 27" xfId="58052"/>
    <cellStyle name="Обычный 4 28" xfId="58053"/>
    <cellStyle name="Обычный 4 29" xfId="58054"/>
    <cellStyle name="Обычный 4 3" xfId="58055"/>
    <cellStyle name="Обычный 4 3 2" xfId="58056"/>
    <cellStyle name="Обычный 4 3 2 2" xfId="58057"/>
    <cellStyle name="Обычный 4 3 3" xfId="58058"/>
    <cellStyle name="Обычный 4 30" xfId="58059"/>
    <cellStyle name="Обычный 4 31" xfId="58060"/>
    <cellStyle name="Обычный 4 32" xfId="58061"/>
    <cellStyle name="Обычный 4 4" xfId="58062"/>
    <cellStyle name="Обычный 4 4 2" xfId="58063"/>
    <cellStyle name="Обычный 4 4 2 2" xfId="58064"/>
    <cellStyle name="Обычный 4 4 3" xfId="58065"/>
    <cellStyle name="Обычный 4 5" xfId="58066"/>
    <cellStyle name="Обычный 4 5 2" xfId="58067"/>
    <cellStyle name="Обычный 4 6" xfId="58068"/>
    <cellStyle name="Обычный 4 7" xfId="58069"/>
    <cellStyle name="Обычный 4 8" xfId="58070"/>
    <cellStyle name="Обычный 4 9" xfId="58071"/>
    <cellStyle name="Обычный 4_СМО" xfId="58072"/>
    <cellStyle name="Обычный 40" xfId="58073"/>
    <cellStyle name="Обычный 41" xfId="58074"/>
    <cellStyle name="Обычный 42" xfId="58075"/>
    <cellStyle name="Обычный 43" xfId="58076"/>
    <cellStyle name="Обычный 44" xfId="58077"/>
    <cellStyle name="Обычный 45" xfId="58078"/>
    <cellStyle name="Обычный 46" xfId="58079"/>
    <cellStyle name="Обычный 47" xfId="58080"/>
    <cellStyle name="Обычный 48" xfId="58081"/>
    <cellStyle name="Обычный 49" xfId="58082"/>
    <cellStyle name="Обычный 5" xfId="58083"/>
    <cellStyle name="Обычный 5 2" xfId="58084"/>
    <cellStyle name="Обычный 5 3" xfId="59256"/>
    <cellStyle name="Обычный 50" xfId="58085"/>
    <cellStyle name="Обычный 51" xfId="58086"/>
    <cellStyle name="Обычный 52" xfId="58087"/>
    <cellStyle name="Обычный 53" xfId="58088"/>
    <cellStyle name="Обычный 54" xfId="58089"/>
    <cellStyle name="Обычный 55" xfId="58090"/>
    <cellStyle name="Обычный 56" xfId="58091"/>
    <cellStyle name="Обычный 57" xfId="58092"/>
    <cellStyle name="Обычный 58" xfId="58093"/>
    <cellStyle name="Обычный 59" xfId="58094"/>
    <cellStyle name="Обычный 6" xfId="58095"/>
    <cellStyle name="Обычный 6 10" xfId="58096"/>
    <cellStyle name="Обычный 6 11" xfId="58097"/>
    <cellStyle name="Обычный 6 12" xfId="58098"/>
    <cellStyle name="Обычный 6 13" xfId="58099"/>
    <cellStyle name="Обычный 6 14" xfId="58100"/>
    <cellStyle name="Обычный 6 15" xfId="58101"/>
    <cellStyle name="Обычный 6 16" xfId="58102"/>
    <cellStyle name="Обычный 6 17" xfId="58103"/>
    <cellStyle name="Обычный 6 18" xfId="58104"/>
    <cellStyle name="Обычный 6 19" xfId="58105"/>
    <cellStyle name="Обычный 6 2" xfId="58106"/>
    <cellStyle name="Обычный 6 2 2" xfId="58107"/>
    <cellStyle name="Обычный 6 2 2 2" xfId="58108"/>
    <cellStyle name="Обычный 6 2 3" xfId="58109"/>
    <cellStyle name="Обычный 6 3" xfId="58110"/>
    <cellStyle name="Обычный 6 3 2" xfId="58111"/>
    <cellStyle name="Обычный 6 3 2 2" xfId="58112"/>
    <cellStyle name="Обычный 6 3 3" xfId="58113"/>
    <cellStyle name="Обычный 6 4" xfId="58114"/>
    <cellStyle name="Обычный 6 4 2" xfId="58115"/>
    <cellStyle name="Обычный 6 4 2 2" xfId="58116"/>
    <cellStyle name="Обычный 6 4 3" xfId="58117"/>
    <cellStyle name="Обычный 6 5" xfId="58118"/>
    <cellStyle name="Обычный 6 5 2" xfId="58119"/>
    <cellStyle name="Обычный 6 6" xfId="58120"/>
    <cellStyle name="Обычный 6 6 2" xfId="58121"/>
    <cellStyle name="Обычный 6 7" xfId="58122"/>
    <cellStyle name="Обычный 6 7 2" xfId="58123"/>
    <cellStyle name="Обычный 6 8" xfId="58124"/>
    <cellStyle name="Обычный 6 9" xfId="58125"/>
    <cellStyle name="Обычный 60" xfId="58126"/>
    <cellStyle name="Обычный 61" xfId="58127"/>
    <cellStyle name="Обычный 62" xfId="58128"/>
    <cellStyle name="Обычный 63" xfId="58129"/>
    <cellStyle name="Обычный 64" xfId="58130"/>
    <cellStyle name="Обычный 65" xfId="58131"/>
    <cellStyle name="Обычный 66" xfId="58132"/>
    <cellStyle name="Обычный 67" xfId="58133"/>
    <cellStyle name="Обычный 68" xfId="58134"/>
    <cellStyle name="Обычный 69" xfId="58135"/>
    <cellStyle name="Обычный 69 2" xfId="59257"/>
    <cellStyle name="Обычный 7" xfId="58136"/>
    <cellStyle name="Обычный 7 2" xfId="58137"/>
    <cellStyle name="Обычный 7 2 2" xfId="58138"/>
    <cellStyle name="Обычный 7 2 2 2" xfId="58139"/>
    <cellStyle name="Обычный 7 2 3" xfId="58140"/>
    <cellStyle name="Обычный 7 3" xfId="58141"/>
    <cellStyle name="Обычный 7 4" xfId="58142"/>
    <cellStyle name="Обычный 70" xfId="58143"/>
    <cellStyle name="Обычный 71" xfId="58144"/>
    <cellStyle name="Обычный 72" xfId="58145"/>
    <cellStyle name="Обычный 73" xfId="58146"/>
    <cellStyle name="Обычный 74" xfId="58147"/>
    <cellStyle name="Обычный 75" xfId="58148"/>
    <cellStyle name="Обычный 76" xfId="58149"/>
    <cellStyle name="Обычный 77" xfId="58150"/>
    <cellStyle name="Обычный 78" xfId="58151"/>
    <cellStyle name="Обычный 8" xfId="58152"/>
    <cellStyle name="Обычный 8 2" xfId="58153"/>
    <cellStyle name="Обычный 8 2 2" xfId="58154"/>
    <cellStyle name="Обычный 8 2 2 2" xfId="58155"/>
    <cellStyle name="Обычный 8 2 3" xfId="58156"/>
    <cellStyle name="Обычный 8 3" xfId="58157"/>
    <cellStyle name="Обычный 8 4" xfId="58158"/>
    <cellStyle name="Обычный 84" xfId="59247"/>
    <cellStyle name="Обычный 9" xfId="58159"/>
    <cellStyle name="Обычный 9 2" xfId="58160"/>
    <cellStyle name="Обычный 9 2 2" xfId="58161"/>
    <cellStyle name="Обычный 9 2 2 2" xfId="58162"/>
    <cellStyle name="Обычный 9 2 3" xfId="58163"/>
    <cellStyle name="Обычный 9 3" xfId="58164"/>
    <cellStyle name="Обычный 9 4" xfId="58165"/>
    <cellStyle name="Обычный 91" xfId="58166"/>
    <cellStyle name="Обычный 92" xfId="58167"/>
    <cellStyle name="Обычный 93" xfId="58168"/>
    <cellStyle name="Обычный 94" xfId="58169"/>
    <cellStyle name="Обычный 95" xfId="58170"/>
    <cellStyle name="Обычный 96" xfId="58171"/>
    <cellStyle name="Обычный 97" xfId="58172"/>
    <cellStyle name="Обычный 98" xfId="58173"/>
    <cellStyle name="Обычный 99" xfId="58174"/>
    <cellStyle name="Обычный_17.04.2007 Свод(общий)" xfId="59261"/>
    <cellStyle name="Обычный_Ежемесячный отчет 2004 г." xfId="59262"/>
    <cellStyle name="Плохой 10" xfId="58175"/>
    <cellStyle name="Плохой 100" xfId="58176"/>
    <cellStyle name="Плохой 101" xfId="58177"/>
    <cellStyle name="Плохой 102" xfId="58178"/>
    <cellStyle name="Плохой 103" xfId="58179"/>
    <cellStyle name="Плохой 104" xfId="58180"/>
    <cellStyle name="Плохой 105" xfId="58181"/>
    <cellStyle name="Плохой 106" xfId="58182"/>
    <cellStyle name="Плохой 107" xfId="58183"/>
    <cellStyle name="Плохой 108" xfId="58184"/>
    <cellStyle name="Плохой 109" xfId="58185"/>
    <cellStyle name="Плохой 11" xfId="58186"/>
    <cellStyle name="Плохой 110" xfId="58187"/>
    <cellStyle name="Плохой 111" xfId="58188"/>
    <cellStyle name="Плохой 112" xfId="58189"/>
    <cellStyle name="Плохой 113" xfId="58190"/>
    <cellStyle name="Плохой 114" xfId="58191"/>
    <cellStyle name="Плохой 115" xfId="58192"/>
    <cellStyle name="Плохой 116" xfId="58193"/>
    <cellStyle name="Плохой 117" xfId="58194"/>
    <cellStyle name="Плохой 118" xfId="58195"/>
    <cellStyle name="Плохой 119" xfId="58196"/>
    <cellStyle name="Плохой 12" xfId="58197"/>
    <cellStyle name="Плохой 120" xfId="58198"/>
    <cellStyle name="Плохой 121" xfId="58199"/>
    <cellStyle name="Плохой 122" xfId="58200"/>
    <cellStyle name="Плохой 123" xfId="58201"/>
    <cellStyle name="Плохой 124" xfId="58202"/>
    <cellStyle name="Плохой 125" xfId="58203"/>
    <cellStyle name="Плохой 126" xfId="58204"/>
    <cellStyle name="Плохой 127" xfId="58205"/>
    <cellStyle name="Плохой 128" xfId="58206"/>
    <cellStyle name="Плохой 129" xfId="58207"/>
    <cellStyle name="Плохой 13" xfId="58208"/>
    <cellStyle name="Плохой 130" xfId="58209"/>
    <cellStyle name="Плохой 131" xfId="58210"/>
    <cellStyle name="Плохой 132" xfId="58211"/>
    <cellStyle name="Плохой 133" xfId="58212"/>
    <cellStyle name="Плохой 134" xfId="58213"/>
    <cellStyle name="Плохой 135" xfId="58214"/>
    <cellStyle name="Плохой 136" xfId="58215"/>
    <cellStyle name="Плохой 137" xfId="58216"/>
    <cellStyle name="Плохой 138" xfId="58217"/>
    <cellStyle name="Плохой 139" xfId="58218"/>
    <cellStyle name="Плохой 14" xfId="58219"/>
    <cellStyle name="Плохой 140" xfId="58220"/>
    <cellStyle name="Плохой 141" xfId="58221"/>
    <cellStyle name="Плохой 142" xfId="58222"/>
    <cellStyle name="Плохой 143" xfId="58223"/>
    <cellStyle name="Плохой 144" xfId="58224"/>
    <cellStyle name="Плохой 145" xfId="58225"/>
    <cellStyle name="Плохой 146" xfId="58226"/>
    <cellStyle name="Плохой 147" xfId="58227"/>
    <cellStyle name="Плохой 148" xfId="58228"/>
    <cellStyle name="Плохой 149" xfId="58229"/>
    <cellStyle name="Плохой 15" xfId="58230"/>
    <cellStyle name="Плохой 150" xfId="58231"/>
    <cellStyle name="Плохой 151" xfId="58232"/>
    <cellStyle name="Плохой 152" xfId="58233"/>
    <cellStyle name="Плохой 153" xfId="58234"/>
    <cellStyle name="Плохой 16" xfId="58235"/>
    <cellStyle name="Плохой 17" xfId="58236"/>
    <cellStyle name="Плохой 18" xfId="58237"/>
    <cellStyle name="Плохой 19" xfId="58238"/>
    <cellStyle name="Плохой 2" xfId="58239"/>
    <cellStyle name="Плохой 2 2" xfId="58240"/>
    <cellStyle name="Плохой 2 2 10" xfId="58241"/>
    <cellStyle name="Плохой 2 2 11" xfId="58242"/>
    <cellStyle name="Плохой 2 2 12" xfId="58243"/>
    <cellStyle name="Плохой 2 2 13" xfId="58244"/>
    <cellStyle name="Плохой 2 2 2" xfId="58245"/>
    <cellStyle name="Плохой 2 2 3" xfId="58246"/>
    <cellStyle name="Плохой 2 2 4" xfId="58247"/>
    <cellStyle name="Плохой 2 2 5" xfId="58248"/>
    <cellStyle name="Плохой 2 2 6" xfId="58249"/>
    <cellStyle name="Плохой 2 2 7" xfId="58250"/>
    <cellStyle name="Плохой 2 2 8" xfId="58251"/>
    <cellStyle name="Плохой 2 2 9" xfId="58252"/>
    <cellStyle name="Плохой 2 3" xfId="58253"/>
    <cellStyle name="Плохой 20" xfId="58254"/>
    <cellStyle name="Плохой 21" xfId="58255"/>
    <cellStyle name="Плохой 22" xfId="58256"/>
    <cellStyle name="Плохой 23" xfId="58257"/>
    <cellStyle name="Плохой 24" xfId="58258"/>
    <cellStyle name="Плохой 25" xfId="58259"/>
    <cellStyle name="Плохой 26" xfId="58260"/>
    <cellStyle name="Плохой 27" xfId="58261"/>
    <cellStyle name="Плохой 28" xfId="58262"/>
    <cellStyle name="Плохой 29" xfId="58263"/>
    <cellStyle name="Плохой 3" xfId="58264"/>
    <cellStyle name="Плохой 30" xfId="58265"/>
    <cellStyle name="Плохой 31" xfId="58266"/>
    <cellStyle name="Плохой 32" xfId="58267"/>
    <cellStyle name="Плохой 33" xfId="58268"/>
    <cellStyle name="Плохой 34" xfId="58269"/>
    <cellStyle name="Плохой 35" xfId="58270"/>
    <cellStyle name="Плохой 36" xfId="58271"/>
    <cellStyle name="Плохой 37" xfId="58272"/>
    <cellStyle name="Плохой 38" xfId="58273"/>
    <cellStyle name="Плохой 39" xfId="58274"/>
    <cellStyle name="Плохой 4" xfId="58275"/>
    <cellStyle name="Плохой 40" xfId="58276"/>
    <cellStyle name="Плохой 41" xfId="58277"/>
    <cellStyle name="Плохой 42" xfId="58278"/>
    <cellStyle name="Плохой 43" xfId="58279"/>
    <cellStyle name="Плохой 44" xfId="58280"/>
    <cellStyle name="Плохой 45" xfId="58281"/>
    <cellStyle name="Плохой 46" xfId="58282"/>
    <cellStyle name="Плохой 47" xfId="58283"/>
    <cellStyle name="Плохой 48" xfId="58284"/>
    <cellStyle name="Плохой 49" xfId="58285"/>
    <cellStyle name="Плохой 5" xfId="58286"/>
    <cellStyle name="Плохой 50" xfId="58287"/>
    <cellStyle name="Плохой 51" xfId="58288"/>
    <cellStyle name="Плохой 52" xfId="58289"/>
    <cellStyle name="Плохой 53" xfId="58290"/>
    <cellStyle name="Плохой 54" xfId="58291"/>
    <cellStyle name="Плохой 55" xfId="58292"/>
    <cellStyle name="Плохой 56" xfId="58293"/>
    <cellStyle name="Плохой 57" xfId="58294"/>
    <cellStyle name="Плохой 58" xfId="58295"/>
    <cellStyle name="Плохой 59" xfId="58296"/>
    <cellStyle name="Плохой 6" xfId="58297"/>
    <cellStyle name="Плохой 60" xfId="58298"/>
    <cellStyle name="Плохой 61" xfId="58299"/>
    <cellStyle name="Плохой 62" xfId="58300"/>
    <cellStyle name="Плохой 63" xfId="58301"/>
    <cellStyle name="Плохой 64" xfId="58302"/>
    <cellStyle name="Плохой 65" xfId="58303"/>
    <cellStyle name="Плохой 66" xfId="58304"/>
    <cellStyle name="Плохой 67" xfId="58305"/>
    <cellStyle name="Плохой 68" xfId="58306"/>
    <cellStyle name="Плохой 69" xfId="58307"/>
    <cellStyle name="Плохой 7" xfId="58308"/>
    <cellStyle name="Плохой 70" xfId="58309"/>
    <cellStyle name="Плохой 71" xfId="58310"/>
    <cellStyle name="Плохой 72" xfId="58311"/>
    <cellStyle name="Плохой 73" xfId="58312"/>
    <cellStyle name="Плохой 74" xfId="58313"/>
    <cellStyle name="Плохой 75" xfId="58314"/>
    <cellStyle name="Плохой 76" xfId="58315"/>
    <cellStyle name="Плохой 77" xfId="58316"/>
    <cellStyle name="Плохой 78" xfId="58317"/>
    <cellStyle name="Плохой 79" xfId="58318"/>
    <cellStyle name="Плохой 8" xfId="58319"/>
    <cellStyle name="Плохой 80" xfId="58320"/>
    <cellStyle name="Плохой 81" xfId="58321"/>
    <cellStyle name="Плохой 82" xfId="58322"/>
    <cellStyle name="Плохой 83" xfId="58323"/>
    <cellStyle name="Плохой 84" xfId="58324"/>
    <cellStyle name="Плохой 85" xfId="58325"/>
    <cellStyle name="Плохой 86" xfId="58326"/>
    <cellStyle name="Плохой 87" xfId="58327"/>
    <cellStyle name="Плохой 88" xfId="58328"/>
    <cellStyle name="Плохой 89" xfId="58329"/>
    <cellStyle name="Плохой 9" xfId="58330"/>
    <cellStyle name="Плохой 90" xfId="58331"/>
    <cellStyle name="Плохой 91" xfId="58332"/>
    <cellStyle name="Плохой 92" xfId="58333"/>
    <cellStyle name="Плохой 93" xfId="58334"/>
    <cellStyle name="Плохой 94" xfId="58335"/>
    <cellStyle name="Плохой 95" xfId="58336"/>
    <cellStyle name="Плохой 96" xfId="58337"/>
    <cellStyle name="Плохой 97" xfId="58338"/>
    <cellStyle name="Плохой 98" xfId="58339"/>
    <cellStyle name="Плохой 99" xfId="58340"/>
    <cellStyle name="Пояснение 10" xfId="58341"/>
    <cellStyle name="Пояснение 100" xfId="58342"/>
    <cellStyle name="Пояснение 101" xfId="58343"/>
    <cellStyle name="Пояснение 102" xfId="58344"/>
    <cellStyle name="Пояснение 103" xfId="58345"/>
    <cellStyle name="Пояснение 104" xfId="58346"/>
    <cellStyle name="Пояснение 105" xfId="58347"/>
    <cellStyle name="Пояснение 106" xfId="58348"/>
    <cellStyle name="Пояснение 107" xfId="58349"/>
    <cellStyle name="Пояснение 108" xfId="58350"/>
    <cellStyle name="Пояснение 109" xfId="58351"/>
    <cellStyle name="Пояснение 11" xfId="58352"/>
    <cellStyle name="Пояснение 110" xfId="58353"/>
    <cellStyle name="Пояснение 111" xfId="58354"/>
    <cellStyle name="Пояснение 112" xfId="58355"/>
    <cellStyle name="Пояснение 113" xfId="58356"/>
    <cellStyle name="Пояснение 114" xfId="58357"/>
    <cellStyle name="Пояснение 115" xfId="58358"/>
    <cellStyle name="Пояснение 116" xfId="58359"/>
    <cellStyle name="Пояснение 117" xfId="58360"/>
    <cellStyle name="Пояснение 118" xfId="58361"/>
    <cellStyle name="Пояснение 119" xfId="58362"/>
    <cellStyle name="Пояснение 12" xfId="58363"/>
    <cellStyle name="Пояснение 120" xfId="58364"/>
    <cellStyle name="Пояснение 121" xfId="58365"/>
    <cellStyle name="Пояснение 122" xfId="58366"/>
    <cellStyle name="Пояснение 123" xfId="58367"/>
    <cellStyle name="Пояснение 124" xfId="58368"/>
    <cellStyle name="Пояснение 125" xfId="58369"/>
    <cellStyle name="Пояснение 126" xfId="58370"/>
    <cellStyle name="Пояснение 127" xfId="58371"/>
    <cellStyle name="Пояснение 128" xfId="58372"/>
    <cellStyle name="Пояснение 129" xfId="58373"/>
    <cellStyle name="Пояснение 13" xfId="58374"/>
    <cellStyle name="Пояснение 130" xfId="58375"/>
    <cellStyle name="Пояснение 131" xfId="58376"/>
    <cellStyle name="Пояснение 132" xfId="58377"/>
    <cellStyle name="Пояснение 133" xfId="58378"/>
    <cellStyle name="Пояснение 134" xfId="58379"/>
    <cellStyle name="Пояснение 135" xfId="58380"/>
    <cellStyle name="Пояснение 136" xfId="58381"/>
    <cellStyle name="Пояснение 137" xfId="58382"/>
    <cellStyle name="Пояснение 138" xfId="58383"/>
    <cellStyle name="Пояснение 139" xfId="58384"/>
    <cellStyle name="Пояснение 14" xfId="58385"/>
    <cellStyle name="Пояснение 140" xfId="58386"/>
    <cellStyle name="Пояснение 141" xfId="58387"/>
    <cellStyle name="Пояснение 142" xfId="58388"/>
    <cellStyle name="Пояснение 143" xfId="58389"/>
    <cellStyle name="Пояснение 144" xfId="58390"/>
    <cellStyle name="Пояснение 145" xfId="58391"/>
    <cellStyle name="Пояснение 146" xfId="58392"/>
    <cellStyle name="Пояснение 147" xfId="58393"/>
    <cellStyle name="Пояснение 148" xfId="58394"/>
    <cellStyle name="Пояснение 149" xfId="58395"/>
    <cellStyle name="Пояснение 15" xfId="58396"/>
    <cellStyle name="Пояснение 150" xfId="58397"/>
    <cellStyle name="Пояснение 151" xfId="58398"/>
    <cellStyle name="Пояснение 152" xfId="58399"/>
    <cellStyle name="Пояснение 153" xfId="58400"/>
    <cellStyle name="Пояснение 16" xfId="58401"/>
    <cellStyle name="Пояснение 17" xfId="58402"/>
    <cellStyle name="Пояснение 18" xfId="58403"/>
    <cellStyle name="Пояснение 19" xfId="58404"/>
    <cellStyle name="Пояснение 2" xfId="58405"/>
    <cellStyle name="Пояснение 2 2" xfId="58406"/>
    <cellStyle name="Пояснение 2 2 10" xfId="58407"/>
    <cellStyle name="Пояснение 2 2 11" xfId="58408"/>
    <cellStyle name="Пояснение 2 2 12" xfId="58409"/>
    <cellStyle name="Пояснение 2 2 13" xfId="58410"/>
    <cellStyle name="Пояснение 2 2 2" xfId="58411"/>
    <cellStyle name="Пояснение 2 2 3" xfId="58412"/>
    <cellStyle name="Пояснение 2 2 4" xfId="58413"/>
    <cellStyle name="Пояснение 2 2 5" xfId="58414"/>
    <cellStyle name="Пояснение 2 2 6" xfId="58415"/>
    <cellStyle name="Пояснение 2 2 7" xfId="58416"/>
    <cellStyle name="Пояснение 2 2 8" xfId="58417"/>
    <cellStyle name="Пояснение 2 2 9" xfId="58418"/>
    <cellStyle name="Пояснение 2 3" xfId="58419"/>
    <cellStyle name="Пояснение 20" xfId="58420"/>
    <cellStyle name="Пояснение 21" xfId="58421"/>
    <cellStyle name="Пояснение 22" xfId="58422"/>
    <cellStyle name="Пояснение 23" xfId="58423"/>
    <cellStyle name="Пояснение 24" xfId="58424"/>
    <cellStyle name="Пояснение 25" xfId="58425"/>
    <cellStyle name="Пояснение 26" xfId="58426"/>
    <cellStyle name="Пояснение 27" xfId="58427"/>
    <cellStyle name="Пояснение 28" xfId="58428"/>
    <cellStyle name="Пояснение 29" xfId="58429"/>
    <cellStyle name="Пояснение 3" xfId="58430"/>
    <cellStyle name="Пояснение 30" xfId="58431"/>
    <cellStyle name="Пояснение 31" xfId="58432"/>
    <cellStyle name="Пояснение 32" xfId="58433"/>
    <cellStyle name="Пояснение 33" xfId="58434"/>
    <cellStyle name="Пояснение 34" xfId="58435"/>
    <cellStyle name="Пояснение 35" xfId="58436"/>
    <cellStyle name="Пояснение 36" xfId="58437"/>
    <cellStyle name="Пояснение 37" xfId="58438"/>
    <cellStyle name="Пояснение 38" xfId="58439"/>
    <cellStyle name="Пояснение 39" xfId="58440"/>
    <cellStyle name="Пояснение 4" xfId="58441"/>
    <cellStyle name="Пояснение 40" xfId="58442"/>
    <cellStyle name="Пояснение 41" xfId="58443"/>
    <cellStyle name="Пояснение 42" xfId="58444"/>
    <cellStyle name="Пояснение 43" xfId="58445"/>
    <cellStyle name="Пояснение 44" xfId="58446"/>
    <cellStyle name="Пояснение 45" xfId="58447"/>
    <cellStyle name="Пояснение 46" xfId="58448"/>
    <cellStyle name="Пояснение 47" xfId="58449"/>
    <cellStyle name="Пояснение 48" xfId="58450"/>
    <cellStyle name="Пояснение 49" xfId="58451"/>
    <cellStyle name="Пояснение 5" xfId="58452"/>
    <cellStyle name="Пояснение 50" xfId="58453"/>
    <cellStyle name="Пояснение 51" xfId="58454"/>
    <cellStyle name="Пояснение 52" xfId="58455"/>
    <cellStyle name="Пояснение 53" xfId="58456"/>
    <cellStyle name="Пояснение 54" xfId="58457"/>
    <cellStyle name="Пояснение 55" xfId="58458"/>
    <cellStyle name="Пояснение 56" xfId="58459"/>
    <cellStyle name="Пояснение 57" xfId="58460"/>
    <cellStyle name="Пояснение 58" xfId="58461"/>
    <cellStyle name="Пояснение 59" xfId="58462"/>
    <cellStyle name="Пояснение 6" xfId="58463"/>
    <cellStyle name="Пояснение 60" xfId="58464"/>
    <cellStyle name="Пояснение 61" xfId="58465"/>
    <cellStyle name="Пояснение 62" xfId="58466"/>
    <cellStyle name="Пояснение 63" xfId="58467"/>
    <cellStyle name="Пояснение 64" xfId="58468"/>
    <cellStyle name="Пояснение 65" xfId="58469"/>
    <cellStyle name="Пояснение 66" xfId="58470"/>
    <cellStyle name="Пояснение 67" xfId="58471"/>
    <cellStyle name="Пояснение 68" xfId="58472"/>
    <cellStyle name="Пояснение 69" xfId="58473"/>
    <cellStyle name="Пояснение 7" xfId="58474"/>
    <cellStyle name="Пояснение 70" xfId="58475"/>
    <cellStyle name="Пояснение 71" xfId="58476"/>
    <cellStyle name="Пояснение 72" xfId="58477"/>
    <cellStyle name="Пояснение 73" xfId="58478"/>
    <cellStyle name="Пояснение 74" xfId="58479"/>
    <cellStyle name="Пояснение 75" xfId="58480"/>
    <cellStyle name="Пояснение 76" xfId="58481"/>
    <cellStyle name="Пояснение 77" xfId="58482"/>
    <cellStyle name="Пояснение 78" xfId="58483"/>
    <cellStyle name="Пояснение 79" xfId="58484"/>
    <cellStyle name="Пояснение 8" xfId="58485"/>
    <cellStyle name="Пояснение 80" xfId="58486"/>
    <cellStyle name="Пояснение 81" xfId="58487"/>
    <cellStyle name="Пояснение 82" xfId="58488"/>
    <cellStyle name="Пояснение 83" xfId="58489"/>
    <cellStyle name="Пояснение 84" xfId="58490"/>
    <cellStyle name="Пояснение 85" xfId="58491"/>
    <cellStyle name="Пояснение 86" xfId="58492"/>
    <cellStyle name="Пояснение 87" xfId="58493"/>
    <cellStyle name="Пояснение 88" xfId="58494"/>
    <cellStyle name="Пояснение 89" xfId="58495"/>
    <cellStyle name="Пояснение 9" xfId="58496"/>
    <cellStyle name="Пояснение 90" xfId="58497"/>
    <cellStyle name="Пояснение 91" xfId="58498"/>
    <cellStyle name="Пояснение 92" xfId="58499"/>
    <cellStyle name="Пояснение 93" xfId="58500"/>
    <cellStyle name="Пояснение 94" xfId="58501"/>
    <cellStyle name="Пояснение 95" xfId="58502"/>
    <cellStyle name="Пояснение 96" xfId="58503"/>
    <cellStyle name="Пояснение 97" xfId="58504"/>
    <cellStyle name="Пояснение 98" xfId="58505"/>
    <cellStyle name="Пояснение 99" xfId="58506"/>
    <cellStyle name="Примечание 10" xfId="58507"/>
    <cellStyle name="Примечание 10 2" xfId="58508"/>
    <cellStyle name="Примечание 10 3" xfId="58509"/>
    <cellStyle name="Примечание 100" xfId="58510"/>
    <cellStyle name="Примечание 101" xfId="58511"/>
    <cellStyle name="Примечание 102" xfId="58512"/>
    <cellStyle name="Примечание 103" xfId="58513"/>
    <cellStyle name="Примечание 104" xfId="58514"/>
    <cellStyle name="Примечание 105" xfId="58515"/>
    <cellStyle name="Примечание 106" xfId="58516"/>
    <cellStyle name="Примечание 107" xfId="58517"/>
    <cellStyle name="Примечание 108" xfId="58518"/>
    <cellStyle name="Примечание 109" xfId="58519"/>
    <cellStyle name="Примечание 11" xfId="58520"/>
    <cellStyle name="Примечание 11 2" xfId="58521"/>
    <cellStyle name="Примечание 11 3" xfId="58522"/>
    <cellStyle name="Примечание 110" xfId="58523"/>
    <cellStyle name="Примечание 111" xfId="58524"/>
    <cellStyle name="Примечание 112" xfId="58525"/>
    <cellStyle name="Примечание 113" xfId="58526"/>
    <cellStyle name="Примечание 114" xfId="58527"/>
    <cellStyle name="Примечание 115" xfId="58528"/>
    <cellStyle name="Примечание 116" xfId="58529"/>
    <cellStyle name="Примечание 117" xfId="58530"/>
    <cellStyle name="Примечание 118" xfId="58531"/>
    <cellStyle name="Примечание 119" xfId="58532"/>
    <cellStyle name="Примечание 12" xfId="58533"/>
    <cellStyle name="Примечание 12 2" xfId="58534"/>
    <cellStyle name="Примечание 12 3" xfId="58535"/>
    <cellStyle name="Примечание 120" xfId="58536"/>
    <cellStyle name="Примечание 121" xfId="58537"/>
    <cellStyle name="Примечание 122" xfId="58538"/>
    <cellStyle name="Примечание 123" xfId="58539"/>
    <cellStyle name="Примечание 124" xfId="58540"/>
    <cellStyle name="Примечание 125" xfId="58541"/>
    <cellStyle name="Примечание 126" xfId="58542"/>
    <cellStyle name="Примечание 127" xfId="58543"/>
    <cellStyle name="Примечание 128" xfId="58544"/>
    <cellStyle name="Примечание 129" xfId="58545"/>
    <cellStyle name="Примечание 13" xfId="58546"/>
    <cellStyle name="Примечание 13 2" xfId="58547"/>
    <cellStyle name="Примечание 13 3" xfId="58548"/>
    <cellStyle name="Примечание 130" xfId="58549"/>
    <cellStyle name="Примечание 131" xfId="58550"/>
    <cellStyle name="Примечание 132" xfId="58551"/>
    <cellStyle name="Примечание 133" xfId="58552"/>
    <cellStyle name="Примечание 134" xfId="58553"/>
    <cellStyle name="Примечание 135" xfId="58554"/>
    <cellStyle name="Примечание 136" xfId="58555"/>
    <cellStyle name="Примечание 137" xfId="58556"/>
    <cellStyle name="Примечание 138" xfId="58557"/>
    <cellStyle name="Примечание 139" xfId="58558"/>
    <cellStyle name="Примечание 14" xfId="58559"/>
    <cellStyle name="Примечание 140" xfId="58560"/>
    <cellStyle name="Примечание 141" xfId="58561"/>
    <cellStyle name="Примечание 142" xfId="58562"/>
    <cellStyle name="Примечание 143" xfId="58563"/>
    <cellStyle name="Примечание 144" xfId="58564"/>
    <cellStyle name="Примечание 145" xfId="58565"/>
    <cellStyle name="Примечание 146" xfId="58566"/>
    <cellStyle name="Примечание 147" xfId="58567"/>
    <cellStyle name="Примечание 148" xfId="58568"/>
    <cellStyle name="Примечание 149" xfId="58569"/>
    <cellStyle name="Примечание 15" xfId="58570"/>
    <cellStyle name="Примечание 150" xfId="58571"/>
    <cellStyle name="Примечание 151" xfId="58572"/>
    <cellStyle name="Примечание 152" xfId="58573"/>
    <cellStyle name="Примечание 153" xfId="58574"/>
    <cellStyle name="Примечание 154" xfId="58575"/>
    <cellStyle name="Примечание 155" xfId="58576"/>
    <cellStyle name="Примечание 156" xfId="58577"/>
    <cellStyle name="Примечание 157" xfId="58578"/>
    <cellStyle name="Примечание 158" xfId="58579"/>
    <cellStyle name="Примечание 159" xfId="58580"/>
    <cellStyle name="Примечание 16" xfId="58581"/>
    <cellStyle name="Примечание 160" xfId="58582"/>
    <cellStyle name="Примечание 161" xfId="58583"/>
    <cellStyle name="Примечание 162" xfId="58584"/>
    <cellStyle name="Примечание 163" xfId="58585"/>
    <cellStyle name="Примечание 164" xfId="58586"/>
    <cellStyle name="Примечание 17" xfId="58587"/>
    <cellStyle name="Примечание 18" xfId="58588"/>
    <cellStyle name="Примечание 19" xfId="58589"/>
    <cellStyle name="Примечание 2" xfId="58590"/>
    <cellStyle name="Примечание 2 2" xfId="58591"/>
    <cellStyle name="Примечание 2 3" xfId="58592"/>
    <cellStyle name="Примечание 2 4" xfId="58593"/>
    <cellStyle name="Примечание 20" xfId="58594"/>
    <cellStyle name="Примечание 21" xfId="58595"/>
    <cellStyle name="Примечание 22" xfId="58596"/>
    <cellStyle name="Примечание 23" xfId="58597"/>
    <cellStyle name="Примечание 24" xfId="58598"/>
    <cellStyle name="Примечание 25" xfId="58599"/>
    <cellStyle name="Примечание 26" xfId="58600"/>
    <cellStyle name="Примечание 27" xfId="58601"/>
    <cellStyle name="Примечание 28" xfId="58602"/>
    <cellStyle name="Примечание 29" xfId="58603"/>
    <cellStyle name="Примечание 3" xfId="58604"/>
    <cellStyle name="Примечание 3 2" xfId="58605"/>
    <cellStyle name="Примечание 3 3" xfId="58606"/>
    <cellStyle name="Примечание 30" xfId="58607"/>
    <cellStyle name="Примечание 31" xfId="58608"/>
    <cellStyle name="Примечание 32" xfId="58609"/>
    <cellStyle name="Примечание 33" xfId="58610"/>
    <cellStyle name="Примечание 34" xfId="58611"/>
    <cellStyle name="Примечание 35" xfId="58612"/>
    <cellStyle name="Примечание 36" xfId="58613"/>
    <cellStyle name="Примечание 37" xfId="58614"/>
    <cellStyle name="Примечание 38" xfId="58615"/>
    <cellStyle name="Примечание 39" xfId="58616"/>
    <cellStyle name="Примечание 4" xfId="58617"/>
    <cellStyle name="Примечание 4 2" xfId="58618"/>
    <cellStyle name="Примечание 4 3" xfId="58619"/>
    <cellStyle name="Примечание 40" xfId="58620"/>
    <cellStyle name="Примечание 41" xfId="58621"/>
    <cellStyle name="Примечание 42" xfId="58622"/>
    <cellStyle name="Примечание 43" xfId="58623"/>
    <cellStyle name="Примечание 44" xfId="58624"/>
    <cellStyle name="Примечание 45" xfId="58625"/>
    <cellStyle name="Примечание 46" xfId="58626"/>
    <cellStyle name="Примечание 47" xfId="58627"/>
    <cellStyle name="Примечание 48" xfId="58628"/>
    <cellStyle name="Примечание 49" xfId="58629"/>
    <cellStyle name="Примечание 5" xfId="58630"/>
    <cellStyle name="Примечание 5 2" xfId="58631"/>
    <cellStyle name="Примечание 5 3" xfId="58632"/>
    <cellStyle name="Примечание 50" xfId="58633"/>
    <cellStyle name="Примечание 51" xfId="58634"/>
    <cellStyle name="Примечание 52" xfId="58635"/>
    <cellStyle name="Примечание 53" xfId="58636"/>
    <cellStyle name="Примечание 54" xfId="58637"/>
    <cellStyle name="Примечание 55" xfId="58638"/>
    <cellStyle name="Примечание 56" xfId="58639"/>
    <cellStyle name="Примечание 57" xfId="58640"/>
    <cellStyle name="Примечание 58" xfId="58641"/>
    <cellStyle name="Примечание 59" xfId="58642"/>
    <cellStyle name="Примечание 6" xfId="58643"/>
    <cellStyle name="Примечание 6 2" xfId="58644"/>
    <cellStyle name="Примечание 6 3" xfId="58645"/>
    <cellStyle name="Примечание 60" xfId="58646"/>
    <cellStyle name="Примечание 61" xfId="58647"/>
    <cellStyle name="Примечание 62" xfId="58648"/>
    <cellStyle name="Примечание 63" xfId="58649"/>
    <cellStyle name="Примечание 64" xfId="58650"/>
    <cellStyle name="Примечание 65" xfId="58651"/>
    <cellStyle name="Примечание 66" xfId="58652"/>
    <cellStyle name="Примечание 67" xfId="58653"/>
    <cellStyle name="Примечание 68" xfId="58654"/>
    <cellStyle name="Примечание 69" xfId="58655"/>
    <cellStyle name="Примечание 7" xfId="58656"/>
    <cellStyle name="Примечание 7 2" xfId="58657"/>
    <cellStyle name="Примечание 7 3" xfId="58658"/>
    <cellStyle name="Примечание 70" xfId="58659"/>
    <cellStyle name="Примечание 71" xfId="58660"/>
    <cellStyle name="Примечание 72" xfId="58661"/>
    <cellStyle name="Примечание 73" xfId="58662"/>
    <cellStyle name="Примечание 74" xfId="58663"/>
    <cellStyle name="Примечание 75" xfId="58664"/>
    <cellStyle name="Примечание 76" xfId="58665"/>
    <cellStyle name="Примечание 77" xfId="58666"/>
    <cellStyle name="Примечание 78" xfId="58667"/>
    <cellStyle name="Примечание 79" xfId="58668"/>
    <cellStyle name="Примечание 8" xfId="58669"/>
    <cellStyle name="Примечание 8 2" xfId="58670"/>
    <cellStyle name="Примечание 8 3" xfId="58671"/>
    <cellStyle name="Примечание 80" xfId="58672"/>
    <cellStyle name="Примечание 81" xfId="58673"/>
    <cellStyle name="Примечание 82" xfId="58674"/>
    <cellStyle name="Примечание 83" xfId="58675"/>
    <cellStyle name="Примечание 84" xfId="58676"/>
    <cellStyle name="Примечание 85" xfId="58677"/>
    <cellStyle name="Примечание 86" xfId="58678"/>
    <cellStyle name="Примечание 87" xfId="58679"/>
    <cellStyle name="Примечание 88" xfId="58680"/>
    <cellStyle name="Примечание 89" xfId="58681"/>
    <cellStyle name="Примечание 9" xfId="58682"/>
    <cellStyle name="Примечание 9 2" xfId="58683"/>
    <cellStyle name="Примечание 9 3" xfId="58684"/>
    <cellStyle name="Примечание 90" xfId="58685"/>
    <cellStyle name="Примечание 91" xfId="58686"/>
    <cellStyle name="Примечание 92" xfId="58687"/>
    <cellStyle name="Примечание 93" xfId="58688"/>
    <cellStyle name="Примечание 94" xfId="58689"/>
    <cellStyle name="Примечание 95" xfId="58690"/>
    <cellStyle name="Примечание 96" xfId="58691"/>
    <cellStyle name="Примечание 97" xfId="58692"/>
    <cellStyle name="Примечание 98" xfId="58693"/>
    <cellStyle name="Примечание 99" xfId="58694"/>
    <cellStyle name="Процентный 2" xfId="58695"/>
    <cellStyle name="Процентный 2 2" xfId="59258"/>
    <cellStyle name="Процентный 3" xfId="58696"/>
    <cellStyle name="Процентный 4" xfId="58697"/>
    <cellStyle name="Процентный 5" xfId="59259"/>
    <cellStyle name="Процентный 6" xfId="59260"/>
    <cellStyle name="Связанная ячейка 10" xfId="58698"/>
    <cellStyle name="Связанная ячейка 100" xfId="58699"/>
    <cellStyle name="Связанная ячейка 101" xfId="58700"/>
    <cellStyle name="Связанная ячейка 102" xfId="58701"/>
    <cellStyle name="Связанная ячейка 103" xfId="58702"/>
    <cellStyle name="Связанная ячейка 104" xfId="58703"/>
    <cellStyle name="Связанная ячейка 105" xfId="58704"/>
    <cellStyle name="Связанная ячейка 106" xfId="58705"/>
    <cellStyle name="Связанная ячейка 107" xfId="58706"/>
    <cellStyle name="Связанная ячейка 108" xfId="58707"/>
    <cellStyle name="Связанная ячейка 109" xfId="58708"/>
    <cellStyle name="Связанная ячейка 11" xfId="58709"/>
    <cellStyle name="Связанная ячейка 110" xfId="58710"/>
    <cellStyle name="Связанная ячейка 111" xfId="58711"/>
    <cellStyle name="Связанная ячейка 112" xfId="58712"/>
    <cellStyle name="Связанная ячейка 113" xfId="58713"/>
    <cellStyle name="Связанная ячейка 114" xfId="58714"/>
    <cellStyle name="Связанная ячейка 115" xfId="58715"/>
    <cellStyle name="Связанная ячейка 116" xfId="58716"/>
    <cellStyle name="Связанная ячейка 117" xfId="58717"/>
    <cellStyle name="Связанная ячейка 118" xfId="58718"/>
    <cellStyle name="Связанная ячейка 119" xfId="58719"/>
    <cellStyle name="Связанная ячейка 12" xfId="58720"/>
    <cellStyle name="Связанная ячейка 120" xfId="58721"/>
    <cellStyle name="Связанная ячейка 121" xfId="58722"/>
    <cellStyle name="Связанная ячейка 122" xfId="58723"/>
    <cellStyle name="Связанная ячейка 123" xfId="58724"/>
    <cellStyle name="Связанная ячейка 124" xfId="58725"/>
    <cellStyle name="Связанная ячейка 125" xfId="58726"/>
    <cellStyle name="Связанная ячейка 126" xfId="58727"/>
    <cellStyle name="Связанная ячейка 127" xfId="58728"/>
    <cellStyle name="Связанная ячейка 128" xfId="58729"/>
    <cellStyle name="Связанная ячейка 129" xfId="58730"/>
    <cellStyle name="Связанная ячейка 13" xfId="58731"/>
    <cellStyle name="Связанная ячейка 130" xfId="58732"/>
    <cellStyle name="Связанная ячейка 131" xfId="58733"/>
    <cellStyle name="Связанная ячейка 132" xfId="58734"/>
    <cellStyle name="Связанная ячейка 133" xfId="58735"/>
    <cellStyle name="Связанная ячейка 134" xfId="58736"/>
    <cellStyle name="Связанная ячейка 135" xfId="58737"/>
    <cellStyle name="Связанная ячейка 136" xfId="58738"/>
    <cellStyle name="Связанная ячейка 137" xfId="58739"/>
    <cellStyle name="Связанная ячейка 138" xfId="58740"/>
    <cellStyle name="Связанная ячейка 139" xfId="58741"/>
    <cellStyle name="Связанная ячейка 14" xfId="58742"/>
    <cellStyle name="Связанная ячейка 140" xfId="58743"/>
    <cellStyle name="Связанная ячейка 141" xfId="58744"/>
    <cellStyle name="Связанная ячейка 142" xfId="58745"/>
    <cellStyle name="Связанная ячейка 143" xfId="58746"/>
    <cellStyle name="Связанная ячейка 144" xfId="58747"/>
    <cellStyle name="Связанная ячейка 145" xfId="58748"/>
    <cellStyle name="Связанная ячейка 146" xfId="58749"/>
    <cellStyle name="Связанная ячейка 147" xfId="58750"/>
    <cellStyle name="Связанная ячейка 148" xfId="58751"/>
    <cellStyle name="Связанная ячейка 149" xfId="58752"/>
    <cellStyle name="Связанная ячейка 15" xfId="58753"/>
    <cellStyle name="Связанная ячейка 150" xfId="58754"/>
    <cellStyle name="Связанная ячейка 151" xfId="58755"/>
    <cellStyle name="Связанная ячейка 152" xfId="58756"/>
    <cellStyle name="Связанная ячейка 153" xfId="58757"/>
    <cellStyle name="Связанная ячейка 16" xfId="58758"/>
    <cellStyle name="Связанная ячейка 17" xfId="58759"/>
    <cellStyle name="Связанная ячейка 18" xfId="58760"/>
    <cellStyle name="Связанная ячейка 19" xfId="58761"/>
    <cellStyle name="Связанная ячейка 2" xfId="58762"/>
    <cellStyle name="Связанная ячейка 2 2" xfId="58763"/>
    <cellStyle name="Связанная ячейка 2 2 10" xfId="58764"/>
    <cellStyle name="Связанная ячейка 2 2 11" xfId="58765"/>
    <cellStyle name="Связанная ячейка 2 2 12" xfId="58766"/>
    <cellStyle name="Связанная ячейка 2 2 13" xfId="58767"/>
    <cellStyle name="Связанная ячейка 2 2 2" xfId="58768"/>
    <cellStyle name="Связанная ячейка 2 2 3" xfId="58769"/>
    <cellStyle name="Связанная ячейка 2 2 4" xfId="58770"/>
    <cellStyle name="Связанная ячейка 2 2 5" xfId="58771"/>
    <cellStyle name="Связанная ячейка 2 2 6" xfId="58772"/>
    <cellStyle name="Связанная ячейка 2 2 7" xfId="58773"/>
    <cellStyle name="Связанная ячейка 2 2 8" xfId="58774"/>
    <cellStyle name="Связанная ячейка 2 2 9" xfId="58775"/>
    <cellStyle name="Связанная ячейка 2 3" xfId="58776"/>
    <cellStyle name="Связанная ячейка 20" xfId="58777"/>
    <cellStyle name="Связанная ячейка 21" xfId="58778"/>
    <cellStyle name="Связанная ячейка 22" xfId="58779"/>
    <cellStyle name="Связанная ячейка 23" xfId="58780"/>
    <cellStyle name="Связанная ячейка 24" xfId="58781"/>
    <cellStyle name="Связанная ячейка 25" xfId="58782"/>
    <cellStyle name="Связанная ячейка 26" xfId="58783"/>
    <cellStyle name="Связанная ячейка 27" xfId="58784"/>
    <cellStyle name="Связанная ячейка 28" xfId="58785"/>
    <cellStyle name="Связанная ячейка 29" xfId="58786"/>
    <cellStyle name="Связанная ячейка 3" xfId="58787"/>
    <cellStyle name="Связанная ячейка 30" xfId="58788"/>
    <cellStyle name="Связанная ячейка 31" xfId="58789"/>
    <cellStyle name="Связанная ячейка 32" xfId="58790"/>
    <cellStyle name="Связанная ячейка 33" xfId="58791"/>
    <cellStyle name="Связанная ячейка 34" xfId="58792"/>
    <cellStyle name="Связанная ячейка 35" xfId="58793"/>
    <cellStyle name="Связанная ячейка 36" xfId="58794"/>
    <cellStyle name="Связанная ячейка 37" xfId="58795"/>
    <cellStyle name="Связанная ячейка 38" xfId="58796"/>
    <cellStyle name="Связанная ячейка 39" xfId="58797"/>
    <cellStyle name="Связанная ячейка 4" xfId="58798"/>
    <cellStyle name="Связанная ячейка 40" xfId="58799"/>
    <cellStyle name="Связанная ячейка 41" xfId="58800"/>
    <cellStyle name="Связанная ячейка 42" xfId="58801"/>
    <cellStyle name="Связанная ячейка 43" xfId="58802"/>
    <cellStyle name="Связанная ячейка 44" xfId="58803"/>
    <cellStyle name="Связанная ячейка 45" xfId="58804"/>
    <cellStyle name="Связанная ячейка 46" xfId="58805"/>
    <cellStyle name="Связанная ячейка 47" xfId="58806"/>
    <cellStyle name="Связанная ячейка 48" xfId="58807"/>
    <cellStyle name="Связанная ячейка 49" xfId="58808"/>
    <cellStyle name="Связанная ячейка 5" xfId="58809"/>
    <cellStyle name="Связанная ячейка 50" xfId="58810"/>
    <cellStyle name="Связанная ячейка 51" xfId="58811"/>
    <cellStyle name="Связанная ячейка 52" xfId="58812"/>
    <cellStyle name="Связанная ячейка 53" xfId="58813"/>
    <cellStyle name="Связанная ячейка 54" xfId="58814"/>
    <cellStyle name="Связанная ячейка 55" xfId="58815"/>
    <cellStyle name="Связанная ячейка 56" xfId="58816"/>
    <cellStyle name="Связанная ячейка 57" xfId="58817"/>
    <cellStyle name="Связанная ячейка 58" xfId="58818"/>
    <cellStyle name="Связанная ячейка 59" xfId="58819"/>
    <cellStyle name="Связанная ячейка 6" xfId="58820"/>
    <cellStyle name="Связанная ячейка 60" xfId="58821"/>
    <cellStyle name="Связанная ячейка 61" xfId="58822"/>
    <cellStyle name="Связанная ячейка 62" xfId="58823"/>
    <cellStyle name="Связанная ячейка 63" xfId="58824"/>
    <cellStyle name="Связанная ячейка 64" xfId="58825"/>
    <cellStyle name="Связанная ячейка 65" xfId="58826"/>
    <cellStyle name="Связанная ячейка 66" xfId="58827"/>
    <cellStyle name="Связанная ячейка 67" xfId="58828"/>
    <cellStyle name="Связанная ячейка 68" xfId="58829"/>
    <cellStyle name="Связанная ячейка 69" xfId="58830"/>
    <cellStyle name="Связанная ячейка 7" xfId="58831"/>
    <cellStyle name="Связанная ячейка 70" xfId="58832"/>
    <cellStyle name="Связанная ячейка 71" xfId="58833"/>
    <cellStyle name="Связанная ячейка 72" xfId="58834"/>
    <cellStyle name="Связанная ячейка 73" xfId="58835"/>
    <cellStyle name="Связанная ячейка 74" xfId="58836"/>
    <cellStyle name="Связанная ячейка 75" xfId="58837"/>
    <cellStyle name="Связанная ячейка 76" xfId="58838"/>
    <cellStyle name="Связанная ячейка 77" xfId="58839"/>
    <cellStyle name="Связанная ячейка 78" xfId="58840"/>
    <cellStyle name="Связанная ячейка 79" xfId="58841"/>
    <cellStyle name="Связанная ячейка 8" xfId="58842"/>
    <cellStyle name="Связанная ячейка 80" xfId="58843"/>
    <cellStyle name="Связанная ячейка 81" xfId="58844"/>
    <cellStyle name="Связанная ячейка 82" xfId="58845"/>
    <cellStyle name="Связанная ячейка 83" xfId="58846"/>
    <cellStyle name="Связанная ячейка 84" xfId="58847"/>
    <cellStyle name="Связанная ячейка 85" xfId="58848"/>
    <cellStyle name="Связанная ячейка 86" xfId="58849"/>
    <cellStyle name="Связанная ячейка 87" xfId="58850"/>
    <cellStyle name="Связанная ячейка 88" xfId="58851"/>
    <cellStyle name="Связанная ячейка 89" xfId="58852"/>
    <cellStyle name="Связанная ячейка 9" xfId="58853"/>
    <cellStyle name="Связанная ячейка 90" xfId="58854"/>
    <cellStyle name="Связанная ячейка 91" xfId="58855"/>
    <cellStyle name="Связанная ячейка 92" xfId="58856"/>
    <cellStyle name="Связанная ячейка 93" xfId="58857"/>
    <cellStyle name="Связанная ячейка 94" xfId="58858"/>
    <cellStyle name="Связанная ячейка 95" xfId="58859"/>
    <cellStyle name="Связанная ячейка 96" xfId="58860"/>
    <cellStyle name="Связанная ячейка 97" xfId="58861"/>
    <cellStyle name="Связанная ячейка 98" xfId="58862"/>
    <cellStyle name="Связанная ячейка 99" xfId="58863"/>
    <cellStyle name="Стиль 1" xfId="58864"/>
    <cellStyle name="Текст предупреждения 10" xfId="58865"/>
    <cellStyle name="Текст предупреждения 100" xfId="58866"/>
    <cellStyle name="Текст предупреждения 101" xfId="58867"/>
    <cellStyle name="Текст предупреждения 102" xfId="58868"/>
    <cellStyle name="Текст предупреждения 103" xfId="58869"/>
    <cellStyle name="Текст предупреждения 104" xfId="58870"/>
    <cellStyle name="Текст предупреждения 105" xfId="58871"/>
    <cellStyle name="Текст предупреждения 106" xfId="58872"/>
    <cellStyle name="Текст предупреждения 107" xfId="58873"/>
    <cellStyle name="Текст предупреждения 108" xfId="58874"/>
    <cellStyle name="Текст предупреждения 109" xfId="58875"/>
    <cellStyle name="Текст предупреждения 11" xfId="58876"/>
    <cellStyle name="Текст предупреждения 110" xfId="58877"/>
    <cellStyle name="Текст предупреждения 111" xfId="58878"/>
    <cellStyle name="Текст предупреждения 112" xfId="58879"/>
    <cellStyle name="Текст предупреждения 113" xfId="58880"/>
    <cellStyle name="Текст предупреждения 114" xfId="58881"/>
    <cellStyle name="Текст предупреждения 115" xfId="58882"/>
    <cellStyle name="Текст предупреждения 116" xfId="58883"/>
    <cellStyle name="Текст предупреждения 117" xfId="58884"/>
    <cellStyle name="Текст предупреждения 118" xfId="58885"/>
    <cellStyle name="Текст предупреждения 119" xfId="58886"/>
    <cellStyle name="Текст предупреждения 12" xfId="58887"/>
    <cellStyle name="Текст предупреждения 120" xfId="58888"/>
    <cellStyle name="Текст предупреждения 121" xfId="58889"/>
    <cellStyle name="Текст предупреждения 122" xfId="58890"/>
    <cellStyle name="Текст предупреждения 123" xfId="58891"/>
    <cellStyle name="Текст предупреждения 124" xfId="58892"/>
    <cellStyle name="Текст предупреждения 125" xfId="58893"/>
    <cellStyle name="Текст предупреждения 126" xfId="58894"/>
    <cellStyle name="Текст предупреждения 127" xfId="58895"/>
    <cellStyle name="Текст предупреждения 128" xfId="58896"/>
    <cellStyle name="Текст предупреждения 129" xfId="58897"/>
    <cellStyle name="Текст предупреждения 13" xfId="58898"/>
    <cellStyle name="Текст предупреждения 130" xfId="58899"/>
    <cellStyle name="Текст предупреждения 131" xfId="58900"/>
    <cellStyle name="Текст предупреждения 132" xfId="58901"/>
    <cellStyle name="Текст предупреждения 133" xfId="58902"/>
    <cellStyle name="Текст предупреждения 134" xfId="58903"/>
    <cellStyle name="Текст предупреждения 135" xfId="58904"/>
    <cellStyle name="Текст предупреждения 136" xfId="58905"/>
    <cellStyle name="Текст предупреждения 137" xfId="58906"/>
    <cellStyle name="Текст предупреждения 138" xfId="58907"/>
    <cellStyle name="Текст предупреждения 139" xfId="58908"/>
    <cellStyle name="Текст предупреждения 14" xfId="58909"/>
    <cellStyle name="Текст предупреждения 140" xfId="58910"/>
    <cellStyle name="Текст предупреждения 141" xfId="58911"/>
    <cellStyle name="Текст предупреждения 142" xfId="58912"/>
    <cellStyle name="Текст предупреждения 143" xfId="58913"/>
    <cellStyle name="Текст предупреждения 144" xfId="58914"/>
    <cellStyle name="Текст предупреждения 145" xfId="58915"/>
    <cellStyle name="Текст предупреждения 146" xfId="58916"/>
    <cellStyle name="Текст предупреждения 147" xfId="58917"/>
    <cellStyle name="Текст предупреждения 148" xfId="58918"/>
    <cellStyle name="Текст предупреждения 149" xfId="58919"/>
    <cellStyle name="Текст предупреждения 15" xfId="58920"/>
    <cellStyle name="Текст предупреждения 150" xfId="58921"/>
    <cellStyle name="Текст предупреждения 151" xfId="58922"/>
    <cellStyle name="Текст предупреждения 152" xfId="58923"/>
    <cellStyle name="Текст предупреждения 153" xfId="58924"/>
    <cellStyle name="Текст предупреждения 16" xfId="58925"/>
    <cellStyle name="Текст предупреждения 17" xfId="58926"/>
    <cellStyle name="Текст предупреждения 18" xfId="58927"/>
    <cellStyle name="Текст предупреждения 19" xfId="58928"/>
    <cellStyle name="Текст предупреждения 2" xfId="58929"/>
    <cellStyle name="Текст предупреждения 2 2" xfId="58930"/>
    <cellStyle name="Текст предупреждения 2 2 10" xfId="58931"/>
    <cellStyle name="Текст предупреждения 2 2 11" xfId="58932"/>
    <cellStyle name="Текст предупреждения 2 2 12" xfId="58933"/>
    <cellStyle name="Текст предупреждения 2 2 13" xfId="58934"/>
    <cellStyle name="Текст предупреждения 2 2 2" xfId="58935"/>
    <cellStyle name="Текст предупреждения 2 2 3" xfId="58936"/>
    <cellStyle name="Текст предупреждения 2 2 4" xfId="58937"/>
    <cellStyle name="Текст предупреждения 2 2 5" xfId="58938"/>
    <cellStyle name="Текст предупреждения 2 2 6" xfId="58939"/>
    <cellStyle name="Текст предупреждения 2 2 7" xfId="58940"/>
    <cellStyle name="Текст предупреждения 2 2 8" xfId="58941"/>
    <cellStyle name="Текст предупреждения 2 2 9" xfId="58942"/>
    <cellStyle name="Текст предупреждения 2 3" xfId="58943"/>
    <cellStyle name="Текст предупреждения 20" xfId="58944"/>
    <cellStyle name="Текст предупреждения 21" xfId="58945"/>
    <cellStyle name="Текст предупреждения 22" xfId="58946"/>
    <cellStyle name="Текст предупреждения 23" xfId="58947"/>
    <cellStyle name="Текст предупреждения 24" xfId="58948"/>
    <cellStyle name="Текст предупреждения 25" xfId="58949"/>
    <cellStyle name="Текст предупреждения 26" xfId="58950"/>
    <cellStyle name="Текст предупреждения 27" xfId="58951"/>
    <cellStyle name="Текст предупреждения 28" xfId="58952"/>
    <cellStyle name="Текст предупреждения 29" xfId="58953"/>
    <cellStyle name="Текст предупреждения 3" xfId="58954"/>
    <cellStyle name="Текст предупреждения 30" xfId="58955"/>
    <cellStyle name="Текст предупреждения 31" xfId="58956"/>
    <cellStyle name="Текст предупреждения 32" xfId="58957"/>
    <cellStyle name="Текст предупреждения 33" xfId="58958"/>
    <cellStyle name="Текст предупреждения 34" xfId="58959"/>
    <cellStyle name="Текст предупреждения 35" xfId="58960"/>
    <cellStyle name="Текст предупреждения 36" xfId="58961"/>
    <cellStyle name="Текст предупреждения 37" xfId="58962"/>
    <cellStyle name="Текст предупреждения 38" xfId="58963"/>
    <cellStyle name="Текст предупреждения 39" xfId="58964"/>
    <cellStyle name="Текст предупреждения 4" xfId="58965"/>
    <cellStyle name="Текст предупреждения 40" xfId="58966"/>
    <cellStyle name="Текст предупреждения 41" xfId="58967"/>
    <cellStyle name="Текст предупреждения 42" xfId="58968"/>
    <cellStyle name="Текст предупреждения 43" xfId="58969"/>
    <cellStyle name="Текст предупреждения 44" xfId="58970"/>
    <cellStyle name="Текст предупреждения 45" xfId="58971"/>
    <cellStyle name="Текст предупреждения 46" xfId="58972"/>
    <cellStyle name="Текст предупреждения 47" xfId="58973"/>
    <cellStyle name="Текст предупреждения 48" xfId="58974"/>
    <cellStyle name="Текст предупреждения 49" xfId="58975"/>
    <cellStyle name="Текст предупреждения 5" xfId="58976"/>
    <cellStyle name="Текст предупреждения 50" xfId="58977"/>
    <cellStyle name="Текст предупреждения 51" xfId="58978"/>
    <cellStyle name="Текст предупреждения 52" xfId="58979"/>
    <cellStyle name="Текст предупреждения 53" xfId="58980"/>
    <cellStyle name="Текст предупреждения 54" xfId="58981"/>
    <cellStyle name="Текст предупреждения 55" xfId="58982"/>
    <cellStyle name="Текст предупреждения 56" xfId="58983"/>
    <cellStyle name="Текст предупреждения 57" xfId="58984"/>
    <cellStyle name="Текст предупреждения 58" xfId="58985"/>
    <cellStyle name="Текст предупреждения 59" xfId="58986"/>
    <cellStyle name="Текст предупреждения 6" xfId="58987"/>
    <cellStyle name="Текст предупреждения 60" xfId="58988"/>
    <cellStyle name="Текст предупреждения 61" xfId="58989"/>
    <cellStyle name="Текст предупреждения 62" xfId="58990"/>
    <cellStyle name="Текст предупреждения 63" xfId="58991"/>
    <cellStyle name="Текст предупреждения 64" xfId="58992"/>
    <cellStyle name="Текст предупреждения 65" xfId="58993"/>
    <cellStyle name="Текст предупреждения 66" xfId="58994"/>
    <cellStyle name="Текст предупреждения 67" xfId="58995"/>
    <cellStyle name="Текст предупреждения 68" xfId="58996"/>
    <cellStyle name="Текст предупреждения 69" xfId="58997"/>
    <cellStyle name="Текст предупреждения 7" xfId="58998"/>
    <cellStyle name="Текст предупреждения 70" xfId="58999"/>
    <cellStyle name="Текст предупреждения 71" xfId="59000"/>
    <cellStyle name="Текст предупреждения 72" xfId="59001"/>
    <cellStyle name="Текст предупреждения 73" xfId="59002"/>
    <cellStyle name="Текст предупреждения 74" xfId="59003"/>
    <cellStyle name="Текст предупреждения 75" xfId="59004"/>
    <cellStyle name="Текст предупреждения 76" xfId="59005"/>
    <cellStyle name="Текст предупреждения 77" xfId="59006"/>
    <cellStyle name="Текст предупреждения 78" xfId="59007"/>
    <cellStyle name="Текст предупреждения 79" xfId="59008"/>
    <cellStyle name="Текст предупреждения 8" xfId="59009"/>
    <cellStyle name="Текст предупреждения 80" xfId="59010"/>
    <cellStyle name="Текст предупреждения 81" xfId="59011"/>
    <cellStyle name="Текст предупреждения 82" xfId="59012"/>
    <cellStyle name="Текст предупреждения 83" xfId="59013"/>
    <cellStyle name="Текст предупреждения 84" xfId="59014"/>
    <cellStyle name="Текст предупреждения 85" xfId="59015"/>
    <cellStyle name="Текст предупреждения 86" xfId="59016"/>
    <cellStyle name="Текст предупреждения 87" xfId="59017"/>
    <cellStyle name="Текст предупреждения 88" xfId="59018"/>
    <cellStyle name="Текст предупреждения 89" xfId="59019"/>
    <cellStyle name="Текст предупреждения 9" xfId="59020"/>
    <cellStyle name="Текст предупреждения 90" xfId="59021"/>
    <cellStyle name="Текст предупреждения 91" xfId="59022"/>
    <cellStyle name="Текст предупреждения 92" xfId="59023"/>
    <cellStyle name="Текст предупреждения 93" xfId="59024"/>
    <cellStyle name="Текст предупреждения 94" xfId="59025"/>
    <cellStyle name="Текст предупреждения 95" xfId="59026"/>
    <cellStyle name="Текст предупреждения 96" xfId="59027"/>
    <cellStyle name="Текст предупреждения 97" xfId="59028"/>
    <cellStyle name="Текст предупреждения 98" xfId="59029"/>
    <cellStyle name="Текст предупреждения 99" xfId="59030"/>
    <cellStyle name="Финансовый 10" xfId="59031"/>
    <cellStyle name="Финансовый 2" xfId="59032"/>
    <cellStyle name="Финансовый 2 10" xfId="59033"/>
    <cellStyle name="Финансовый 2 11" xfId="59034"/>
    <cellStyle name="Финансовый 2 12" xfId="59035"/>
    <cellStyle name="Финансовый 2 13" xfId="59036"/>
    <cellStyle name="Финансовый 2 14" xfId="59037"/>
    <cellStyle name="Финансовый 2 15" xfId="59038"/>
    <cellStyle name="Финансовый 2 16" xfId="59039"/>
    <cellStyle name="Финансовый 2 17" xfId="59040"/>
    <cellStyle name="Финансовый 2 2" xfId="59041"/>
    <cellStyle name="Финансовый 2 2 2" xfId="59042"/>
    <cellStyle name="Финансовый 2 2 2 2" xfId="59043"/>
    <cellStyle name="Финансовый 2 2 3" xfId="59044"/>
    <cellStyle name="Финансовый 2 3" xfId="59045"/>
    <cellStyle name="Финансовый 2 3 2" xfId="59046"/>
    <cellStyle name="Финансовый 2 3 2 2" xfId="59047"/>
    <cellStyle name="Финансовый 2 3 3" xfId="59048"/>
    <cellStyle name="Финансовый 2 4" xfId="59049"/>
    <cellStyle name="Финансовый 2 4 2" xfId="59050"/>
    <cellStyle name="Финансовый 2 4 2 2" xfId="59051"/>
    <cellStyle name="Финансовый 2 4 3" xfId="59052"/>
    <cellStyle name="Финансовый 2 5" xfId="59053"/>
    <cellStyle name="Финансовый 2 5 2" xfId="59054"/>
    <cellStyle name="Финансовый 2 6" xfId="59055"/>
    <cellStyle name="Финансовый 2 6 2" xfId="59056"/>
    <cellStyle name="Финансовый 2 7" xfId="59057"/>
    <cellStyle name="Финансовый 2 7 2" xfId="59058"/>
    <cellStyle name="Финансовый 2 8" xfId="59059"/>
    <cellStyle name="Финансовый 2 9" xfId="59060"/>
    <cellStyle name="Финансовый 3" xfId="59061"/>
    <cellStyle name="Финансовый 3 2" xfId="59062"/>
    <cellStyle name="Финансовый 3 2 2" xfId="59063"/>
    <cellStyle name="Финансовый 3 3" xfId="59064"/>
    <cellStyle name="Финансовый 3 4" xfId="59065"/>
    <cellStyle name="Финансовый 3 5" xfId="59066"/>
    <cellStyle name="Финансовый 3 6" xfId="59067"/>
    <cellStyle name="Финансовый 3 7" xfId="59068"/>
    <cellStyle name="Финансовый 3 8" xfId="59069"/>
    <cellStyle name="Финансовый 3 9" xfId="59070"/>
    <cellStyle name="Финансовый 4" xfId="59071"/>
    <cellStyle name="Финансовый 4 2" xfId="59072"/>
    <cellStyle name="Финансовый 4 3" xfId="59073"/>
    <cellStyle name="Финансовый 5" xfId="59074"/>
    <cellStyle name="Финансовый 5 2" xfId="59075"/>
    <cellStyle name="Финансовый 6" xfId="59076"/>
    <cellStyle name="Финансовый 6 2" xfId="59077"/>
    <cellStyle name="Финансовый 7" xfId="59078"/>
    <cellStyle name="Финансовый 8" xfId="59079"/>
    <cellStyle name="Финансовый 9" xfId="59080"/>
    <cellStyle name="Хороший 10" xfId="59081"/>
    <cellStyle name="Хороший 100" xfId="59082"/>
    <cellStyle name="Хороший 101" xfId="59083"/>
    <cellStyle name="Хороший 102" xfId="59084"/>
    <cellStyle name="Хороший 103" xfId="59085"/>
    <cellStyle name="Хороший 104" xfId="59086"/>
    <cellStyle name="Хороший 105" xfId="59087"/>
    <cellStyle name="Хороший 106" xfId="59088"/>
    <cellStyle name="Хороший 107" xfId="59089"/>
    <cellStyle name="Хороший 108" xfId="59090"/>
    <cellStyle name="Хороший 109" xfId="59091"/>
    <cellStyle name="Хороший 11" xfId="59092"/>
    <cellStyle name="Хороший 110" xfId="59093"/>
    <cellStyle name="Хороший 111" xfId="59094"/>
    <cellStyle name="Хороший 112" xfId="59095"/>
    <cellStyle name="Хороший 113" xfId="59096"/>
    <cellStyle name="Хороший 114" xfId="59097"/>
    <cellStyle name="Хороший 115" xfId="59098"/>
    <cellStyle name="Хороший 116" xfId="59099"/>
    <cellStyle name="Хороший 117" xfId="59100"/>
    <cellStyle name="Хороший 118" xfId="59101"/>
    <cellStyle name="Хороший 119" xfId="59102"/>
    <cellStyle name="Хороший 12" xfId="59103"/>
    <cellStyle name="Хороший 120" xfId="59104"/>
    <cellStyle name="Хороший 121" xfId="59105"/>
    <cellStyle name="Хороший 122" xfId="59106"/>
    <cellStyle name="Хороший 123" xfId="59107"/>
    <cellStyle name="Хороший 124" xfId="59108"/>
    <cellStyle name="Хороший 125" xfId="59109"/>
    <cellStyle name="Хороший 126" xfId="59110"/>
    <cellStyle name="Хороший 127" xfId="59111"/>
    <cellStyle name="Хороший 128" xfId="59112"/>
    <cellStyle name="Хороший 129" xfId="59113"/>
    <cellStyle name="Хороший 13" xfId="59114"/>
    <cellStyle name="Хороший 130" xfId="59115"/>
    <cellStyle name="Хороший 131" xfId="59116"/>
    <cellStyle name="Хороший 132" xfId="59117"/>
    <cellStyle name="Хороший 133" xfId="59118"/>
    <cellStyle name="Хороший 134" xfId="59119"/>
    <cellStyle name="Хороший 135" xfId="59120"/>
    <cellStyle name="Хороший 136" xfId="59121"/>
    <cellStyle name="Хороший 137" xfId="59122"/>
    <cellStyle name="Хороший 138" xfId="59123"/>
    <cellStyle name="Хороший 139" xfId="59124"/>
    <cellStyle name="Хороший 14" xfId="59125"/>
    <cellStyle name="Хороший 140" xfId="59126"/>
    <cellStyle name="Хороший 141" xfId="59127"/>
    <cellStyle name="Хороший 142" xfId="59128"/>
    <cellStyle name="Хороший 143" xfId="59129"/>
    <cellStyle name="Хороший 144" xfId="59130"/>
    <cellStyle name="Хороший 145" xfId="59131"/>
    <cellStyle name="Хороший 146" xfId="59132"/>
    <cellStyle name="Хороший 147" xfId="59133"/>
    <cellStyle name="Хороший 148" xfId="59134"/>
    <cellStyle name="Хороший 149" xfId="59135"/>
    <cellStyle name="Хороший 15" xfId="59136"/>
    <cellStyle name="Хороший 150" xfId="59137"/>
    <cellStyle name="Хороший 151" xfId="59138"/>
    <cellStyle name="Хороший 152" xfId="59139"/>
    <cellStyle name="Хороший 153" xfId="59140"/>
    <cellStyle name="Хороший 16" xfId="59141"/>
    <cellStyle name="Хороший 17" xfId="59142"/>
    <cellStyle name="Хороший 18" xfId="59143"/>
    <cellStyle name="Хороший 19" xfId="59144"/>
    <cellStyle name="Хороший 2" xfId="59145"/>
    <cellStyle name="Хороший 2 2" xfId="59146"/>
    <cellStyle name="Хороший 2 2 10" xfId="59147"/>
    <cellStyle name="Хороший 2 2 11" xfId="59148"/>
    <cellStyle name="Хороший 2 2 12" xfId="59149"/>
    <cellStyle name="Хороший 2 2 13" xfId="59150"/>
    <cellStyle name="Хороший 2 2 2" xfId="59151"/>
    <cellStyle name="Хороший 2 2 3" xfId="59152"/>
    <cellStyle name="Хороший 2 2 4" xfId="59153"/>
    <cellStyle name="Хороший 2 2 5" xfId="59154"/>
    <cellStyle name="Хороший 2 2 6" xfId="59155"/>
    <cellStyle name="Хороший 2 2 7" xfId="59156"/>
    <cellStyle name="Хороший 2 2 8" xfId="59157"/>
    <cellStyle name="Хороший 2 2 9" xfId="59158"/>
    <cellStyle name="Хороший 2 3" xfId="59159"/>
    <cellStyle name="Хороший 20" xfId="59160"/>
    <cellStyle name="Хороший 21" xfId="59161"/>
    <cellStyle name="Хороший 22" xfId="59162"/>
    <cellStyle name="Хороший 23" xfId="59163"/>
    <cellStyle name="Хороший 24" xfId="59164"/>
    <cellStyle name="Хороший 25" xfId="59165"/>
    <cellStyle name="Хороший 26" xfId="59166"/>
    <cellStyle name="Хороший 27" xfId="59167"/>
    <cellStyle name="Хороший 28" xfId="59168"/>
    <cellStyle name="Хороший 29" xfId="59169"/>
    <cellStyle name="Хороший 3" xfId="59170"/>
    <cellStyle name="Хороший 30" xfId="59171"/>
    <cellStyle name="Хороший 31" xfId="59172"/>
    <cellStyle name="Хороший 32" xfId="59173"/>
    <cellStyle name="Хороший 33" xfId="59174"/>
    <cellStyle name="Хороший 34" xfId="59175"/>
    <cellStyle name="Хороший 35" xfId="59176"/>
    <cellStyle name="Хороший 36" xfId="59177"/>
    <cellStyle name="Хороший 37" xfId="59178"/>
    <cellStyle name="Хороший 38" xfId="59179"/>
    <cellStyle name="Хороший 39" xfId="59180"/>
    <cellStyle name="Хороший 4" xfId="59181"/>
    <cellStyle name="Хороший 40" xfId="59182"/>
    <cellStyle name="Хороший 41" xfId="59183"/>
    <cellStyle name="Хороший 42" xfId="59184"/>
    <cellStyle name="Хороший 43" xfId="59185"/>
    <cellStyle name="Хороший 44" xfId="59186"/>
    <cellStyle name="Хороший 45" xfId="59187"/>
    <cellStyle name="Хороший 46" xfId="59188"/>
    <cellStyle name="Хороший 47" xfId="59189"/>
    <cellStyle name="Хороший 48" xfId="59190"/>
    <cellStyle name="Хороший 49" xfId="59191"/>
    <cellStyle name="Хороший 5" xfId="59192"/>
    <cellStyle name="Хороший 50" xfId="59193"/>
    <cellStyle name="Хороший 51" xfId="59194"/>
    <cellStyle name="Хороший 52" xfId="59195"/>
    <cellStyle name="Хороший 53" xfId="59196"/>
    <cellStyle name="Хороший 54" xfId="59197"/>
    <cellStyle name="Хороший 55" xfId="59198"/>
    <cellStyle name="Хороший 56" xfId="59199"/>
    <cellStyle name="Хороший 57" xfId="59200"/>
    <cellStyle name="Хороший 58" xfId="59201"/>
    <cellStyle name="Хороший 59" xfId="59202"/>
    <cellStyle name="Хороший 6" xfId="59203"/>
    <cellStyle name="Хороший 60" xfId="59204"/>
    <cellStyle name="Хороший 61" xfId="59205"/>
    <cellStyle name="Хороший 62" xfId="59206"/>
    <cellStyle name="Хороший 63" xfId="59207"/>
    <cellStyle name="Хороший 64" xfId="59208"/>
    <cellStyle name="Хороший 65" xfId="59209"/>
    <cellStyle name="Хороший 66" xfId="59210"/>
    <cellStyle name="Хороший 67" xfId="59211"/>
    <cellStyle name="Хороший 68" xfId="59212"/>
    <cellStyle name="Хороший 69" xfId="59213"/>
    <cellStyle name="Хороший 7" xfId="59214"/>
    <cellStyle name="Хороший 70" xfId="59215"/>
    <cellStyle name="Хороший 71" xfId="59216"/>
    <cellStyle name="Хороший 72" xfId="59217"/>
    <cellStyle name="Хороший 73" xfId="59218"/>
    <cellStyle name="Хороший 74" xfId="59219"/>
    <cellStyle name="Хороший 75" xfId="59220"/>
    <cellStyle name="Хороший 76" xfId="59221"/>
    <cellStyle name="Хороший 77" xfId="59222"/>
    <cellStyle name="Хороший 78" xfId="59223"/>
    <cellStyle name="Хороший 79" xfId="59224"/>
    <cellStyle name="Хороший 8" xfId="59225"/>
    <cellStyle name="Хороший 80" xfId="59226"/>
    <cellStyle name="Хороший 81" xfId="59227"/>
    <cellStyle name="Хороший 82" xfId="59228"/>
    <cellStyle name="Хороший 83" xfId="59229"/>
    <cellStyle name="Хороший 84" xfId="59230"/>
    <cellStyle name="Хороший 85" xfId="59231"/>
    <cellStyle name="Хороший 86" xfId="59232"/>
    <cellStyle name="Хороший 87" xfId="59233"/>
    <cellStyle name="Хороший 88" xfId="59234"/>
    <cellStyle name="Хороший 89" xfId="59235"/>
    <cellStyle name="Хороший 9" xfId="59236"/>
    <cellStyle name="Хороший 90" xfId="59237"/>
    <cellStyle name="Хороший 91" xfId="59238"/>
    <cellStyle name="Хороший 92" xfId="59239"/>
    <cellStyle name="Хороший 93" xfId="59240"/>
    <cellStyle name="Хороший 94" xfId="59241"/>
    <cellStyle name="Хороший 95" xfId="59242"/>
    <cellStyle name="Хороший 96" xfId="59243"/>
    <cellStyle name="Хороший 97" xfId="59244"/>
    <cellStyle name="Хороший 98" xfId="59245"/>
    <cellStyle name="Хороший 99" xfId="59246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3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SIT/&#1058;%20&#1040;%20&#1056;%20&#1048;%20&#1060;%20&#1053;%20&#1067;%20&#1045;/&#1054;&#1073;&#1098;&#1077;&#1084;&#1099;/2020%20&#1075;/&#1040;&#1055;&#1059;%20&#1055;&#1088;&#1086;&#1092;&#1080;&#1083;&#1072;&#1082;&#1090;&#1080;&#1082;&#1072;/&#1040;&#1055;&#1059;%20&#1055;&#1088;&#1086;&#1092;&#1080;&#1083;&#1072;&#1082;&#1090;&#1080;&#1082;&#1072;%20%20&#1057;&#1074;&#1086;&#1076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на 01.01.2020"/>
      <sheetName val="Всего Профилактика  2020 Пр.107"/>
      <sheetName val="Проф.иными цел.2020 Пр.107"/>
      <sheetName val="Проф.иными цел.2020 Пр.108"/>
      <sheetName val="Проф.иными цел.2020 Пр.108-107"/>
      <sheetName val="Проф.иные Пр.108-107 сумма"/>
      <sheetName val="Всего Профилактика  2020 Пр109"/>
      <sheetName val="Проф.иными цел.2020 Пр.109"/>
      <sheetName val="Всего Профилактика 109-107"/>
      <sheetName val="Проф.иными цел.109-108"/>
      <sheetName val="Всего Профилактика 109-107 ФО"/>
      <sheetName val="Проф.иными цел.109-108 ФО"/>
      <sheetName val="Всего профил.2020 Пр.110"/>
      <sheetName val="Всего проф.2020 Пр.110-109"/>
      <sheetName val="Проф.с иными целями Пр.110"/>
      <sheetName val="Проф.иными цел.Пр.110-109 объем"/>
      <sheetName val="Проф.ин.цел.Пр.110-109 финансы"/>
      <sheetName val="Всего профил.2020 Пр.111"/>
      <sheetName val="Всего профил.2020 Пр.111 -110"/>
      <sheetName val="Проф.с иными целями Пр.111"/>
      <sheetName val="Проф.с иными целями Пр.111-110"/>
      <sheetName val="Всего профил. Пр.111 -110финанс"/>
      <sheetName val="Проф.с иными цел Пр.111-110фин "/>
      <sheetName val="Всего профил.2020 Пр.113"/>
      <sheetName val="Всего профил.2020 Пр.113-111"/>
      <sheetName val="Проф.с иными целями Пр.113"/>
      <sheetName val="Проф.с иными целями Пр.113 -111"/>
      <sheetName val="Всего профил.2020 Пр.113-111 фи"/>
      <sheetName val="Проф.с иными целями Пр.113-111ф"/>
      <sheetName val="Всего профил.2020 Пр.114"/>
      <sheetName val="Всего профил.2020 Пр.114-113"/>
      <sheetName val="Проф.с иными целями Пр.114"/>
      <sheetName val="Проф.с иными целями Пр.114-113"/>
      <sheetName val="Всего профил. Пр.114-113 финанс"/>
      <sheetName val="Проф.с иными цел. Пр.114-113фин"/>
      <sheetName val="Всего профил.Пр.116"/>
      <sheetName val="Всего профил.Пр.116-114"/>
      <sheetName val="Проф.с иными целями Пр.116."/>
      <sheetName val="Проф.с иными целями Пр.116-114"/>
      <sheetName val="Проф.с иными цел. Пр.116-114 ФО"/>
      <sheetName val="Всего профил.Пр.117"/>
      <sheetName val="Всего профил.Пр.117 -116"/>
      <sheetName val="Проф.с иными целями Пр.117"/>
      <sheetName val="Проф. иными цел.117-116"/>
      <sheetName val="Проф. иными цел.117-116 фин"/>
      <sheetName val="Всего профил.Пр.118"/>
      <sheetName val="Всего профил.Пр.118-117 "/>
      <sheetName val="Проф.с иными целями Пр.118"/>
      <sheetName val="Проф.с иными целями Пр.118 -117"/>
      <sheetName val="Всего профил.Пр.118-117 финансы"/>
      <sheetName val="Проф.с иными цел. Пр.118-117фи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0">
          <cell r="D10">
            <v>134795</v>
          </cell>
        </row>
        <row r="11">
          <cell r="D11">
            <v>1403</v>
          </cell>
        </row>
        <row r="12">
          <cell r="D12">
            <v>134339</v>
          </cell>
        </row>
        <row r="13">
          <cell r="D13">
            <v>1297</v>
          </cell>
        </row>
        <row r="14">
          <cell r="D14">
            <v>315145</v>
          </cell>
        </row>
        <row r="15">
          <cell r="D15">
            <v>40884</v>
          </cell>
        </row>
        <row r="16">
          <cell r="D16">
            <v>98323</v>
          </cell>
        </row>
        <row r="17">
          <cell r="D17">
            <v>41931</v>
          </cell>
        </row>
        <row r="18">
          <cell r="D18">
            <v>43971</v>
          </cell>
        </row>
        <row r="19">
          <cell r="D19">
            <v>47619</v>
          </cell>
        </row>
        <row r="20">
          <cell r="D20">
            <v>50929</v>
          </cell>
        </row>
        <row r="21">
          <cell r="D21">
            <v>52970</v>
          </cell>
        </row>
        <row r="22">
          <cell r="D22">
            <v>49970</v>
          </cell>
        </row>
        <row r="23">
          <cell r="D23">
            <v>59397</v>
          </cell>
        </row>
        <row r="24">
          <cell r="D24">
            <v>47782</v>
          </cell>
        </row>
        <row r="25">
          <cell r="D25">
            <v>6</v>
          </cell>
        </row>
        <row r="26">
          <cell r="D26">
            <v>141873</v>
          </cell>
        </row>
        <row r="27">
          <cell r="D27">
            <v>2391</v>
          </cell>
        </row>
        <row r="28">
          <cell r="D28">
            <v>119360</v>
          </cell>
        </row>
        <row r="29">
          <cell r="D29">
            <v>235833</v>
          </cell>
        </row>
        <row r="30">
          <cell r="D30">
            <v>156323</v>
          </cell>
        </row>
        <row r="31">
          <cell r="D31">
            <v>35612</v>
          </cell>
        </row>
        <row r="32">
          <cell r="D32">
            <v>64168</v>
          </cell>
        </row>
        <row r="33">
          <cell r="D33">
            <v>87341</v>
          </cell>
        </row>
        <row r="34">
          <cell r="D34">
            <v>35929</v>
          </cell>
        </row>
        <row r="35">
          <cell r="D35">
            <v>30212</v>
          </cell>
        </row>
        <row r="36">
          <cell r="D36">
            <v>75509</v>
          </cell>
        </row>
        <row r="37">
          <cell r="D37">
            <v>84268</v>
          </cell>
        </row>
        <row r="38">
          <cell r="D38">
            <v>13457</v>
          </cell>
        </row>
        <row r="39">
          <cell r="D39">
            <v>171500</v>
          </cell>
        </row>
        <row r="40">
          <cell r="D40">
            <v>80024</v>
          </cell>
        </row>
        <row r="41">
          <cell r="D41">
            <v>15230</v>
          </cell>
        </row>
        <row r="42">
          <cell r="D42">
            <v>24416</v>
          </cell>
        </row>
        <row r="43">
          <cell r="D43">
            <v>479</v>
          </cell>
        </row>
        <row r="44">
          <cell r="D44">
            <v>244235</v>
          </cell>
        </row>
        <row r="45">
          <cell r="D45">
            <v>12000</v>
          </cell>
        </row>
        <row r="46">
          <cell r="D46">
            <v>10266</v>
          </cell>
        </row>
        <row r="47">
          <cell r="D47">
            <v>146636</v>
          </cell>
        </row>
        <row r="48">
          <cell r="D48">
            <v>111391</v>
          </cell>
        </row>
        <row r="49">
          <cell r="D49">
            <v>20800</v>
          </cell>
        </row>
        <row r="50">
          <cell r="D50">
            <v>4198</v>
          </cell>
        </row>
        <row r="51">
          <cell r="D51">
            <v>11900</v>
          </cell>
        </row>
        <row r="52">
          <cell r="D52">
            <v>141050</v>
          </cell>
        </row>
        <row r="53">
          <cell r="D53">
            <v>52278</v>
          </cell>
        </row>
        <row r="54">
          <cell r="D54">
            <v>187773</v>
          </cell>
        </row>
        <row r="55">
          <cell r="D55">
            <v>177627</v>
          </cell>
        </row>
        <row r="56">
          <cell r="D56">
            <v>54964</v>
          </cell>
        </row>
        <row r="57">
          <cell r="D57">
            <v>67984</v>
          </cell>
        </row>
        <row r="58">
          <cell r="D58">
            <v>63682</v>
          </cell>
        </row>
        <row r="59">
          <cell r="D59">
            <v>41258</v>
          </cell>
        </row>
        <row r="60">
          <cell r="D60">
            <v>71389</v>
          </cell>
        </row>
        <row r="61">
          <cell r="D61">
            <v>33834</v>
          </cell>
        </row>
        <row r="62">
          <cell r="D62">
            <v>10138</v>
          </cell>
        </row>
        <row r="63">
          <cell r="D63">
            <v>20116</v>
          </cell>
        </row>
        <row r="64">
          <cell r="D64">
            <v>287540</v>
          </cell>
        </row>
        <row r="65">
          <cell r="D65">
            <v>200670</v>
          </cell>
        </row>
        <row r="66">
          <cell r="D66">
            <v>250971</v>
          </cell>
        </row>
        <row r="67">
          <cell r="D67">
            <v>2203</v>
          </cell>
        </row>
        <row r="68">
          <cell r="D68">
            <v>81558</v>
          </cell>
        </row>
        <row r="69">
          <cell r="D69">
            <v>58775</v>
          </cell>
        </row>
        <row r="70">
          <cell r="D70">
            <v>45149</v>
          </cell>
        </row>
        <row r="71">
          <cell r="D71">
            <v>68427</v>
          </cell>
        </row>
        <row r="72">
          <cell r="D72">
            <v>44</v>
          </cell>
        </row>
        <row r="73">
          <cell r="D73">
            <v>28865</v>
          </cell>
        </row>
        <row r="74">
          <cell r="D74">
            <v>57518</v>
          </cell>
        </row>
        <row r="75">
          <cell r="D75">
            <v>84038</v>
          </cell>
        </row>
        <row r="76">
          <cell r="D76">
            <v>45743</v>
          </cell>
        </row>
        <row r="77">
          <cell r="D77">
            <v>55</v>
          </cell>
        </row>
        <row r="78">
          <cell r="D78">
            <v>25</v>
          </cell>
        </row>
        <row r="79">
          <cell r="D79">
            <v>22</v>
          </cell>
        </row>
        <row r="80">
          <cell r="D80">
            <v>195871</v>
          </cell>
        </row>
        <row r="81">
          <cell r="D81">
            <v>169216</v>
          </cell>
        </row>
        <row r="82">
          <cell r="D82">
            <v>233874</v>
          </cell>
        </row>
        <row r="83">
          <cell r="D83">
            <v>291759</v>
          </cell>
        </row>
        <row r="84">
          <cell r="D84">
            <v>105540</v>
          </cell>
        </row>
        <row r="85">
          <cell r="D85">
            <v>29476</v>
          </cell>
        </row>
        <row r="86">
          <cell r="D86">
            <v>31433</v>
          </cell>
        </row>
        <row r="87">
          <cell r="D87">
            <v>80354</v>
          </cell>
        </row>
        <row r="88">
          <cell r="D88">
            <v>56138</v>
          </cell>
        </row>
        <row r="89">
          <cell r="D89">
            <v>46233</v>
          </cell>
        </row>
        <row r="90">
          <cell r="D90">
            <v>47678</v>
          </cell>
        </row>
        <row r="91">
          <cell r="D91">
            <v>115818</v>
          </cell>
        </row>
        <row r="92">
          <cell r="D92">
            <v>59056</v>
          </cell>
        </row>
        <row r="93">
          <cell r="D93">
            <v>61738</v>
          </cell>
        </row>
        <row r="94">
          <cell r="D94">
            <v>29738</v>
          </cell>
        </row>
        <row r="95">
          <cell r="D95">
            <v>118124</v>
          </cell>
        </row>
        <row r="96">
          <cell r="D96">
            <v>39483</v>
          </cell>
        </row>
        <row r="97">
          <cell r="D97">
            <v>38679</v>
          </cell>
        </row>
        <row r="98">
          <cell r="D98">
            <v>3111</v>
          </cell>
        </row>
        <row r="99">
          <cell r="D99">
            <v>3578</v>
          </cell>
        </row>
        <row r="100">
          <cell r="D100">
            <v>4126</v>
          </cell>
        </row>
        <row r="101">
          <cell r="D101">
            <v>3480</v>
          </cell>
        </row>
        <row r="102">
          <cell r="D102">
            <v>13472</v>
          </cell>
        </row>
        <row r="103">
          <cell r="D103">
            <v>3172</v>
          </cell>
        </row>
        <row r="104">
          <cell r="D104">
            <v>2676</v>
          </cell>
        </row>
        <row r="105">
          <cell r="D105">
            <v>181509</v>
          </cell>
        </row>
        <row r="106">
          <cell r="D106">
            <v>77211</v>
          </cell>
        </row>
        <row r="107">
          <cell r="D107">
            <v>59911</v>
          </cell>
        </row>
        <row r="108">
          <cell r="D108">
            <v>32802</v>
          </cell>
        </row>
        <row r="109">
          <cell r="D109">
            <v>21432</v>
          </cell>
        </row>
        <row r="110">
          <cell r="D110">
            <v>2993</v>
          </cell>
        </row>
        <row r="111">
          <cell r="D111">
            <v>24045</v>
          </cell>
        </row>
        <row r="112">
          <cell r="D112">
            <v>189941</v>
          </cell>
        </row>
        <row r="113">
          <cell r="D113">
            <v>174209</v>
          </cell>
        </row>
        <row r="114">
          <cell r="D114">
            <v>75129</v>
          </cell>
        </row>
        <row r="115">
          <cell r="D115">
            <v>45026</v>
          </cell>
        </row>
        <row r="116">
          <cell r="D116">
            <v>25334</v>
          </cell>
        </row>
        <row r="117">
          <cell r="D117">
            <v>3600</v>
          </cell>
        </row>
        <row r="118">
          <cell r="D118">
            <v>8400</v>
          </cell>
        </row>
        <row r="119">
          <cell r="D119">
            <v>6644</v>
          </cell>
        </row>
        <row r="120">
          <cell r="D120">
            <v>37677</v>
          </cell>
        </row>
        <row r="121">
          <cell r="D121">
            <v>38971</v>
          </cell>
        </row>
        <row r="122">
          <cell r="D122">
            <v>105045</v>
          </cell>
        </row>
        <row r="123">
          <cell r="D123">
            <v>47375</v>
          </cell>
        </row>
        <row r="124">
          <cell r="D124">
            <v>59698</v>
          </cell>
        </row>
        <row r="125">
          <cell r="D125">
            <v>28</v>
          </cell>
        </row>
        <row r="126">
          <cell r="D126">
            <v>111645</v>
          </cell>
        </row>
        <row r="127">
          <cell r="D127">
            <v>101666</v>
          </cell>
        </row>
        <row r="128">
          <cell r="D128">
            <v>35149</v>
          </cell>
        </row>
        <row r="129">
          <cell r="D129">
            <v>55687</v>
          </cell>
        </row>
        <row r="130">
          <cell r="D130">
            <v>53739</v>
          </cell>
        </row>
        <row r="131">
          <cell r="D131">
            <v>68409</v>
          </cell>
        </row>
        <row r="132">
          <cell r="D132">
            <v>40561</v>
          </cell>
        </row>
        <row r="133">
          <cell r="D133">
            <v>61412</v>
          </cell>
        </row>
        <row r="134">
          <cell r="D134">
            <v>103059</v>
          </cell>
        </row>
        <row r="135">
          <cell r="D135">
            <v>48495</v>
          </cell>
        </row>
        <row r="136">
          <cell r="D136">
            <v>37892</v>
          </cell>
        </row>
        <row r="137">
          <cell r="D137">
            <v>0</v>
          </cell>
        </row>
        <row r="138">
          <cell r="D138">
            <v>25</v>
          </cell>
        </row>
        <row r="139">
          <cell r="D139">
            <v>66</v>
          </cell>
        </row>
        <row r="140">
          <cell r="D140">
            <v>219</v>
          </cell>
        </row>
        <row r="141">
          <cell r="D141">
            <v>8</v>
          </cell>
        </row>
        <row r="142">
          <cell r="D142">
            <v>8</v>
          </cell>
        </row>
        <row r="143">
          <cell r="D143">
            <v>8</v>
          </cell>
        </row>
        <row r="144">
          <cell r="D144">
            <v>218498</v>
          </cell>
        </row>
        <row r="145">
          <cell r="D145">
            <v>130000</v>
          </cell>
        </row>
        <row r="146">
          <cell r="D146">
            <v>85000</v>
          </cell>
        </row>
        <row r="147">
          <cell r="D147">
            <v>113400</v>
          </cell>
        </row>
        <row r="148">
          <cell r="D148">
            <v>8000</v>
          </cell>
        </row>
        <row r="149">
          <cell r="D149">
            <v>65356</v>
          </cell>
        </row>
        <row r="150">
          <cell r="D150">
            <v>57642</v>
          </cell>
        </row>
        <row r="151">
          <cell r="D151">
            <v>91000</v>
          </cell>
        </row>
        <row r="152">
          <cell r="D152">
            <v>10328</v>
          </cell>
        </row>
        <row r="153">
          <cell r="D153">
            <v>57592</v>
          </cell>
        </row>
        <row r="154">
          <cell r="D154">
            <v>1009</v>
          </cell>
        </row>
        <row r="155">
          <cell r="D155">
            <v>75757</v>
          </cell>
        </row>
        <row r="156">
          <cell r="D156">
            <v>159645</v>
          </cell>
        </row>
        <row r="157">
          <cell r="D157">
            <v>3000</v>
          </cell>
        </row>
        <row r="158">
          <cell r="D158">
            <v>1442</v>
          </cell>
        </row>
        <row r="159">
          <cell r="D159">
            <v>9830</v>
          </cell>
        </row>
        <row r="160">
          <cell r="D160">
            <v>26480</v>
          </cell>
        </row>
        <row r="161">
          <cell r="D161">
            <v>10080</v>
          </cell>
        </row>
        <row r="162">
          <cell r="D162">
            <v>5480</v>
          </cell>
        </row>
        <row r="163">
          <cell r="D163">
            <v>2600</v>
          </cell>
        </row>
        <row r="164">
          <cell r="D164">
            <v>640</v>
          </cell>
        </row>
        <row r="165">
          <cell r="D165">
            <v>299660</v>
          </cell>
        </row>
      </sheetData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zoomScale="90" zoomScaleNormal="90" workbookViewId="0">
      <pane xSplit="3" ySplit="5" topLeftCell="D57" activePane="bottomRight" state="frozen"/>
      <selection pane="topRight" activeCell="C1" sqref="C1"/>
      <selection pane="bottomLeft" activeCell="A5" sqref="A5"/>
      <selection pane="bottomRight" activeCell="H68" sqref="H68"/>
    </sheetView>
  </sheetViews>
  <sheetFormatPr defaultRowHeight="12.75" x14ac:dyDescent="0.2"/>
  <cols>
    <col min="1" max="1" width="4.42578125" style="55" customWidth="1"/>
    <col min="2" max="2" width="8.7109375" style="55" customWidth="1"/>
    <col min="3" max="3" width="29.7109375" style="53" customWidth="1"/>
    <col min="4" max="4" width="10.42578125" style="53" customWidth="1"/>
    <col min="5" max="5" width="7.28515625" style="54" customWidth="1"/>
    <col min="6" max="6" width="11.140625" style="54" customWidth="1"/>
    <col min="7" max="7" width="10.28515625" style="54" customWidth="1"/>
    <col min="8" max="8" width="12.85546875" style="54" customWidth="1"/>
    <col min="9" max="9" width="12.42578125" style="54" customWidth="1"/>
    <col min="10" max="11" width="15.5703125" style="54" customWidth="1"/>
    <col min="12" max="16384" width="9.140625" style="53"/>
  </cols>
  <sheetData>
    <row r="1" spans="1:11" ht="32.25" customHeight="1" x14ac:dyDescent="0.2">
      <c r="A1" s="434" t="s">
        <v>195</v>
      </c>
      <c r="B1" s="434"/>
      <c r="C1" s="435"/>
      <c r="D1" s="435"/>
      <c r="E1" s="435"/>
      <c r="F1" s="435"/>
      <c r="G1" s="435"/>
      <c r="H1" s="435"/>
      <c r="I1" s="435"/>
      <c r="J1" s="435"/>
      <c r="K1" s="429"/>
    </row>
    <row r="2" spans="1:11" ht="17.25" customHeight="1" x14ac:dyDescent="0.2">
      <c r="A2" s="73"/>
      <c r="B2" s="73"/>
      <c r="G2" s="72"/>
      <c r="H2" s="72"/>
      <c r="I2" s="72"/>
      <c r="J2" s="72"/>
      <c r="K2" s="72"/>
    </row>
    <row r="3" spans="1:11" s="71" customFormat="1" ht="9" customHeight="1" x14ac:dyDescent="0.2">
      <c r="A3" s="436" t="s">
        <v>194</v>
      </c>
      <c r="B3" s="437" t="s">
        <v>13</v>
      </c>
      <c r="C3" s="436" t="s">
        <v>9</v>
      </c>
      <c r="D3" s="440" t="s">
        <v>193</v>
      </c>
      <c r="E3" s="441"/>
      <c r="F3" s="441"/>
      <c r="G3" s="441"/>
      <c r="H3" s="441"/>
      <c r="I3" s="441"/>
      <c r="J3" s="441"/>
      <c r="K3" s="442"/>
    </row>
    <row r="4" spans="1:11" s="71" customFormat="1" ht="24" customHeight="1" x14ac:dyDescent="0.2">
      <c r="A4" s="436"/>
      <c r="B4" s="438"/>
      <c r="C4" s="436"/>
      <c r="D4" s="436" t="s">
        <v>891</v>
      </c>
      <c r="E4" s="443" t="s">
        <v>191</v>
      </c>
      <c r="F4" s="430" t="s">
        <v>190</v>
      </c>
      <c r="G4" s="443" t="s">
        <v>201</v>
      </c>
      <c r="H4" s="443" t="s">
        <v>190</v>
      </c>
      <c r="I4" s="445"/>
      <c r="J4" s="446" t="s">
        <v>892</v>
      </c>
      <c r="K4" s="447"/>
    </row>
    <row r="5" spans="1:11" s="70" customFormat="1" ht="40.5" customHeight="1" x14ac:dyDescent="0.25">
      <c r="A5" s="436"/>
      <c r="B5" s="439"/>
      <c r="C5" s="436"/>
      <c r="D5" s="436"/>
      <c r="E5" s="444"/>
      <c r="F5" s="430" t="s">
        <v>188</v>
      </c>
      <c r="G5" s="445"/>
      <c r="H5" s="430" t="s">
        <v>189</v>
      </c>
      <c r="I5" s="430" t="s">
        <v>188</v>
      </c>
      <c r="J5" s="430" t="s">
        <v>893</v>
      </c>
      <c r="K5" s="430" t="s">
        <v>894</v>
      </c>
    </row>
    <row r="6" spans="1:11" x14ac:dyDescent="0.2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/>
    </row>
    <row r="7" spans="1:11" x14ac:dyDescent="0.2">
      <c r="A7" s="66" t="s">
        <v>187</v>
      </c>
      <c r="B7" s="66"/>
      <c r="C7" s="66"/>
      <c r="D7" s="59"/>
      <c r="E7" s="59"/>
      <c r="F7" s="59"/>
      <c r="G7" s="59"/>
      <c r="H7" s="59"/>
      <c r="I7" s="59"/>
      <c r="J7" s="59"/>
      <c r="K7" s="59"/>
    </row>
    <row r="8" spans="1:11" ht="15" customHeight="1" x14ac:dyDescent="0.2">
      <c r="A8" s="63">
        <v>1</v>
      </c>
      <c r="B8" s="63" t="s">
        <v>211</v>
      </c>
      <c r="C8" s="62" t="s">
        <v>186</v>
      </c>
      <c r="D8" s="59">
        <f>E8+G8+K8+J8</f>
        <v>755</v>
      </c>
      <c r="E8" s="59"/>
      <c r="F8" s="59"/>
      <c r="G8" s="59">
        <v>755</v>
      </c>
      <c r="H8" s="59"/>
      <c r="I8" s="59"/>
      <c r="J8" s="64"/>
      <c r="K8" s="59"/>
    </row>
    <row r="9" spans="1:11" x14ac:dyDescent="0.2">
      <c r="A9" s="63">
        <v>2</v>
      </c>
      <c r="B9" s="63" t="s">
        <v>212</v>
      </c>
      <c r="C9" s="62" t="s">
        <v>185</v>
      </c>
      <c r="D9" s="59">
        <f t="shared" ref="D9:D49" si="0">E9+G9+K9+J9</f>
        <v>729</v>
      </c>
      <c r="E9" s="59"/>
      <c r="F9" s="59"/>
      <c r="G9" s="59">
        <v>729</v>
      </c>
      <c r="H9" s="59"/>
      <c r="I9" s="59"/>
      <c r="J9" s="64"/>
      <c r="K9" s="59"/>
    </row>
    <row r="10" spans="1:11" x14ac:dyDescent="0.2">
      <c r="A10" s="63">
        <v>3</v>
      </c>
      <c r="B10" s="63" t="s">
        <v>215</v>
      </c>
      <c r="C10" s="62" t="s">
        <v>184</v>
      </c>
      <c r="D10" s="59">
        <f t="shared" si="0"/>
        <v>3201</v>
      </c>
      <c r="E10" s="59"/>
      <c r="F10" s="59"/>
      <c r="G10" s="59">
        <f>3219-30</f>
        <v>3189</v>
      </c>
      <c r="H10" s="59"/>
      <c r="I10" s="59"/>
      <c r="J10" s="64"/>
      <c r="K10" s="59">
        <v>12</v>
      </c>
    </row>
    <row r="11" spans="1:11" x14ac:dyDescent="0.2">
      <c r="A11" s="63">
        <v>4</v>
      </c>
      <c r="B11" s="63" t="s">
        <v>216</v>
      </c>
      <c r="C11" s="62" t="s">
        <v>183</v>
      </c>
      <c r="D11" s="59">
        <f t="shared" si="0"/>
        <v>1945</v>
      </c>
      <c r="E11" s="59"/>
      <c r="F11" s="59"/>
      <c r="G11" s="59">
        <v>1945</v>
      </c>
      <c r="H11" s="59"/>
      <c r="I11" s="59"/>
      <c r="J11" s="64"/>
      <c r="K11" s="59"/>
    </row>
    <row r="12" spans="1:11" ht="12.75" customHeight="1" x14ac:dyDescent="0.2">
      <c r="A12" s="63">
        <v>5</v>
      </c>
      <c r="B12" s="63" t="s">
        <v>217</v>
      </c>
      <c r="C12" s="62" t="s">
        <v>182</v>
      </c>
      <c r="D12" s="59">
        <f t="shared" si="0"/>
        <v>4258</v>
      </c>
      <c r="E12" s="59"/>
      <c r="F12" s="59"/>
      <c r="G12" s="59">
        <f>4277-30</f>
        <v>4247</v>
      </c>
      <c r="H12" s="59"/>
      <c r="I12" s="59"/>
      <c r="J12" s="64"/>
      <c r="K12" s="59">
        <v>11</v>
      </c>
    </row>
    <row r="13" spans="1:11" x14ac:dyDescent="0.2">
      <c r="A13" s="63">
        <v>6</v>
      </c>
      <c r="B13" s="63" t="s">
        <v>218</v>
      </c>
      <c r="C13" s="62" t="s">
        <v>181</v>
      </c>
      <c r="D13" s="59">
        <f t="shared" si="0"/>
        <v>2385</v>
      </c>
      <c r="E13" s="59"/>
      <c r="F13" s="59"/>
      <c r="G13" s="59">
        <v>2357</v>
      </c>
      <c r="H13" s="59"/>
      <c r="I13" s="59"/>
      <c r="J13" s="64"/>
      <c r="K13" s="59">
        <v>28</v>
      </c>
    </row>
    <row r="14" spans="1:11" x14ac:dyDescent="0.2">
      <c r="A14" s="63">
        <v>7</v>
      </c>
      <c r="B14" s="63" t="s">
        <v>219</v>
      </c>
      <c r="C14" s="62" t="s">
        <v>180</v>
      </c>
      <c r="D14" s="59">
        <f t="shared" si="0"/>
        <v>6631</v>
      </c>
      <c r="E14" s="59"/>
      <c r="F14" s="59"/>
      <c r="G14" s="59">
        <v>6602</v>
      </c>
      <c r="H14" s="59"/>
      <c r="I14" s="59">
        <v>5</v>
      </c>
      <c r="J14" s="64"/>
      <c r="K14" s="59">
        <v>29</v>
      </c>
    </row>
    <row r="15" spans="1:11" x14ac:dyDescent="0.2">
      <c r="A15" s="63">
        <v>8</v>
      </c>
      <c r="B15" s="63" t="s">
        <v>220</v>
      </c>
      <c r="C15" s="62" t="s">
        <v>179</v>
      </c>
      <c r="D15" s="59">
        <f t="shared" si="0"/>
        <v>3107</v>
      </c>
      <c r="E15" s="59"/>
      <c r="F15" s="59"/>
      <c r="G15" s="59">
        <v>3102</v>
      </c>
      <c r="H15" s="59"/>
      <c r="I15" s="59">
        <v>4</v>
      </c>
      <c r="J15" s="64"/>
      <c r="K15" s="59">
        <v>5</v>
      </c>
    </row>
    <row r="16" spans="1:11" x14ac:dyDescent="0.2">
      <c r="A16" s="63">
        <v>9</v>
      </c>
      <c r="B16" s="63" t="s">
        <v>221</v>
      </c>
      <c r="C16" s="62" t="s">
        <v>178</v>
      </c>
      <c r="D16" s="59">
        <f t="shared" si="0"/>
        <v>1898</v>
      </c>
      <c r="E16" s="59"/>
      <c r="F16" s="59"/>
      <c r="G16" s="59">
        <v>1898</v>
      </c>
      <c r="H16" s="59"/>
      <c r="I16" s="59">
        <v>9</v>
      </c>
      <c r="J16" s="64"/>
      <c r="K16" s="59"/>
    </row>
    <row r="17" spans="1:11" x14ac:dyDescent="0.2">
      <c r="A17" s="63">
        <v>10</v>
      </c>
      <c r="B17" s="63" t="s">
        <v>223</v>
      </c>
      <c r="C17" s="62" t="s">
        <v>177</v>
      </c>
      <c r="D17" s="59">
        <f t="shared" si="0"/>
        <v>2218</v>
      </c>
      <c r="E17" s="59"/>
      <c r="F17" s="59"/>
      <c r="G17" s="59">
        <v>2218</v>
      </c>
      <c r="H17" s="59"/>
      <c r="I17" s="59">
        <v>3</v>
      </c>
      <c r="J17" s="64"/>
      <c r="K17" s="59"/>
    </row>
    <row r="18" spans="1:11" x14ac:dyDescent="0.2">
      <c r="A18" s="63">
        <v>11</v>
      </c>
      <c r="B18" s="63" t="s">
        <v>224</v>
      </c>
      <c r="C18" s="62" t="s">
        <v>176</v>
      </c>
      <c r="D18" s="59">
        <f t="shared" si="0"/>
        <v>2405</v>
      </c>
      <c r="E18" s="59"/>
      <c r="F18" s="59"/>
      <c r="G18" s="59">
        <v>2399</v>
      </c>
      <c r="H18" s="59"/>
      <c r="I18" s="59">
        <v>3</v>
      </c>
      <c r="J18" s="64"/>
      <c r="K18" s="59">
        <v>6</v>
      </c>
    </row>
    <row r="19" spans="1:11" x14ac:dyDescent="0.2">
      <c r="A19" s="63">
        <v>12</v>
      </c>
      <c r="B19" s="63" t="s">
        <v>226</v>
      </c>
      <c r="C19" s="62" t="s">
        <v>175</v>
      </c>
      <c r="D19" s="59">
        <f t="shared" si="0"/>
        <v>5350</v>
      </c>
      <c r="E19" s="59"/>
      <c r="F19" s="59"/>
      <c r="G19" s="59">
        <f>5371-30</f>
        <v>5341</v>
      </c>
      <c r="H19" s="59"/>
      <c r="I19" s="59">
        <v>2</v>
      </c>
      <c r="J19" s="64"/>
      <c r="K19" s="59">
        <v>9</v>
      </c>
    </row>
    <row r="20" spans="1:11" x14ac:dyDescent="0.2">
      <c r="A20" s="63">
        <v>13</v>
      </c>
      <c r="B20" s="63" t="s">
        <v>227</v>
      </c>
      <c r="C20" s="62" t="s">
        <v>174</v>
      </c>
      <c r="D20" s="59">
        <f t="shared" si="0"/>
        <v>2705</v>
      </c>
      <c r="E20" s="59"/>
      <c r="F20" s="59"/>
      <c r="G20" s="59">
        <v>2705</v>
      </c>
      <c r="H20" s="59"/>
      <c r="I20" s="59">
        <v>2</v>
      </c>
      <c r="J20" s="64"/>
      <c r="K20" s="59"/>
    </row>
    <row r="21" spans="1:11" x14ac:dyDescent="0.2">
      <c r="A21" s="63">
        <v>14</v>
      </c>
      <c r="B21" s="63" t="s">
        <v>228</v>
      </c>
      <c r="C21" s="62" t="s">
        <v>173</v>
      </c>
      <c r="D21" s="59">
        <f t="shared" si="0"/>
        <v>3693</v>
      </c>
      <c r="E21" s="59"/>
      <c r="F21" s="59"/>
      <c r="G21" s="59">
        <v>3674</v>
      </c>
      <c r="H21" s="59"/>
      <c r="I21" s="59">
        <v>12</v>
      </c>
      <c r="J21" s="64"/>
      <c r="K21" s="59">
        <v>19</v>
      </c>
    </row>
    <row r="22" spans="1:11" x14ac:dyDescent="0.2">
      <c r="A22" s="63">
        <v>15</v>
      </c>
      <c r="B22" s="63" t="s">
        <v>229</v>
      </c>
      <c r="C22" s="62" t="s">
        <v>172</v>
      </c>
      <c r="D22" s="59">
        <f t="shared" si="0"/>
        <v>2127</v>
      </c>
      <c r="E22" s="59"/>
      <c r="F22" s="59"/>
      <c r="G22" s="59">
        <v>2099</v>
      </c>
      <c r="H22" s="59"/>
      <c r="I22" s="59">
        <v>7</v>
      </c>
      <c r="J22" s="64"/>
      <c r="K22" s="59">
        <v>28</v>
      </c>
    </row>
    <row r="23" spans="1:11" x14ac:dyDescent="0.2">
      <c r="A23" s="63">
        <v>16</v>
      </c>
      <c r="B23" s="63" t="s">
        <v>230</v>
      </c>
      <c r="C23" s="62" t="s">
        <v>171</v>
      </c>
      <c r="D23" s="59">
        <f t="shared" si="0"/>
        <v>1748</v>
      </c>
      <c r="E23" s="59"/>
      <c r="F23" s="59"/>
      <c r="G23" s="59">
        <v>1734</v>
      </c>
      <c r="H23" s="59"/>
      <c r="I23" s="59"/>
      <c r="J23" s="64"/>
      <c r="K23" s="59">
        <v>14</v>
      </c>
    </row>
    <row r="24" spans="1:11" ht="12.75" customHeight="1" x14ac:dyDescent="0.2">
      <c r="A24" s="63">
        <v>17</v>
      </c>
      <c r="B24" s="63" t="s">
        <v>231</v>
      </c>
      <c r="C24" s="62" t="s">
        <v>170</v>
      </c>
      <c r="D24" s="59">
        <f t="shared" si="0"/>
        <v>2575</v>
      </c>
      <c r="E24" s="59"/>
      <c r="F24" s="59"/>
      <c r="G24" s="59">
        <v>2530</v>
      </c>
      <c r="H24" s="59"/>
      <c r="I24" s="59"/>
      <c r="J24" s="64"/>
      <c r="K24" s="59">
        <v>45</v>
      </c>
    </row>
    <row r="25" spans="1:11" x14ac:dyDescent="0.2">
      <c r="A25" s="63">
        <v>18</v>
      </c>
      <c r="B25" s="63" t="s">
        <v>232</v>
      </c>
      <c r="C25" s="62" t="s">
        <v>169</v>
      </c>
      <c r="D25" s="59">
        <f t="shared" si="0"/>
        <v>3667</v>
      </c>
      <c r="E25" s="59"/>
      <c r="F25" s="59"/>
      <c r="G25" s="59">
        <f>3643-30</f>
        <v>3613</v>
      </c>
      <c r="H25" s="59"/>
      <c r="I25" s="59"/>
      <c r="J25" s="64"/>
      <c r="K25" s="59">
        <v>54</v>
      </c>
    </row>
    <row r="26" spans="1:11" x14ac:dyDescent="0.2">
      <c r="A26" s="63">
        <v>19</v>
      </c>
      <c r="B26" s="63" t="s">
        <v>250</v>
      </c>
      <c r="C26" s="62" t="s">
        <v>168</v>
      </c>
      <c r="D26" s="59">
        <f t="shared" si="0"/>
        <v>4429</v>
      </c>
      <c r="E26" s="59"/>
      <c r="F26" s="59"/>
      <c r="G26" s="59">
        <f>4448-30</f>
        <v>4418</v>
      </c>
      <c r="H26" s="59"/>
      <c r="I26" s="59"/>
      <c r="J26" s="64"/>
      <c r="K26" s="59">
        <v>11</v>
      </c>
    </row>
    <row r="27" spans="1:11" x14ac:dyDescent="0.2">
      <c r="A27" s="63">
        <v>20</v>
      </c>
      <c r="B27" s="63" t="s">
        <v>252</v>
      </c>
      <c r="C27" s="62" t="s">
        <v>167</v>
      </c>
      <c r="D27" s="59">
        <f t="shared" si="0"/>
        <v>1650</v>
      </c>
      <c r="E27" s="59"/>
      <c r="F27" s="59"/>
      <c r="G27" s="59">
        <v>1644</v>
      </c>
      <c r="H27" s="59"/>
      <c r="I27" s="59"/>
      <c r="J27" s="64"/>
      <c r="K27" s="59">
        <v>6</v>
      </c>
    </row>
    <row r="28" spans="1:11" x14ac:dyDescent="0.2">
      <c r="A28" s="63">
        <v>21</v>
      </c>
      <c r="B28" s="63" t="s">
        <v>253</v>
      </c>
      <c r="C28" s="62" t="s">
        <v>166</v>
      </c>
      <c r="D28" s="59">
        <f t="shared" si="0"/>
        <v>1693</v>
      </c>
      <c r="E28" s="59"/>
      <c r="F28" s="59"/>
      <c r="G28" s="59">
        <v>1669</v>
      </c>
      <c r="H28" s="59"/>
      <c r="I28" s="59"/>
      <c r="J28" s="64"/>
      <c r="K28" s="59">
        <v>24</v>
      </c>
    </row>
    <row r="29" spans="1:11" x14ac:dyDescent="0.2">
      <c r="A29" s="63">
        <v>22</v>
      </c>
      <c r="B29" s="63" t="s">
        <v>254</v>
      </c>
      <c r="C29" s="62" t="s">
        <v>165</v>
      </c>
      <c r="D29" s="59">
        <f t="shared" si="0"/>
        <v>3553</v>
      </c>
      <c r="E29" s="59"/>
      <c r="F29" s="59"/>
      <c r="G29" s="59">
        <f>3566-30</f>
        <v>3536</v>
      </c>
      <c r="H29" s="59"/>
      <c r="I29" s="59"/>
      <c r="J29" s="64"/>
      <c r="K29" s="59">
        <v>17</v>
      </c>
    </row>
    <row r="30" spans="1:11" x14ac:dyDescent="0.2">
      <c r="A30" s="63">
        <v>23</v>
      </c>
      <c r="B30" s="63" t="s">
        <v>255</v>
      </c>
      <c r="C30" s="62" t="s">
        <v>164</v>
      </c>
      <c r="D30" s="59">
        <f t="shared" si="0"/>
        <v>3008</v>
      </c>
      <c r="E30" s="59"/>
      <c r="F30" s="59"/>
      <c r="G30" s="59">
        <f>3030-30</f>
        <v>3000</v>
      </c>
      <c r="H30" s="59"/>
      <c r="I30" s="59"/>
      <c r="J30" s="64"/>
      <c r="K30" s="59">
        <v>8</v>
      </c>
    </row>
    <row r="31" spans="1:11" x14ac:dyDescent="0.2">
      <c r="A31" s="63">
        <v>24</v>
      </c>
      <c r="B31" s="63" t="s">
        <v>257</v>
      </c>
      <c r="C31" s="62" t="s">
        <v>163</v>
      </c>
      <c r="D31" s="59">
        <f t="shared" si="0"/>
        <v>2124</v>
      </c>
      <c r="E31" s="59"/>
      <c r="F31" s="59"/>
      <c r="G31" s="59">
        <v>2068</v>
      </c>
      <c r="H31" s="59"/>
      <c r="I31" s="59"/>
      <c r="J31" s="64"/>
      <c r="K31" s="59">
        <v>56</v>
      </c>
    </row>
    <row r="32" spans="1:11" x14ac:dyDescent="0.2">
      <c r="A32" s="63">
        <v>25</v>
      </c>
      <c r="B32" s="63" t="s">
        <v>258</v>
      </c>
      <c r="C32" s="62" t="s">
        <v>162</v>
      </c>
      <c r="D32" s="59">
        <f t="shared" si="0"/>
        <v>3046</v>
      </c>
      <c r="E32" s="59"/>
      <c r="F32" s="59"/>
      <c r="G32" s="59">
        <v>3046</v>
      </c>
      <c r="H32" s="59"/>
      <c r="I32" s="59"/>
      <c r="J32" s="64"/>
      <c r="K32" s="59"/>
    </row>
    <row r="33" spans="1:11" ht="14.25" customHeight="1" x14ac:dyDescent="0.2">
      <c r="A33" s="63">
        <v>26</v>
      </c>
      <c r="B33" s="63" t="s">
        <v>259</v>
      </c>
      <c r="C33" s="62" t="s">
        <v>161</v>
      </c>
      <c r="D33" s="59">
        <f t="shared" si="0"/>
        <v>4703</v>
      </c>
      <c r="E33" s="59"/>
      <c r="F33" s="59"/>
      <c r="G33" s="59">
        <f>4716-30</f>
        <v>4686</v>
      </c>
      <c r="H33" s="59"/>
      <c r="I33" s="59">
        <v>11</v>
      </c>
      <c r="J33" s="64"/>
      <c r="K33" s="59">
        <v>17</v>
      </c>
    </row>
    <row r="34" spans="1:11" ht="14.25" customHeight="1" x14ac:dyDescent="0.2">
      <c r="A34" s="63">
        <v>27</v>
      </c>
      <c r="B34" s="63" t="s">
        <v>260</v>
      </c>
      <c r="C34" s="62" t="s">
        <v>160</v>
      </c>
      <c r="D34" s="59">
        <f t="shared" si="0"/>
        <v>1742</v>
      </c>
      <c r="E34" s="59"/>
      <c r="F34" s="59"/>
      <c r="G34" s="59">
        <v>1736</v>
      </c>
      <c r="H34" s="59"/>
      <c r="I34" s="59"/>
      <c r="J34" s="64"/>
      <c r="K34" s="59">
        <v>6</v>
      </c>
    </row>
    <row r="35" spans="1:11" x14ac:dyDescent="0.2">
      <c r="A35" s="63">
        <v>28</v>
      </c>
      <c r="B35" s="63" t="s">
        <v>261</v>
      </c>
      <c r="C35" s="62" t="s">
        <v>159</v>
      </c>
      <c r="D35" s="59">
        <f t="shared" si="0"/>
        <v>2233</v>
      </c>
      <c r="E35" s="59"/>
      <c r="F35" s="59"/>
      <c r="G35" s="59">
        <v>2201</v>
      </c>
      <c r="H35" s="59"/>
      <c r="I35" s="59"/>
      <c r="J35" s="64"/>
      <c r="K35" s="59">
        <v>32</v>
      </c>
    </row>
    <row r="36" spans="1:11" x14ac:dyDescent="0.2">
      <c r="A36" s="63">
        <v>29</v>
      </c>
      <c r="B36" s="63" t="s">
        <v>262</v>
      </c>
      <c r="C36" s="62" t="s">
        <v>158</v>
      </c>
      <c r="D36" s="59">
        <f t="shared" si="0"/>
        <v>3371</v>
      </c>
      <c r="E36" s="59"/>
      <c r="F36" s="59"/>
      <c r="G36" s="59">
        <f>3384-30</f>
        <v>3354</v>
      </c>
      <c r="H36" s="59"/>
      <c r="I36" s="59"/>
      <c r="J36" s="64"/>
      <c r="K36" s="59">
        <v>17</v>
      </c>
    </row>
    <row r="37" spans="1:11" x14ac:dyDescent="0.2">
      <c r="A37" s="63">
        <v>30</v>
      </c>
      <c r="B37" s="63" t="s">
        <v>263</v>
      </c>
      <c r="C37" s="62" t="s">
        <v>157</v>
      </c>
      <c r="D37" s="59">
        <f t="shared" si="0"/>
        <v>2505</v>
      </c>
      <c r="E37" s="59"/>
      <c r="F37" s="59"/>
      <c r="G37" s="59">
        <f>2535-30</f>
        <v>2505</v>
      </c>
      <c r="H37" s="59"/>
      <c r="I37" s="59"/>
      <c r="J37" s="64"/>
      <c r="K37" s="59"/>
    </row>
    <row r="38" spans="1:11" x14ac:dyDescent="0.2">
      <c r="A38" s="63">
        <v>31</v>
      </c>
      <c r="B38" s="63" t="s">
        <v>264</v>
      </c>
      <c r="C38" s="62" t="s">
        <v>156</v>
      </c>
      <c r="D38" s="59">
        <f t="shared" si="0"/>
        <v>3545</v>
      </c>
      <c r="E38" s="59"/>
      <c r="F38" s="59"/>
      <c r="G38" s="59">
        <f>3564-30</f>
        <v>3534</v>
      </c>
      <c r="H38" s="59"/>
      <c r="I38" s="59">
        <v>100</v>
      </c>
      <c r="J38" s="64"/>
      <c r="K38" s="59">
        <v>11</v>
      </c>
    </row>
    <row r="39" spans="1:11" x14ac:dyDescent="0.2">
      <c r="A39" s="63">
        <v>32</v>
      </c>
      <c r="B39" s="63" t="s">
        <v>267</v>
      </c>
      <c r="C39" s="62" t="s">
        <v>155</v>
      </c>
      <c r="D39" s="59">
        <f t="shared" si="0"/>
        <v>2763</v>
      </c>
      <c r="E39" s="59"/>
      <c r="F39" s="59"/>
      <c r="G39" s="59">
        <v>2763</v>
      </c>
      <c r="H39" s="59"/>
      <c r="I39" s="59"/>
      <c r="J39" s="64"/>
      <c r="K39" s="59"/>
    </row>
    <row r="40" spans="1:11" x14ac:dyDescent="0.2">
      <c r="A40" s="63">
        <v>33</v>
      </c>
      <c r="B40" s="63" t="s">
        <v>268</v>
      </c>
      <c r="C40" s="62" t="s">
        <v>154</v>
      </c>
      <c r="D40" s="59">
        <f t="shared" si="0"/>
        <v>3200</v>
      </c>
      <c r="E40" s="59"/>
      <c r="F40" s="59"/>
      <c r="G40" s="59">
        <v>3192</v>
      </c>
      <c r="H40" s="59"/>
      <c r="I40" s="59">
        <v>5</v>
      </c>
      <c r="J40" s="64"/>
      <c r="K40" s="59">
        <v>8</v>
      </c>
    </row>
    <row r="41" spans="1:11" x14ac:dyDescent="0.2">
      <c r="A41" s="63">
        <v>34</v>
      </c>
      <c r="B41" s="63" t="s">
        <v>269</v>
      </c>
      <c r="C41" s="62" t="s">
        <v>153</v>
      </c>
      <c r="D41" s="59">
        <f t="shared" si="0"/>
        <v>3485</v>
      </c>
      <c r="E41" s="59"/>
      <c r="F41" s="59"/>
      <c r="G41" s="59">
        <v>3471</v>
      </c>
      <c r="H41" s="59"/>
      <c r="I41" s="59">
        <v>0</v>
      </c>
      <c r="J41" s="64"/>
      <c r="K41" s="59">
        <v>14</v>
      </c>
    </row>
    <row r="42" spans="1:11" x14ac:dyDescent="0.2">
      <c r="A42" s="63">
        <v>35</v>
      </c>
      <c r="B42" s="63" t="s">
        <v>270</v>
      </c>
      <c r="C42" s="62" t="s">
        <v>152</v>
      </c>
      <c r="D42" s="59">
        <f t="shared" si="0"/>
        <v>2057</v>
      </c>
      <c r="E42" s="59"/>
      <c r="F42" s="59"/>
      <c r="G42" s="59">
        <v>2049</v>
      </c>
      <c r="H42" s="59"/>
      <c r="I42" s="59">
        <v>2</v>
      </c>
      <c r="J42" s="64"/>
      <c r="K42" s="59">
        <v>8</v>
      </c>
    </row>
    <row r="43" spans="1:11" x14ac:dyDescent="0.2">
      <c r="A43" s="63">
        <v>36</v>
      </c>
      <c r="B43" s="63" t="s">
        <v>271</v>
      </c>
      <c r="C43" s="62" t="s">
        <v>151</v>
      </c>
      <c r="D43" s="59">
        <f t="shared" si="0"/>
        <v>4435</v>
      </c>
      <c r="E43" s="59"/>
      <c r="F43" s="59"/>
      <c r="G43" s="59">
        <f>4456-30</f>
        <v>4426</v>
      </c>
      <c r="H43" s="59"/>
      <c r="I43" s="59">
        <v>4</v>
      </c>
      <c r="J43" s="64"/>
      <c r="K43" s="59">
        <v>9</v>
      </c>
    </row>
    <row r="44" spans="1:11" x14ac:dyDescent="0.2">
      <c r="A44" s="63">
        <v>37</v>
      </c>
      <c r="B44" s="63" t="s">
        <v>272</v>
      </c>
      <c r="C44" s="62" t="s">
        <v>150</v>
      </c>
      <c r="D44" s="59">
        <f t="shared" si="0"/>
        <v>2120</v>
      </c>
      <c r="E44" s="59"/>
      <c r="F44" s="59"/>
      <c r="G44" s="59">
        <v>2109</v>
      </c>
      <c r="H44" s="59"/>
      <c r="I44" s="59"/>
      <c r="J44" s="64"/>
      <c r="K44" s="59">
        <v>11</v>
      </c>
    </row>
    <row r="45" spans="1:11" x14ac:dyDescent="0.2">
      <c r="A45" s="63">
        <v>38</v>
      </c>
      <c r="B45" s="63" t="s">
        <v>273</v>
      </c>
      <c r="C45" s="62" t="s">
        <v>149</v>
      </c>
      <c r="D45" s="59">
        <f t="shared" si="0"/>
        <v>2917</v>
      </c>
      <c r="E45" s="59"/>
      <c r="F45" s="59"/>
      <c r="G45" s="59">
        <v>2906</v>
      </c>
      <c r="H45" s="59"/>
      <c r="I45" s="59">
        <v>4</v>
      </c>
      <c r="J45" s="64"/>
      <c r="K45" s="59">
        <v>11</v>
      </c>
    </row>
    <row r="46" spans="1:11" x14ac:dyDescent="0.2">
      <c r="A46" s="63">
        <v>39</v>
      </c>
      <c r="B46" s="63" t="s">
        <v>276</v>
      </c>
      <c r="C46" s="62" t="s">
        <v>148</v>
      </c>
      <c r="D46" s="59">
        <f t="shared" si="0"/>
        <v>1675</v>
      </c>
      <c r="E46" s="59"/>
      <c r="F46" s="59"/>
      <c r="G46" s="59">
        <v>1634</v>
      </c>
      <c r="H46" s="59"/>
      <c r="I46" s="59"/>
      <c r="J46" s="64"/>
      <c r="K46" s="59">
        <v>41</v>
      </c>
    </row>
    <row r="47" spans="1:11" x14ac:dyDescent="0.2">
      <c r="A47" s="63">
        <v>40</v>
      </c>
      <c r="B47" s="63" t="s">
        <v>278</v>
      </c>
      <c r="C47" s="62" t="s">
        <v>147</v>
      </c>
      <c r="D47" s="59">
        <f t="shared" si="0"/>
        <v>2987</v>
      </c>
      <c r="E47" s="59"/>
      <c r="F47" s="59"/>
      <c r="G47" s="59">
        <v>2981</v>
      </c>
      <c r="H47" s="59"/>
      <c r="I47" s="59">
        <v>1</v>
      </c>
      <c r="J47" s="64"/>
      <c r="K47" s="59">
        <v>6</v>
      </c>
    </row>
    <row r="48" spans="1:11" x14ac:dyDescent="0.2">
      <c r="A48" s="63">
        <v>41</v>
      </c>
      <c r="B48" s="63" t="s">
        <v>279</v>
      </c>
      <c r="C48" s="62" t="s">
        <v>146</v>
      </c>
      <c r="D48" s="59">
        <f t="shared" si="0"/>
        <v>4362</v>
      </c>
      <c r="E48" s="59"/>
      <c r="F48" s="59"/>
      <c r="G48" s="59">
        <f>4381-30</f>
        <v>4351</v>
      </c>
      <c r="H48" s="59"/>
      <c r="I48" s="59">
        <v>5</v>
      </c>
      <c r="J48" s="64"/>
      <c r="K48" s="59">
        <v>11</v>
      </c>
    </row>
    <row r="49" spans="1:11" x14ac:dyDescent="0.2">
      <c r="A49" s="63">
        <v>42</v>
      </c>
      <c r="B49" s="63" t="s">
        <v>280</v>
      </c>
      <c r="C49" s="62" t="s">
        <v>145</v>
      </c>
      <c r="D49" s="59">
        <f t="shared" si="0"/>
        <v>2657</v>
      </c>
      <c r="E49" s="59"/>
      <c r="F49" s="59"/>
      <c r="G49" s="59">
        <v>2649</v>
      </c>
      <c r="H49" s="59"/>
      <c r="I49" s="59">
        <v>17</v>
      </c>
      <c r="J49" s="64"/>
      <c r="K49" s="59">
        <v>8</v>
      </c>
    </row>
    <row r="50" spans="1:11" x14ac:dyDescent="0.2">
      <c r="A50" s="63">
        <v>43</v>
      </c>
      <c r="B50" s="63" t="s">
        <v>281</v>
      </c>
      <c r="C50" s="62" t="s">
        <v>144</v>
      </c>
      <c r="D50" s="59">
        <f>E50+G50+K50+J50</f>
        <v>2204</v>
      </c>
      <c r="E50" s="59"/>
      <c r="F50" s="59"/>
      <c r="G50" s="59">
        <v>2196</v>
      </c>
      <c r="H50" s="59"/>
      <c r="I50" s="59"/>
      <c r="J50" s="64"/>
      <c r="K50" s="59">
        <f>6+2</f>
        <v>8</v>
      </c>
    </row>
    <row r="51" spans="1:11" x14ac:dyDescent="0.2">
      <c r="A51" s="63">
        <v>44</v>
      </c>
      <c r="B51" s="63" t="s">
        <v>282</v>
      </c>
      <c r="C51" s="62" t="s">
        <v>143</v>
      </c>
      <c r="D51" s="59">
        <f t="shared" ref="D51:D114" si="1">E51+G51+K51+J51</f>
        <v>5394</v>
      </c>
      <c r="E51" s="59"/>
      <c r="F51" s="59"/>
      <c r="G51" s="59">
        <f>5424-30</f>
        <v>5394</v>
      </c>
      <c r="H51" s="59"/>
      <c r="I51" s="59">
        <v>3</v>
      </c>
      <c r="J51" s="64"/>
      <c r="K51" s="59"/>
    </row>
    <row r="52" spans="1:11" x14ac:dyDescent="0.2">
      <c r="A52" s="63">
        <v>45</v>
      </c>
      <c r="B52" s="63" t="s">
        <v>368</v>
      </c>
      <c r="C52" s="62" t="s">
        <v>142</v>
      </c>
      <c r="D52" s="59">
        <f t="shared" si="1"/>
        <v>927</v>
      </c>
      <c r="E52" s="59"/>
      <c r="F52" s="59"/>
      <c r="G52" s="59">
        <v>927</v>
      </c>
      <c r="H52" s="59"/>
      <c r="I52" s="59"/>
      <c r="J52" s="64"/>
      <c r="K52" s="59"/>
    </row>
    <row r="53" spans="1:11" x14ac:dyDescent="0.2">
      <c r="A53" s="63">
        <v>46</v>
      </c>
      <c r="B53" s="63" t="s">
        <v>372</v>
      </c>
      <c r="C53" s="62" t="s">
        <v>141</v>
      </c>
      <c r="D53" s="59">
        <f t="shared" si="1"/>
        <v>75</v>
      </c>
      <c r="E53" s="59"/>
      <c r="F53" s="59"/>
      <c r="G53" s="59">
        <f>927-773-79</f>
        <v>75</v>
      </c>
      <c r="H53" s="59"/>
      <c r="I53" s="59"/>
      <c r="J53" s="64"/>
      <c r="K53" s="59"/>
    </row>
    <row r="54" spans="1:11" ht="47.25" customHeight="1" x14ac:dyDescent="0.2">
      <c r="A54" s="63">
        <v>47</v>
      </c>
      <c r="B54" s="63" t="s">
        <v>374</v>
      </c>
      <c r="C54" s="62" t="s">
        <v>140</v>
      </c>
      <c r="D54" s="59">
        <f t="shared" si="1"/>
        <v>852</v>
      </c>
      <c r="E54" s="59"/>
      <c r="F54" s="59"/>
      <c r="G54" s="59">
        <f>773+79</f>
        <v>852</v>
      </c>
      <c r="H54" s="59"/>
      <c r="I54" s="59"/>
      <c r="J54" s="64"/>
      <c r="K54" s="59"/>
    </row>
    <row r="55" spans="1:11" ht="48" customHeight="1" x14ac:dyDescent="0.2">
      <c r="A55" s="63">
        <v>48</v>
      </c>
      <c r="B55" s="63" t="s">
        <v>283</v>
      </c>
      <c r="C55" s="62" t="s">
        <v>139</v>
      </c>
      <c r="D55" s="59">
        <f t="shared" si="1"/>
        <v>1454</v>
      </c>
      <c r="E55" s="59"/>
      <c r="F55" s="59"/>
      <c r="G55" s="59">
        <v>1454</v>
      </c>
      <c r="H55" s="59"/>
      <c r="I55" s="59"/>
      <c r="J55" s="64"/>
      <c r="K55" s="59"/>
    </row>
    <row r="56" spans="1:11" ht="47.25" customHeight="1" x14ac:dyDescent="0.2">
      <c r="A56" s="63">
        <v>49</v>
      </c>
      <c r="B56" s="63" t="s">
        <v>285</v>
      </c>
      <c r="C56" s="62" t="s">
        <v>138</v>
      </c>
      <c r="D56" s="59">
        <f t="shared" si="1"/>
        <v>1183</v>
      </c>
      <c r="E56" s="59"/>
      <c r="F56" s="59"/>
      <c r="G56" s="59">
        <v>1183</v>
      </c>
      <c r="H56" s="59"/>
      <c r="I56" s="59"/>
      <c r="J56" s="64"/>
      <c r="K56" s="59"/>
    </row>
    <row r="57" spans="1:11" ht="59.25" customHeight="1" x14ac:dyDescent="0.2">
      <c r="A57" s="63">
        <v>50</v>
      </c>
      <c r="B57" s="63" t="s">
        <v>291</v>
      </c>
      <c r="C57" s="62" t="s">
        <v>137</v>
      </c>
      <c r="D57" s="59">
        <f t="shared" si="1"/>
        <v>199</v>
      </c>
      <c r="E57" s="59"/>
      <c r="F57" s="59"/>
      <c r="G57" s="59">
        <f>795-596</f>
        <v>199</v>
      </c>
      <c r="H57" s="59"/>
      <c r="I57" s="59"/>
      <c r="J57" s="64"/>
      <c r="K57" s="59"/>
    </row>
    <row r="58" spans="1:11" ht="59.25" customHeight="1" x14ac:dyDescent="0.2">
      <c r="A58" s="63">
        <v>51</v>
      </c>
      <c r="B58" s="63" t="s">
        <v>403</v>
      </c>
      <c r="C58" s="62" t="s">
        <v>136</v>
      </c>
      <c r="D58" s="59">
        <f t="shared" si="1"/>
        <v>596</v>
      </c>
      <c r="E58" s="59"/>
      <c r="F58" s="59"/>
      <c r="G58" s="59">
        <f>0+596</f>
        <v>596</v>
      </c>
      <c r="H58" s="59"/>
      <c r="I58" s="59"/>
      <c r="J58" s="64"/>
      <c r="K58" s="59"/>
    </row>
    <row r="59" spans="1:11" ht="48" customHeight="1" x14ac:dyDescent="0.2">
      <c r="A59" s="63">
        <v>52</v>
      </c>
      <c r="B59" s="63" t="s">
        <v>293</v>
      </c>
      <c r="C59" s="62" t="s">
        <v>135</v>
      </c>
      <c r="D59" s="59">
        <f t="shared" si="1"/>
        <v>2258</v>
      </c>
      <c r="E59" s="59"/>
      <c r="F59" s="59"/>
      <c r="G59" s="59">
        <v>2258</v>
      </c>
      <c r="H59" s="59"/>
      <c r="I59" s="59"/>
      <c r="J59" s="64"/>
      <c r="K59" s="59"/>
    </row>
    <row r="60" spans="1:11" ht="27" customHeight="1" x14ac:dyDescent="0.2">
      <c r="A60" s="63">
        <v>53</v>
      </c>
      <c r="B60" s="63" t="s">
        <v>437</v>
      </c>
      <c r="C60" s="62" t="s">
        <v>134</v>
      </c>
      <c r="D60" s="59">
        <f t="shared" si="1"/>
        <v>2770</v>
      </c>
      <c r="E60" s="59"/>
      <c r="F60" s="59"/>
      <c r="G60" s="59">
        <f>2800-30</f>
        <v>2770</v>
      </c>
      <c r="H60" s="59"/>
      <c r="I60" s="59"/>
      <c r="J60" s="64"/>
      <c r="K60" s="59"/>
    </row>
    <row r="61" spans="1:11" x14ac:dyDescent="0.2">
      <c r="A61" s="66" t="s">
        <v>133</v>
      </c>
      <c r="B61" s="66"/>
      <c r="C61" s="65"/>
      <c r="D61" s="58">
        <f t="shared" si="1"/>
        <v>0</v>
      </c>
      <c r="E61" s="59"/>
      <c r="F61" s="59"/>
      <c r="G61" s="59"/>
      <c r="H61" s="59"/>
      <c r="I61" s="59"/>
      <c r="J61" s="64"/>
      <c r="K61" s="59"/>
    </row>
    <row r="62" spans="1:11" x14ac:dyDescent="0.2">
      <c r="A62" s="63">
        <v>15</v>
      </c>
      <c r="B62" s="63">
        <v>4006</v>
      </c>
      <c r="C62" s="62" t="s">
        <v>132</v>
      </c>
      <c r="D62" s="59">
        <f t="shared" si="1"/>
        <v>2395</v>
      </c>
      <c r="E62" s="59"/>
      <c r="F62" s="59"/>
      <c r="G62" s="59">
        <v>2395</v>
      </c>
      <c r="H62" s="59"/>
      <c r="I62" s="59"/>
      <c r="J62" s="64"/>
      <c r="K62" s="59"/>
    </row>
    <row r="63" spans="1:11" x14ac:dyDescent="0.2">
      <c r="A63" s="66" t="s">
        <v>131</v>
      </c>
      <c r="B63" s="66"/>
      <c r="C63" s="65"/>
      <c r="D63" s="58">
        <f t="shared" si="1"/>
        <v>0</v>
      </c>
      <c r="E63" s="59"/>
      <c r="F63" s="59"/>
      <c r="G63" s="59"/>
      <c r="H63" s="59"/>
      <c r="I63" s="59"/>
      <c r="J63" s="64"/>
      <c r="K63" s="59"/>
    </row>
    <row r="64" spans="1:11" x14ac:dyDescent="0.2">
      <c r="A64" s="63">
        <v>72</v>
      </c>
      <c r="B64" s="63" t="s">
        <v>364</v>
      </c>
      <c r="C64" s="62" t="s">
        <v>130</v>
      </c>
      <c r="D64" s="59">
        <f t="shared" si="1"/>
        <v>3835</v>
      </c>
      <c r="E64" s="59"/>
      <c r="F64" s="59"/>
      <c r="G64" s="59">
        <v>3819</v>
      </c>
      <c r="H64" s="59">
        <v>850</v>
      </c>
      <c r="I64" s="59"/>
      <c r="J64" s="64"/>
      <c r="K64" s="59">
        <v>16</v>
      </c>
    </row>
    <row r="65" spans="1:11" ht="24" x14ac:dyDescent="0.2">
      <c r="A65" s="63">
        <v>73</v>
      </c>
      <c r="B65" s="63" t="s">
        <v>248</v>
      </c>
      <c r="C65" s="62" t="s">
        <v>129</v>
      </c>
      <c r="D65" s="59">
        <f t="shared" si="1"/>
        <v>5733</v>
      </c>
      <c r="E65" s="59"/>
      <c r="F65" s="59"/>
      <c r="G65" s="59">
        <f>5763-30</f>
        <v>5733</v>
      </c>
      <c r="H65" s="59"/>
      <c r="I65" s="59"/>
      <c r="J65" s="64"/>
      <c r="K65" s="59"/>
    </row>
    <row r="66" spans="1:11" ht="24" x14ac:dyDescent="0.2">
      <c r="A66" s="63">
        <v>55</v>
      </c>
      <c r="B66" s="63" t="s">
        <v>438</v>
      </c>
      <c r="C66" s="62" t="s">
        <v>128</v>
      </c>
      <c r="D66" s="59">
        <f t="shared" si="1"/>
        <v>586</v>
      </c>
      <c r="E66" s="59"/>
      <c r="F66" s="59"/>
      <c r="G66" s="59">
        <f>3508-2922</f>
        <v>586</v>
      </c>
      <c r="H66" s="59">
        <v>136</v>
      </c>
      <c r="I66" s="59"/>
      <c r="J66" s="64"/>
      <c r="K66" s="59"/>
    </row>
    <row r="67" spans="1:11" ht="60" x14ac:dyDescent="0.2">
      <c r="A67" s="63">
        <v>56</v>
      </c>
      <c r="B67" s="63" t="s">
        <v>238</v>
      </c>
      <c r="C67" s="62" t="s">
        <v>127</v>
      </c>
      <c r="D67" s="59">
        <f t="shared" si="1"/>
        <v>2922</v>
      </c>
      <c r="E67" s="59"/>
      <c r="F67" s="59"/>
      <c r="G67" s="59">
        <f>0+2922</f>
        <v>2922</v>
      </c>
      <c r="H67" s="59">
        <v>669</v>
      </c>
      <c r="I67" s="59"/>
      <c r="J67" s="64"/>
      <c r="K67" s="59"/>
    </row>
    <row r="68" spans="1:11" ht="24" customHeight="1" x14ac:dyDescent="0.2">
      <c r="A68" s="63">
        <v>59</v>
      </c>
      <c r="B68" s="63" t="s">
        <v>287</v>
      </c>
      <c r="C68" s="62" t="s">
        <v>126</v>
      </c>
      <c r="D68" s="59">
        <f t="shared" si="1"/>
        <v>967</v>
      </c>
      <c r="E68" s="59"/>
      <c r="F68" s="59"/>
      <c r="G68" s="59">
        <f>3868-2901</f>
        <v>967</v>
      </c>
      <c r="H68" s="59"/>
      <c r="I68" s="59"/>
      <c r="J68" s="64"/>
      <c r="K68" s="59"/>
    </row>
    <row r="69" spans="1:11" ht="84" customHeight="1" x14ac:dyDescent="0.2">
      <c r="A69" s="63">
        <v>60</v>
      </c>
      <c r="B69" s="63" t="s">
        <v>289</v>
      </c>
      <c r="C69" s="62" t="s">
        <v>125</v>
      </c>
      <c r="D69" s="59">
        <f t="shared" si="1"/>
        <v>2901</v>
      </c>
      <c r="E69" s="59"/>
      <c r="F69" s="59"/>
      <c r="G69" s="59">
        <f>0+2901</f>
        <v>2901</v>
      </c>
      <c r="H69" s="59"/>
      <c r="I69" s="59"/>
      <c r="J69" s="64"/>
      <c r="K69" s="59"/>
    </row>
    <row r="70" spans="1:11" ht="48" x14ac:dyDescent="0.2">
      <c r="A70" s="63">
        <v>57</v>
      </c>
      <c r="B70" s="63" t="s">
        <v>246</v>
      </c>
      <c r="C70" s="62" t="s">
        <v>124</v>
      </c>
      <c r="D70" s="59">
        <f t="shared" si="1"/>
        <v>3226</v>
      </c>
      <c r="E70" s="59"/>
      <c r="F70" s="59"/>
      <c r="G70" s="59">
        <v>3226</v>
      </c>
      <c r="H70" s="59"/>
      <c r="I70" s="59"/>
      <c r="J70" s="64"/>
      <c r="K70" s="59"/>
    </row>
    <row r="71" spans="1:11" ht="36" customHeight="1" x14ac:dyDescent="0.2">
      <c r="A71" s="63">
        <v>58</v>
      </c>
      <c r="B71" s="63" t="s">
        <v>405</v>
      </c>
      <c r="C71" s="62" t="s">
        <v>123</v>
      </c>
      <c r="D71" s="59">
        <f t="shared" si="1"/>
        <v>4762</v>
      </c>
      <c r="E71" s="59"/>
      <c r="F71" s="59"/>
      <c r="G71" s="59">
        <f>5762-1000</f>
        <v>4762</v>
      </c>
      <c r="H71" s="59"/>
      <c r="I71" s="59"/>
      <c r="J71" s="64"/>
      <c r="K71" s="59"/>
    </row>
    <row r="72" spans="1:11" ht="24" x14ac:dyDescent="0.2">
      <c r="A72" s="63">
        <v>61</v>
      </c>
      <c r="B72" s="63" t="s">
        <v>299</v>
      </c>
      <c r="C72" s="62" t="s">
        <v>122</v>
      </c>
      <c r="D72" s="59">
        <f t="shared" si="1"/>
        <v>15</v>
      </c>
      <c r="E72" s="59"/>
      <c r="F72" s="59"/>
      <c r="G72" s="59">
        <f t="shared" ref="G72:G77" si="2">17-2</f>
        <v>15</v>
      </c>
      <c r="H72" s="59"/>
      <c r="I72" s="59"/>
      <c r="J72" s="64"/>
      <c r="K72" s="59"/>
    </row>
    <row r="73" spans="1:11" ht="24" x14ac:dyDescent="0.2">
      <c r="A73" s="63">
        <v>62</v>
      </c>
      <c r="B73" s="63" t="s">
        <v>311</v>
      </c>
      <c r="C73" s="62" t="s">
        <v>121</v>
      </c>
      <c r="D73" s="59">
        <f t="shared" si="1"/>
        <v>15</v>
      </c>
      <c r="E73" s="59"/>
      <c r="F73" s="59"/>
      <c r="G73" s="59">
        <f t="shared" si="2"/>
        <v>15</v>
      </c>
      <c r="H73" s="59"/>
      <c r="I73" s="59"/>
      <c r="J73" s="64"/>
      <c r="K73" s="59"/>
    </row>
    <row r="74" spans="1:11" x14ac:dyDescent="0.2">
      <c r="A74" s="63">
        <v>63</v>
      </c>
      <c r="B74" s="63" t="s">
        <v>313</v>
      </c>
      <c r="C74" s="62" t="s">
        <v>120</v>
      </c>
      <c r="D74" s="59">
        <f t="shared" si="1"/>
        <v>15</v>
      </c>
      <c r="E74" s="59"/>
      <c r="F74" s="59"/>
      <c r="G74" s="59">
        <f t="shared" si="2"/>
        <v>15</v>
      </c>
      <c r="H74" s="59"/>
      <c r="I74" s="59"/>
      <c r="J74" s="64"/>
      <c r="K74" s="59"/>
    </row>
    <row r="75" spans="1:11" ht="12" customHeight="1" x14ac:dyDescent="0.2">
      <c r="A75" s="63">
        <v>64</v>
      </c>
      <c r="B75" s="63" t="s">
        <v>439</v>
      </c>
      <c r="C75" s="62" t="s">
        <v>119</v>
      </c>
      <c r="D75" s="59">
        <f t="shared" si="1"/>
        <v>15</v>
      </c>
      <c r="E75" s="59"/>
      <c r="F75" s="59"/>
      <c r="G75" s="59">
        <f t="shared" si="2"/>
        <v>15</v>
      </c>
      <c r="H75" s="59"/>
      <c r="I75" s="59"/>
      <c r="J75" s="64"/>
      <c r="K75" s="59"/>
    </row>
    <row r="76" spans="1:11" ht="27.75" customHeight="1" x14ac:dyDescent="0.2">
      <c r="A76" s="63">
        <v>65</v>
      </c>
      <c r="B76" s="63" t="s">
        <v>317</v>
      </c>
      <c r="C76" s="62" t="s">
        <v>118</v>
      </c>
      <c r="D76" s="59">
        <f t="shared" si="1"/>
        <v>15</v>
      </c>
      <c r="E76" s="59"/>
      <c r="F76" s="59"/>
      <c r="G76" s="59">
        <f t="shared" si="2"/>
        <v>15</v>
      </c>
      <c r="H76" s="59"/>
      <c r="I76" s="59"/>
      <c r="J76" s="64"/>
      <c r="K76" s="59"/>
    </row>
    <row r="77" spans="1:11" x14ac:dyDescent="0.2">
      <c r="A77" s="63">
        <v>66</v>
      </c>
      <c r="B77" s="63" t="s">
        <v>319</v>
      </c>
      <c r="C77" s="62" t="s">
        <v>117</v>
      </c>
      <c r="D77" s="59">
        <f t="shared" si="1"/>
        <v>15</v>
      </c>
      <c r="E77" s="59"/>
      <c r="F77" s="59"/>
      <c r="G77" s="59">
        <f t="shared" si="2"/>
        <v>15</v>
      </c>
      <c r="H77" s="59"/>
      <c r="I77" s="59"/>
      <c r="J77" s="64"/>
      <c r="K77" s="59"/>
    </row>
    <row r="78" spans="1:11" ht="24" x14ac:dyDescent="0.2">
      <c r="A78" s="63">
        <v>67</v>
      </c>
      <c r="B78" s="63" t="s">
        <v>440</v>
      </c>
      <c r="C78" s="68" t="s">
        <v>116</v>
      </c>
      <c r="D78" s="59">
        <f t="shared" si="1"/>
        <v>3543</v>
      </c>
      <c r="E78" s="59"/>
      <c r="F78" s="59"/>
      <c r="G78" s="59">
        <v>0</v>
      </c>
      <c r="H78" s="59"/>
      <c r="I78" s="59"/>
      <c r="J78" s="59">
        <v>3543</v>
      </c>
      <c r="K78" s="64"/>
    </row>
    <row r="79" spans="1:11" x14ac:dyDescent="0.2">
      <c r="A79" s="63">
        <v>68</v>
      </c>
      <c r="B79" s="63" t="s">
        <v>441</v>
      </c>
      <c r="C79" s="68" t="s">
        <v>115</v>
      </c>
      <c r="D79" s="59">
        <f t="shared" si="1"/>
        <v>2092</v>
      </c>
      <c r="E79" s="59"/>
      <c r="F79" s="59"/>
      <c r="G79" s="59">
        <v>0</v>
      </c>
      <c r="H79" s="59"/>
      <c r="I79" s="59"/>
      <c r="J79" s="59">
        <v>2092</v>
      </c>
      <c r="K79" s="64"/>
    </row>
    <row r="80" spans="1:11" ht="24" x14ac:dyDescent="0.2">
      <c r="A80" s="63">
        <v>69</v>
      </c>
      <c r="B80" s="63" t="s">
        <v>442</v>
      </c>
      <c r="C80" s="62" t="s">
        <v>114</v>
      </c>
      <c r="D80" s="59">
        <f t="shared" si="1"/>
        <v>792</v>
      </c>
      <c r="E80" s="59"/>
      <c r="F80" s="59"/>
      <c r="G80" s="59">
        <v>792</v>
      </c>
      <c r="H80" s="59"/>
      <c r="I80" s="59"/>
      <c r="J80" s="64"/>
      <c r="K80" s="59"/>
    </row>
    <row r="81" spans="1:11" x14ac:dyDescent="0.2">
      <c r="A81" s="66" t="s">
        <v>113</v>
      </c>
      <c r="B81" s="66"/>
      <c r="C81" s="65"/>
      <c r="D81" s="58">
        <f t="shared" si="1"/>
        <v>0</v>
      </c>
      <c r="E81" s="59"/>
      <c r="F81" s="59"/>
      <c r="G81" s="59"/>
      <c r="H81" s="59"/>
      <c r="I81" s="59"/>
      <c r="J81" s="64"/>
      <c r="K81" s="59"/>
    </row>
    <row r="82" spans="1:11" x14ac:dyDescent="0.2">
      <c r="A82" s="63">
        <v>74</v>
      </c>
      <c r="B82" s="63" t="s">
        <v>366</v>
      </c>
      <c r="C82" s="62" t="s">
        <v>112</v>
      </c>
      <c r="D82" s="59">
        <f t="shared" si="1"/>
        <v>17368</v>
      </c>
      <c r="E82" s="59"/>
      <c r="F82" s="59"/>
      <c r="G82" s="59">
        <f>17555-187</f>
        <v>17368</v>
      </c>
      <c r="H82" s="59"/>
      <c r="I82" s="59">
        <v>14</v>
      </c>
      <c r="J82" s="64"/>
      <c r="K82" s="59"/>
    </row>
    <row r="83" spans="1:11" ht="14.25" customHeight="1" x14ac:dyDescent="0.2">
      <c r="A83" s="63">
        <v>75</v>
      </c>
      <c r="B83" s="63" t="s">
        <v>222</v>
      </c>
      <c r="C83" s="62" t="s">
        <v>111</v>
      </c>
      <c r="D83" s="59">
        <f t="shared" si="1"/>
        <v>14017</v>
      </c>
      <c r="E83" s="59"/>
      <c r="F83" s="59"/>
      <c r="G83" s="59">
        <f>14311-309-30</f>
        <v>13972</v>
      </c>
      <c r="H83" s="59"/>
      <c r="I83" s="59">
        <v>292</v>
      </c>
      <c r="J83" s="64"/>
      <c r="K83" s="59">
        <v>45</v>
      </c>
    </row>
    <row r="84" spans="1:11" x14ac:dyDescent="0.2">
      <c r="A84" s="63">
        <v>76</v>
      </c>
      <c r="B84" s="63" t="s">
        <v>27</v>
      </c>
      <c r="C84" s="62" t="s">
        <v>4</v>
      </c>
      <c r="D84" s="59">
        <f t="shared" si="1"/>
        <v>19076</v>
      </c>
      <c r="E84" s="59"/>
      <c r="F84" s="59"/>
      <c r="G84" s="59">
        <f>19268-186-30</f>
        <v>19052</v>
      </c>
      <c r="H84" s="59">
        <v>422</v>
      </c>
      <c r="I84" s="59">
        <v>393</v>
      </c>
      <c r="J84" s="64"/>
      <c r="K84" s="59">
        <v>24</v>
      </c>
    </row>
    <row r="85" spans="1:11" x14ac:dyDescent="0.2">
      <c r="A85" s="63">
        <v>77</v>
      </c>
      <c r="B85" s="63" t="s">
        <v>225</v>
      </c>
      <c r="C85" s="62" t="s">
        <v>110</v>
      </c>
      <c r="D85" s="59">
        <f t="shared" si="1"/>
        <v>9235</v>
      </c>
      <c r="E85" s="59"/>
      <c r="F85" s="59"/>
      <c r="G85" s="59">
        <f>9220-30</f>
        <v>9190</v>
      </c>
      <c r="H85" s="59"/>
      <c r="I85" s="59">
        <v>2</v>
      </c>
      <c r="J85" s="64"/>
      <c r="K85" s="59">
        <v>45</v>
      </c>
    </row>
    <row r="86" spans="1:11" ht="22.5" customHeight="1" x14ac:dyDescent="0.2">
      <c r="A86" s="63">
        <v>78</v>
      </c>
      <c r="B86" s="63" t="s">
        <v>362</v>
      </c>
      <c r="C86" s="62" t="s">
        <v>109</v>
      </c>
      <c r="D86" s="59">
        <f t="shared" si="1"/>
        <v>9669</v>
      </c>
      <c r="E86" s="59"/>
      <c r="F86" s="59"/>
      <c r="G86" s="59">
        <v>9669</v>
      </c>
      <c r="H86" s="59"/>
      <c r="I86" s="59">
        <v>57</v>
      </c>
      <c r="J86" s="64"/>
      <c r="K86" s="59"/>
    </row>
    <row r="87" spans="1:11" x14ac:dyDescent="0.2">
      <c r="A87" s="63">
        <v>79</v>
      </c>
      <c r="B87" s="63" t="s">
        <v>251</v>
      </c>
      <c r="C87" s="62" t="s">
        <v>108</v>
      </c>
      <c r="D87" s="59">
        <f t="shared" si="1"/>
        <v>8185</v>
      </c>
      <c r="E87" s="59"/>
      <c r="F87" s="59"/>
      <c r="G87" s="59">
        <f>8206-30</f>
        <v>8176</v>
      </c>
      <c r="H87" s="59"/>
      <c r="I87" s="59">
        <v>13</v>
      </c>
      <c r="J87" s="64"/>
      <c r="K87" s="59">
        <v>9</v>
      </c>
    </row>
    <row r="88" spans="1:11" x14ac:dyDescent="0.2">
      <c r="A88" s="63">
        <v>80</v>
      </c>
      <c r="B88" s="63" t="s">
        <v>256</v>
      </c>
      <c r="C88" s="62" t="s">
        <v>107</v>
      </c>
      <c r="D88" s="59">
        <f t="shared" si="1"/>
        <v>11100</v>
      </c>
      <c r="E88" s="59"/>
      <c r="F88" s="59"/>
      <c r="G88" s="59">
        <f>11096-30</f>
        <v>11066</v>
      </c>
      <c r="H88" s="59"/>
      <c r="I88" s="59">
        <v>88</v>
      </c>
      <c r="J88" s="64"/>
      <c r="K88" s="59">
        <v>34</v>
      </c>
    </row>
    <row r="89" spans="1:11" x14ac:dyDescent="0.2">
      <c r="A89" s="63">
        <v>81</v>
      </c>
      <c r="B89" s="63" t="s">
        <v>265</v>
      </c>
      <c r="C89" s="62" t="s">
        <v>106</v>
      </c>
      <c r="D89" s="59">
        <f t="shared" si="1"/>
        <v>10887</v>
      </c>
      <c r="E89" s="59"/>
      <c r="F89" s="59"/>
      <c r="G89" s="59">
        <f>10906-30</f>
        <v>10876</v>
      </c>
      <c r="H89" s="59"/>
      <c r="I89" s="59">
        <v>575</v>
      </c>
      <c r="J89" s="64"/>
      <c r="K89" s="59">
        <v>11</v>
      </c>
    </row>
    <row r="90" spans="1:11" x14ac:dyDescent="0.2">
      <c r="A90" s="63">
        <v>82</v>
      </c>
      <c r="B90" s="63" t="s">
        <v>244</v>
      </c>
      <c r="C90" s="62" t="s">
        <v>105</v>
      </c>
      <c r="D90" s="59">
        <f t="shared" si="1"/>
        <v>17453</v>
      </c>
      <c r="E90" s="59"/>
      <c r="F90" s="59"/>
      <c r="G90" s="59">
        <f>18102-720-30+42</f>
        <v>17394</v>
      </c>
      <c r="H90" s="59">
        <v>707</v>
      </c>
      <c r="I90" s="59">
        <f>787+42</f>
        <v>829</v>
      </c>
      <c r="J90" s="64"/>
      <c r="K90" s="59">
        <v>59</v>
      </c>
    </row>
    <row r="91" spans="1:11" x14ac:dyDescent="0.2">
      <c r="A91" s="63">
        <v>83</v>
      </c>
      <c r="B91" s="63" t="s">
        <v>277</v>
      </c>
      <c r="C91" s="62" t="s">
        <v>104</v>
      </c>
      <c r="D91" s="59">
        <f t="shared" si="1"/>
        <v>9885</v>
      </c>
      <c r="E91" s="59"/>
      <c r="F91" s="59"/>
      <c r="G91" s="59">
        <f>9919-55-30</f>
        <v>9834</v>
      </c>
      <c r="H91" s="59">
        <v>213</v>
      </c>
      <c r="I91" s="59">
        <f>66+9</f>
        <v>75</v>
      </c>
      <c r="J91" s="64"/>
      <c r="K91" s="59">
        <f>28+23</f>
        <v>51</v>
      </c>
    </row>
    <row r="92" spans="1:11" ht="24" x14ac:dyDescent="0.2">
      <c r="A92" s="63">
        <v>84</v>
      </c>
      <c r="B92" s="63" t="s">
        <v>24</v>
      </c>
      <c r="C92" s="62" t="s">
        <v>103</v>
      </c>
      <c r="D92" s="59">
        <f t="shared" si="1"/>
        <v>14382</v>
      </c>
      <c r="E92" s="59"/>
      <c r="F92" s="59"/>
      <c r="G92" s="59">
        <f>12303+2045</f>
        <v>14348</v>
      </c>
      <c r="H92" s="59"/>
      <c r="I92" s="59">
        <v>195</v>
      </c>
      <c r="J92" s="64"/>
      <c r="K92" s="59">
        <v>34</v>
      </c>
    </row>
    <row r="93" spans="1:11" ht="24" x14ac:dyDescent="0.2">
      <c r="A93" s="63">
        <v>85</v>
      </c>
      <c r="B93" s="63" t="s">
        <v>242</v>
      </c>
      <c r="C93" s="62" t="s">
        <v>102</v>
      </c>
      <c r="D93" s="59">
        <f t="shared" si="1"/>
        <v>682</v>
      </c>
      <c r="E93" s="59"/>
      <c r="F93" s="59"/>
      <c r="G93" s="59">
        <f>2727-2045</f>
        <v>682</v>
      </c>
      <c r="H93" s="59"/>
      <c r="I93" s="59">
        <v>59</v>
      </c>
      <c r="J93" s="64"/>
      <c r="K93" s="59"/>
    </row>
    <row r="94" spans="1:11" x14ac:dyDescent="0.2">
      <c r="A94" s="63">
        <v>86</v>
      </c>
      <c r="B94" s="63" t="s">
        <v>274</v>
      </c>
      <c r="C94" s="62" t="s">
        <v>101</v>
      </c>
      <c r="D94" s="59">
        <f t="shared" si="1"/>
        <v>16078</v>
      </c>
      <c r="E94" s="59"/>
      <c r="F94" s="59"/>
      <c r="G94" s="59">
        <f>16062-30</f>
        <v>16032</v>
      </c>
      <c r="H94" s="59"/>
      <c r="I94" s="59">
        <v>457</v>
      </c>
      <c r="J94" s="64"/>
      <c r="K94" s="59">
        <v>46</v>
      </c>
    </row>
    <row r="95" spans="1:11" x14ac:dyDescent="0.2">
      <c r="A95" s="63">
        <v>87</v>
      </c>
      <c r="B95" s="63" t="s">
        <v>275</v>
      </c>
      <c r="C95" s="62" t="s">
        <v>100</v>
      </c>
      <c r="D95" s="59">
        <f t="shared" si="1"/>
        <v>9837</v>
      </c>
      <c r="E95" s="59"/>
      <c r="F95" s="59"/>
      <c r="G95" s="59">
        <f>9867-30</f>
        <v>9837</v>
      </c>
      <c r="H95" s="59">
        <v>335</v>
      </c>
      <c r="I95" s="59">
        <v>40</v>
      </c>
      <c r="J95" s="64"/>
      <c r="K95" s="59"/>
    </row>
    <row r="96" spans="1:11" ht="24" x14ac:dyDescent="0.2">
      <c r="A96" s="63">
        <v>70</v>
      </c>
      <c r="B96" s="63" t="s">
        <v>443</v>
      </c>
      <c r="C96" s="62" t="s">
        <v>99</v>
      </c>
      <c r="D96" s="59">
        <f t="shared" si="1"/>
        <v>60</v>
      </c>
      <c r="E96" s="59"/>
      <c r="F96" s="59"/>
      <c r="G96" s="59">
        <v>60</v>
      </c>
      <c r="H96" s="59"/>
      <c r="I96" s="59">
        <v>60</v>
      </c>
      <c r="J96" s="64"/>
      <c r="K96" s="59"/>
    </row>
    <row r="97" spans="1:11" ht="12.75" customHeight="1" x14ac:dyDescent="0.2">
      <c r="A97" s="63">
        <v>71</v>
      </c>
      <c r="B97" s="63" t="s">
        <v>329</v>
      </c>
      <c r="C97" s="62" t="s">
        <v>98</v>
      </c>
      <c r="D97" s="59">
        <f t="shared" si="1"/>
        <v>7165</v>
      </c>
      <c r="E97" s="59"/>
      <c r="F97" s="59"/>
      <c r="G97" s="59">
        <f>7160+5</f>
        <v>7165</v>
      </c>
      <c r="H97" s="59">
        <v>571</v>
      </c>
      <c r="I97" s="59">
        <v>14</v>
      </c>
      <c r="J97" s="64"/>
      <c r="K97" s="59"/>
    </row>
    <row r="98" spans="1:11" x14ac:dyDescent="0.2">
      <c r="A98" s="66" t="s">
        <v>97</v>
      </c>
      <c r="B98" s="66"/>
      <c r="C98" s="65"/>
      <c r="D98" s="58">
        <f t="shared" si="1"/>
        <v>0</v>
      </c>
      <c r="E98" s="59"/>
      <c r="F98" s="59"/>
      <c r="G98" s="59"/>
      <c r="H98" s="59"/>
      <c r="I98" s="59"/>
      <c r="J98" s="64"/>
      <c r="K98" s="59"/>
    </row>
    <row r="99" spans="1:11" x14ac:dyDescent="0.2">
      <c r="A99" s="63">
        <v>104</v>
      </c>
      <c r="B99" s="63" t="s">
        <v>233</v>
      </c>
      <c r="C99" s="62" t="s">
        <v>96</v>
      </c>
      <c r="D99" s="59">
        <f t="shared" si="1"/>
        <v>11379</v>
      </c>
      <c r="E99" s="59">
        <v>59</v>
      </c>
      <c r="F99" s="59"/>
      <c r="G99" s="59">
        <f>11376-273-30+220</f>
        <v>11293</v>
      </c>
      <c r="H99" s="59">
        <v>348</v>
      </c>
      <c r="I99" s="59">
        <v>879</v>
      </c>
      <c r="J99" s="64"/>
      <c r="K99" s="59">
        <v>27</v>
      </c>
    </row>
    <row r="100" spans="1:11" x14ac:dyDescent="0.2">
      <c r="A100" s="63">
        <v>105</v>
      </c>
      <c r="B100" s="63" t="s">
        <v>266</v>
      </c>
      <c r="C100" s="62" t="s">
        <v>59</v>
      </c>
      <c r="D100" s="59">
        <f t="shared" si="1"/>
        <v>5548</v>
      </c>
      <c r="E100" s="59">
        <f>243-1-1-1-2+9</f>
        <v>247</v>
      </c>
      <c r="F100" s="59"/>
      <c r="G100" s="59">
        <f>5385+1+1-186+1+86+2-9+20</f>
        <v>5301</v>
      </c>
      <c r="H100" s="59">
        <v>374</v>
      </c>
      <c r="I100" s="59">
        <f>240+86+20+35</f>
        <v>381</v>
      </c>
      <c r="J100" s="64"/>
      <c r="K100" s="59"/>
    </row>
    <row r="101" spans="1:11" ht="11.25" customHeight="1" x14ac:dyDescent="0.2">
      <c r="A101" s="63">
        <v>106</v>
      </c>
      <c r="B101" s="63" t="s">
        <v>19</v>
      </c>
      <c r="C101" s="62" t="s">
        <v>3</v>
      </c>
      <c r="D101" s="59">
        <f t="shared" si="1"/>
        <v>22694</v>
      </c>
      <c r="E101" s="59">
        <f>133+29</f>
        <v>162</v>
      </c>
      <c r="F101" s="59"/>
      <c r="G101" s="59">
        <f>23422-5-29-931+75</f>
        <v>22532</v>
      </c>
      <c r="H101" s="59">
        <v>722</v>
      </c>
      <c r="I101" s="59">
        <f>1149+75+6</f>
        <v>1230</v>
      </c>
      <c r="J101" s="64"/>
      <c r="K101" s="59"/>
    </row>
    <row r="102" spans="1:11" x14ac:dyDescent="0.2">
      <c r="A102" s="63">
        <v>107</v>
      </c>
      <c r="B102" s="63" t="s">
        <v>235</v>
      </c>
      <c r="C102" s="62" t="s">
        <v>95</v>
      </c>
      <c r="D102" s="59">
        <f t="shared" si="1"/>
        <v>12277</v>
      </c>
      <c r="E102" s="59">
        <v>20</v>
      </c>
      <c r="F102" s="59"/>
      <c r="G102" s="59">
        <f>11193+1000</f>
        <v>12193</v>
      </c>
      <c r="H102" s="59"/>
      <c r="I102" s="59">
        <v>1114</v>
      </c>
      <c r="J102" s="64"/>
      <c r="K102" s="59">
        <f>62+2</f>
        <v>64</v>
      </c>
    </row>
    <row r="103" spans="1:11" x14ac:dyDescent="0.2">
      <c r="A103" s="63">
        <v>108</v>
      </c>
      <c r="B103" s="63" t="s">
        <v>236</v>
      </c>
      <c r="C103" s="62" t="s">
        <v>94</v>
      </c>
      <c r="D103" s="59">
        <f t="shared" si="1"/>
        <v>24802</v>
      </c>
      <c r="E103" s="59">
        <f>863-18-32</f>
        <v>813</v>
      </c>
      <c r="F103" s="59">
        <f>77+12</f>
        <v>89</v>
      </c>
      <c r="G103" s="59">
        <f>23888-2-10+61+60-8</f>
        <v>23989</v>
      </c>
      <c r="H103" s="59"/>
      <c r="I103" s="59">
        <v>1035</v>
      </c>
      <c r="J103" s="64"/>
      <c r="K103" s="59"/>
    </row>
    <row r="104" spans="1:11" x14ac:dyDescent="0.2">
      <c r="A104" s="63">
        <v>109</v>
      </c>
      <c r="B104" s="63" t="s">
        <v>370</v>
      </c>
      <c r="C104" s="62" t="s">
        <v>93</v>
      </c>
      <c r="D104" s="59">
        <f t="shared" si="1"/>
        <v>7147</v>
      </c>
      <c r="E104" s="59">
        <v>200</v>
      </c>
      <c r="F104" s="59"/>
      <c r="G104" s="59">
        <f>6977-30</f>
        <v>6947</v>
      </c>
      <c r="H104" s="59">
        <v>1066</v>
      </c>
      <c r="I104" s="59"/>
      <c r="J104" s="64"/>
      <c r="K104" s="59"/>
    </row>
    <row r="105" spans="1:11" x14ac:dyDescent="0.2">
      <c r="A105" s="63">
        <v>110</v>
      </c>
      <c r="B105" s="63" t="s">
        <v>376</v>
      </c>
      <c r="C105" s="62" t="s">
        <v>92</v>
      </c>
      <c r="D105" s="59">
        <f t="shared" si="1"/>
        <v>12832</v>
      </c>
      <c r="E105" s="59">
        <f>301+40-3</f>
        <v>338</v>
      </c>
      <c r="F105" s="59"/>
      <c r="G105" s="59">
        <f>12113+220+187-26</f>
        <v>12494</v>
      </c>
      <c r="H105" s="59">
        <v>701</v>
      </c>
      <c r="I105" s="59">
        <v>866</v>
      </c>
      <c r="J105" s="64"/>
      <c r="K105" s="59"/>
    </row>
    <row r="106" spans="1:11" x14ac:dyDescent="0.2">
      <c r="A106" s="63">
        <v>88</v>
      </c>
      <c r="B106" s="63" t="s">
        <v>382</v>
      </c>
      <c r="C106" s="62" t="s">
        <v>91</v>
      </c>
      <c r="D106" s="59">
        <f t="shared" si="1"/>
        <v>9302</v>
      </c>
      <c r="E106" s="59">
        <v>40</v>
      </c>
      <c r="F106" s="59"/>
      <c r="G106" s="59">
        <v>9262</v>
      </c>
      <c r="H106" s="59"/>
      <c r="I106" s="59"/>
      <c r="J106" s="64"/>
      <c r="K106" s="59"/>
    </row>
    <row r="107" spans="1:11" x14ac:dyDescent="0.2">
      <c r="A107" s="63">
        <v>89</v>
      </c>
      <c r="B107" s="63" t="s">
        <v>305</v>
      </c>
      <c r="C107" s="62" t="s">
        <v>90</v>
      </c>
      <c r="D107" s="59">
        <f t="shared" si="1"/>
        <v>958</v>
      </c>
      <c r="E107" s="59">
        <f>222+20+3+32</f>
        <v>277</v>
      </c>
      <c r="F107" s="59">
        <v>5</v>
      </c>
      <c r="G107" s="59">
        <f>663+10+8</f>
        <v>681</v>
      </c>
      <c r="H107" s="59"/>
      <c r="I107" s="59">
        <v>53</v>
      </c>
      <c r="J107" s="64"/>
      <c r="K107" s="59"/>
    </row>
    <row r="108" spans="1:11" x14ac:dyDescent="0.2">
      <c r="A108" s="66" t="s">
        <v>89</v>
      </c>
      <c r="B108" s="66"/>
      <c r="C108" s="65"/>
      <c r="D108" s="58">
        <f t="shared" si="1"/>
        <v>0</v>
      </c>
      <c r="E108" s="59"/>
      <c r="F108" s="59"/>
      <c r="G108" s="59"/>
      <c r="H108" s="59"/>
      <c r="I108" s="59"/>
      <c r="J108" s="64"/>
      <c r="K108" s="59"/>
    </row>
    <row r="109" spans="1:11" x14ac:dyDescent="0.2">
      <c r="A109" s="63">
        <v>90</v>
      </c>
      <c r="B109" s="63" t="s">
        <v>26</v>
      </c>
      <c r="C109" s="62" t="s">
        <v>88</v>
      </c>
      <c r="D109" s="59">
        <f t="shared" si="1"/>
        <v>25051</v>
      </c>
      <c r="E109" s="59">
        <v>1450</v>
      </c>
      <c r="F109" s="59">
        <v>1450</v>
      </c>
      <c r="G109" s="59">
        <f>21623+2201-161-62</f>
        <v>23601</v>
      </c>
      <c r="H109" s="59"/>
      <c r="I109" s="59">
        <f>22630-161-62</f>
        <v>22407</v>
      </c>
      <c r="J109" s="64"/>
      <c r="K109" s="59"/>
    </row>
    <row r="110" spans="1:11" x14ac:dyDescent="0.2">
      <c r="A110" s="63">
        <v>91</v>
      </c>
      <c r="B110" s="63" t="s">
        <v>387</v>
      </c>
      <c r="C110" s="62" t="s">
        <v>73</v>
      </c>
      <c r="D110" s="59">
        <f t="shared" si="1"/>
        <v>11942</v>
      </c>
      <c r="E110" s="59">
        <v>3435</v>
      </c>
      <c r="F110" s="59"/>
      <c r="G110" s="59">
        <v>8507</v>
      </c>
      <c r="H110" s="59">
        <v>750</v>
      </c>
      <c r="I110" s="59"/>
      <c r="J110" s="64"/>
      <c r="K110" s="59"/>
    </row>
    <row r="111" spans="1:11" x14ac:dyDescent="0.2">
      <c r="A111" s="63">
        <v>92</v>
      </c>
      <c r="B111" s="63" t="s">
        <v>18</v>
      </c>
      <c r="C111" s="62" t="s">
        <v>6</v>
      </c>
      <c r="D111" s="59">
        <f t="shared" si="1"/>
        <v>5750</v>
      </c>
      <c r="E111" s="59">
        <v>52</v>
      </c>
      <c r="F111" s="59"/>
      <c r="G111" s="59">
        <v>5314</v>
      </c>
      <c r="H111" s="59"/>
      <c r="I111" s="59"/>
      <c r="J111" s="64"/>
      <c r="K111" s="59">
        <v>384</v>
      </c>
    </row>
    <row r="112" spans="1:11" ht="24" x14ac:dyDescent="0.2">
      <c r="A112" s="63">
        <v>111</v>
      </c>
      <c r="B112" s="63" t="s">
        <v>25</v>
      </c>
      <c r="C112" s="62" t="s">
        <v>87</v>
      </c>
      <c r="D112" s="59">
        <f t="shared" si="1"/>
        <v>18689</v>
      </c>
      <c r="E112" s="59"/>
      <c r="F112" s="59"/>
      <c r="G112" s="59">
        <f>15841+2848</f>
        <v>18689</v>
      </c>
      <c r="H112" s="59"/>
      <c r="I112" s="59"/>
      <c r="J112" s="64"/>
      <c r="K112" s="59"/>
    </row>
    <row r="113" spans="1:11" x14ac:dyDescent="0.2">
      <c r="A113" s="63">
        <v>93</v>
      </c>
      <c r="B113" s="63" t="s">
        <v>389</v>
      </c>
      <c r="C113" s="62" t="s">
        <v>71</v>
      </c>
      <c r="D113" s="59">
        <f t="shared" si="1"/>
        <v>22944</v>
      </c>
      <c r="E113" s="59">
        <f>648+80</f>
        <v>728</v>
      </c>
      <c r="F113" s="59"/>
      <c r="G113" s="59">
        <f>22266-50</f>
        <v>22216</v>
      </c>
      <c r="H113" s="59"/>
      <c r="I113" s="59"/>
      <c r="J113" s="64"/>
      <c r="K113" s="59"/>
    </row>
    <row r="114" spans="1:11" x14ac:dyDescent="0.2">
      <c r="A114" s="63">
        <v>94</v>
      </c>
      <c r="B114" s="63" t="s">
        <v>21</v>
      </c>
      <c r="C114" s="62" t="s">
        <v>68</v>
      </c>
      <c r="D114" s="59">
        <f t="shared" si="1"/>
        <v>25323</v>
      </c>
      <c r="E114" s="59">
        <v>1082</v>
      </c>
      <c r="F114" s="59"/>
      <c r="G114" s="59">
        <f>23761+480</f>
        <v>24241</v>
      </c>
      <c r="H114" s="59">
        <v>1483</v>
      </c>
      <c r="I114" s="59">
        <v>143</v>
      </c>
      <c r="J114" s="64"/>
      <c r="K114" s="59"/>
    </row>
    <row r="115" spans="1:11" ht="14.25" customHeight="1" x14ac:dyDescent="0.2">
      <c r="A115" s="63">
        <v>95</v>
      </c>
      <c r="B115" s="63" t="s">
        <v>378</v>
      </c>
      <c r="C115" s="62" t="s">
        <v>86</v>
      </c>
      <c r="D115" s="59">
        <f t="shared" ref="D115:D129" si="3">E115+G115+K115+J115</f>
        <v>15292</v>
      </c>
      <c r="E115" s="59">
        <v>407</v>
      </c>
      <c r="F115" s="59"/>
      <c r="G115" s="59">
        <v>14885</v>
      </c>
      <c r="H115" s="59">
        <v>3000</v>
      </c>
      <c r="I115" s="59"/>
      <c r="J115" s="64"/>
      <c r="K115" s="59"/>
    </row>
    <row r="116" spans="1:11" x14ac:dyDescent="0.2">
      <c r="A116" s="63">
        <v>112</v>
      </c>
      <c r="B116" s="63" t="s">
        <v>380</v>
      </c>
      <c r="C116" s="62" t="s">
        <v>85</v>
      </c>
      <c r="D116" s="59">
        <f t="shared" si="3"/>
        <v>14278</v>
      </c>
      <c r="E116" s="59">
        <f>754-2+18</f>
        <v>770</v>
      </c>
      <c r="F116" s="59"/>
      <c r="G116" s="59">
        <f>13166-18+360</f>
        <v>13508</v>
      </c>
      <c r="H116" s="59">
        <v>1048</v>
      </c>
      <c r="I116" s="59">
        <f>218-25</f>
        <v>193</v>
      </c>
      <c r="J116" s="64"/>
      <c r="K116" s="59"/>
    </row>
    <row r="117" spans="1:11" x14ac:dyDescent="0.2">
      <c r="A117" s="63">
        <v>96</v>
      </c>
      <c r="B117" s="63" t="s">
        <v>22</v>
      </c>
      <c r="C117" s="62" t="s">
        <v>84</v>
      </c>
      <c r="D117" s="59">
        <f t="shared" si="3"/>
        <v>22654</v>
      </c>
      <c r="E117" s="59">
        <f>1249+5</f>
        <v>1254</v>
      </c>
      <c r="F117" s="58"/>
      <c r="G117" s="58">
        <f>21405-5</f>
        <v>21400</v>
      </c>
      <c r="H117" s="58">
        <v>961</v>
      </c>
      <c r="I117" s="59">
        <v>1140</v>
      </c>
      <c r="J117" s="64"/>
      <c r="K117" s="59"/>
    </row>
    <row r="118" spans="1:11" x14ac:dyDescent="0.2">
      <c r="A118" s="63">
        <v>97</v>
      </c>
      <c r="B118" s="63" t="s">
        <v>388</v>
      </c>
      <c r="C118" s="62" t="s">
        <v>83</v>
      </c>
      <c r="D118" s="59">
        <f t="shared" si="3"/>
        <v>11631</v>
      </c>
      <c r="E118" s="59">
        <v>2400</v>
      </c>
      <c r="F118" s="59"/>
      <c r="G118" s="59">
        <f>9651-200-220</f>
        <v>9231</v>
      </c>
      <c r="H118" s="59"/>
      <c r="I118" s="59"/>
      <c r="J118" s="64"/>
      <c r="K118" s="59"/>
    </row>
    <row r="119" spans="1:11" ht="15" customHeight="1" x14ac:dyDescent="0.2">
      <c r="A119" s="66" t="s">
        <v>82</v>
      </c>
      <c r="B119" s="66"/>
      <c r="C119" s="65"/>
      <c r="D119" s="58">
        <f t="shared" si="3"/>
        <v>0</v>
      </c>
      <c r="E119" s="58"/>
      <c r="F119" s="58"/>
      <c r="G119" s="58"/>
      <c r="H119" s="58"/>
      <c r="I119" s="67"/>
      <c r="J119" s="64"/>
      <c r="K119" s="67"/>
    </row>
    <row r="120" spans="1:11" x14ac:dyDescent="0.2">
      <c r="A120" s="63">
        <v>98</v>
      </c>
      <c r="B120" s="63" t="s">
        <v>385</v>
      </c>
      <c r="C120" s="62" t="s">
        <v>72</v>
      </c>
      <c r="D120" s="59">
        <f t="shared" si="3"/>
        <v>18453</v>
      </c>
      <c r="E120" s="58">
        <f>904-1+9</f>
        <v>912</v>
      </c>
      <c r="F120" s="58">
        <v>100</v>
      </c>
      <c r="G120" s="58">
        <f>17540+1</f>
        <v>17541</v>
      </c>
      <c r="H120" s="58">
        <v>296</v>
      </c>
      <c r="I120" s="59">
        <f>719+13</f>
        <v>732</v>
      </c>
      <c r="J120" s="64"/>
      <c r="K120" s="64"/>
    </row>
    <row r="121" spans="1:11" x14ac:dyDescent="0.2">
      <c r="A121" s="63">
        <v>99</v>
      </c>
      <c r="B121" s="63" t="s">
        <v>309</v>
      </c>
      <c r="C121" s="62" t="s">
        <v>81</v>
      </c>
      <c r="D121" s="59">
        <f t="shared" si="3"/>
        <v>339</v>
      </c>
      <c r="E121" s="58">
        <v>250</v>
      </c>
      <c r="F121" s="58"/>
      <c r="G121" s="58">
        <v>89</v>
      </c>
      <c r="H121" s="58"/>
      <c r="I121" s="58"/>
      <c r="J121" s="64"/>
      <c r="K121" s="64"/>
    </row>
    <row r="122" spans="1:11" x14ac:dyDescent="0.2">
      <c r="A122" s="66" t="s">
        <v>80</v>
      </c>
      <c r="B122" s="66"/>
      <c r="C122" s="65"/>
      <c r="D122" s="58">
        <f t="shared" si="3"/>
        <v>0</v>
      </c>
      <c r="E122" s="58"/>
      <c r="F122" s="59"/>
      <c r="G122" s="59"/>
      <c r="H122" s="59"/>
      <c r="I122" s="58"/>
      <c r="J122" s="64"/>
      <c r="K122" s="64"/>
    </row>
    <row r="123" spans="1:11" x14ac:dyDescent="0.2">
      <c r="A123" s="63">
        <v>103</v>
      </c>
      <c r="B123" s="63" t="s">
        <v>392</v>
      </c>
      <c r="C123" s="62" t="s">
        <v>5</v>
      </c>
      <c r="D123" s="59">
        <f t="shared" si="3"/>
        <v>27228</v>
      </c>
      <c r="E123" s="58">
        <f>2395-70+3+2</f>
        <v>2330</v>
      </c>
      <c r="F123" s="58">
        <v>130</v>
      </c>
      <c r="G123" s="58">
        <f>25094-220+26-2</f>
        <v>24898</v>
      </c>
      <c r="H123" s="58">
        <v>997</v>
      </c>
      <c r="I123" s="59">
        <f>1238+300</f>
        <v>1538</v>
      </c>
      <c r="J123" s="64"/>
      <c r="K123" s="64"/>
    </row>
    <row r="124" spans="1:11" x14ac:dyDescent="0.2">
      <c r="A124" s="63">
        <v>100</v>
      </c>
      <c r="B124" s="63" t="s">
        <v>384</v>
      </c>
      <c r="C124" s="62" t="s">
        <v>69</v>
      </c>
      <c r="D124" s="59">
        <f t="shared" si="3"/>
        <v>5799</v>
      </c>
      <c r="E124" s="59">
        <v>210</v>
      </c>
      <c r="F124" s="59"/>
      <c r="G124" s="59">
        <v>5589</v>
      </c>
      <c r="H124" s="59">
        <v>1575</v>
      </c>
      <c r="I124" s="58"/>
      <c r="J124" s="64"/>
      <c r="K124" s="64"/>
    </row>
    <row r="125" spans="1:11" ht="14.25" customHeight="1" x14ac:dyDescent="0.2">
      <c r="A125" s="63">
        <v>101</v>
      </c>
      <c r="B125" s="63" t="s">
        <v>444</v>
      </c>
      <c r="C125" s="62" t="s">
        <v>79</v>
      </c>
      <c r="D125" s="59">
        <f t="shared" si="3"/>
        <v>21519</v>
      </c>
      <c r="E125" s="58">
        <f>1568-1+70</f>
        <v>1637</v>
      </c>
      <c r="F125" s="58">
        <v>150</v>
      </c>
      <c r="G125" s="58">
        <f>19952-70</f>
        <v>19882</v>
      </c>
      <c r="H125" s="58">
        <v>796</v>
      </c>
      <c r="I125" s="58">
        <v>3029</v>
      </c>
      <c r="J125" s="64"/>
      <c r="K125" s="64"/>
    </row>
    <row r="126" spans="1:11" x14ac:dyDescent="0.2">
      <c r="A126" s="63">
        <v>102</v>
      </c>
      <c r="B126" s="63" t="s">
        <v>28</v>
      </c>
      <c r="C126" s="62" t="s">
        <v>66</v>
      </c>
      <c r="D126" s="59">
        <f t="shared" si="3"/>
        <v>1257</v>
      </c>
      <c r="E126" s="58">
        <v>200</v>
      </c>
      <c r="F126" s="58"/>
      <c r="G126" s="58">
        <f>810+200</f>
        <v>1010</v>
      </c>
      <c r="H126" s="58"/>
      <c r="I126" s="58"/>
      <c r="J126" s="64"/>
      <c r="K126" s="58">
        <f>74-27</f>
        <v>47</v>
      </c>
    </row>
    <row r="127" spans="1:11" s="432" customFormat="1" x14ac:dyDescent="0.2">
      <c r="A127" s="61"/>
      <c r="B127" s="61"/>
      <c r="C127" s="431" t="s">
        <v>29</v>
      </c>
      <c r="D127" s="56">
        <f t="shared" si="3"/>
        <v>703580</v>
      </c>
      <c r="E127" s="56">
        <f t="shared" ref="E127:K127" si="4">SUM(E8:E126)</f>
        <v>19273</v>
      </c>
      <c r="F127" s="56">
        <f t="shared" si="4"/>
        <v>1924</v>
      </c>
      <c r="G127" s="56">
        <f t="shared" si="4"/>
        <v>677176</v>
      </c>
      <c r="H127" s="56">
        <f t="shared" si="4"/>
        <v>18020</v>
      </c>
      <c r="I127" s="56">
        <f t="shared" si="4"/>
        <v>38102</v>
      </c>
      <c r="J127" s="56">
        <f t="shared" si="4"/>
        <v>5635</v>
      </c>
      <c r="K127" s="56">
        <f t="shared" si="4"/>
        <v>1496</v>
      </c>
    </row>
    <row r="128" spans="1:11" ht="24" x14ac:dyDescent="0.2">
      <c r="A128" s="61"/>
      <c r="B128" s="61"/>
      <c r="C128" s="60" t="s">
        <v>78</v>
      </c>
      <c r="D128" s="59">
        <f t="shared" si="3"/>
        <v>15258</v>
      </c>
      <c r="E128" s="58"/>
      <c r="F128" s="58"/>
      <c r="G128" s="57">
        <v>15258</v>
      </c>
      <c r="H128" s="58"/>
      <c r="I128" s="57">
        <v>650</v>
      </c>
      <c r="J128" s="57"/>
      <c r="K128" s="57"/>
    </row>
    <row r="129" spans="1:11" x14ac:dyDescent="0.2">
      <c r="A129" s="61"/>
      <c r="B129" s="61"/>
      <c r="C129" s="60" t="s">
        <v>1</v>
      </c>
      <c r="D129" s="59">
        <f t="shared" si="3"/>
        <v>50</v>
      </c>
      <c r="E129" s="58">
        <v>50</v>
      </c>
      <c r="F129" s="58"/>
      <c r="G129" s="57">
        <f>2836+12-2848</f>
        <v>0</v>
      </c>
      <c r="H129" s="58"/>
      <c r="I129" s="57"/>
      <c r="J129" s="57"/>
      <c r="K129" s="57"/>
    </row>
    <row r="130" spans="1:11" x14ac:dyDescent="0.2">
      <c r="A130" s="433" t="s">
        <v>8</v>
      </c>
      <c r="B130" s="433"/>
      <c r="C130" s="433"/>
      <c r="D130" s="56">
        <f>D127+D128+D129</f>
        <v>718888</v>
      </c>
      <c r="E130" s="56">
        <f t="shared" ref="E130:K130" si="5">E127+E128+E129</f>
        <v>19323</v>
      </c>
      <c r="F130" s="56">
        <f t="shared" si="5"/>
        <v>1924</v>
      </c>
      <c r="G130" s="56">
        <f t="shared" si="5"/>
        <v>692434</v>
      </c>
      <c r="H130" s="56">
        <f t="shared" si="5"/>
        <v>18020</v>
      </c>
      <c r="I130" s="56">
        <f t="shared" si="5"/>
        <v>38752</v>
      </c>
      <c r="J130" s="56">
        <f t="shared" si="5"/>
        <v>5635</v>
      </c>
      <c r="K130" s="56">
        <f t="shared" si="5"/>
        <v>1496</v>
      </c>
    </row>
  </sheetData>
  <mergeCells count="11">
    <mergeCell ref="A130:C130"/>
    <mergeCell ref="A1:J1"/>
    <mergeCell ref="A3:A5"/>
    <mergeCell ref="B3:B5"/>
    <mergeCell ref="C3:C5"/>
    <mergeCell ref="D3:K3"/>
    <mergeCell ref="D4:D5"/>
    <mergeCell ref="E4:E5"/>
    <mergeCell ref="G4:G5"/>
    <mergeCell ref="H4:I4"/>
    <mergeCell ref="J4:K4"/>
  </mergeCells>
  <pageMargins left="0.39370078740157483" right="0" top="0.59055118110236227" bottom="0.59055118110236227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zoomScale="73" zoomScaleNormal="73" workbookViewId="0">
      <pane xSplit="5" ySplit="9" topLeftCell="G10" activePane="bottomRight" state="frozen"/>
      <selection pane="topRight" activeCell="F1" sqref="F1"/>
      <selection pane="bottomLeft" activeCell="A10" sqref="A10"/>
      <selection pane="bottomRight" activeCell="I142" sqref="I142"/>
    </sheetView>
  </sheetViews>
  <sheetFormatPr defaultRowHeight="18.75" x14ac:dyDescent="0.25"/>
  <cols>
    <col min="1" max="1" width="7.42578125" style="340" customWidth="1"/>
    <col min="2" max="2" width="12.42578125" style="340" hidden="1" customWidth="1"/>
    <col min="3" max="3" width="11.140625" style="340" hidden="1" customWidth="1"/>
    <col min="4" max="4" width="11.140625" style="340" customWidth="1"/>
    <col min="5" max="5" width="54" style="341" customWidth="1"/>
    <col min="6" max="6" width="14.140625" style="342" customWidth="1"/>
    <col min="7" max="7" width="12.28515625" style="340" customWidth="1"/>
    <col min="8" max="8" width="12.42578125" style="340" customWidth="1"/>
    <col min="9" max="9" width="15" style="340" customWidth="1"/>
    <col min="10" max="10" width="14.85546875" style="340" customWidth="1"/>
    <col min="11" max="11" width="13.42578125" style="340" customWidth="1"/>
    <col min="12" max="12" width="12" style="340" customWidth="1"/>
    <col min="13" max="13" width="14.140625" style="340" customWidth="1"/>
    <col min="14" max="14" width="12.5703125" style="340" customWidth="1"/>
    <col min="15" max="15" width="10.5703125" style="340" customWidth="1"/>
    <col min="16" max="16" width="11.42578125" style="340" customWidth="1"/>
    <col min="17" max="17" width="12.7109375" style="340" customWidth="1"/>
    <col min="18" max="18" width="14.7109375" style="340" customWidth="1"/>
    <col min="19" max="16384" width="9.140625" style="340"/>
  </cols>
  <sheetData>
    <row r="1" spans="1:19" s="339" customFormat="1" ht="11.25" customHeight="1" x14ac:dyDescent="0.25">
      <c r="A1" s="336"/>
      <c r="B1" s="336"/>
      <c r="C1" s="336"/>
      <c r="D1" s="336"/>
      <c r="E1" s="337"/>
      <c r="F1" s="338"/>
    </row>
    <row r="2" spans="1:19" ht="54" customHeight="1" x14ac:dyDescent="0.25">
      <c r="A2" s="580" t="s">
        <v>665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</row>
    <row r="3" spans="1:19" ht="54" customHeight="1" x14ac:dyDescent="0.25"/>
    <row r="4" spans="1:19" ht="29.25" customHeight="1" x14ac:dyDescent="0.25">
      <c r="A4" s="576" t="s">
        <v>194</v>
      </c>
      <c r="B4" s="343"/>
      <c r="C4" s="343"/>
      <c r="D4" s="576" t="s">
        <v>13</v>
      </c>
      <c r="E4" s="576" t="s">
        <v>198</v>
      </c>
      <c r="F4" s="576" t="s">
        <v>666</v>
      </c>
      <c r="G4" s="582" t="s">
        <v>667</v>
      </c>
      <c r="H4" s="583"/>
      <c r="I4" s="583"/>
      <c r="J4" s="583"/>
      <c r="K4" s="584"/>
      <c r="L4" s="585" t="s">
        <v>668</v>
      </c>
      <c r="M4" s="585"/>
      <c r="N4" s="585"/>
      <c r="O4" s="585"/>
      <c r="P4" s="585"/>
      <c r="Q4" s="585"/>
      <c r="R4" s="585"/>
    </row>
    <row r="5" spans="1:19" ht="25.5" customHeight="1" x14ac:dyDescent="0.25">
      <c r="A5" s="581"/>
      <c r="B5" s="579" t="s">
        <v>669</v>
      </c>
      <c r="C5" s="579" t="s">
        <v>670</v>
      </c>
      <c r="D5" s="581"/>
      <c r="E5" s="581"/>
      <c r="F5" s="581"/>
      <c r="G5" s="579" t="s">
        <v>671</v>
      </c>
      <c r="H5" s="586" t="s">
        <v>672</v>
      </c>
      <c r="I5" s="587"/>
      <c r="J5" s="587"/>
      <c r="K5" s="588"/>
      <c r="L5" s="579" t="s">
        <v>673</v>
      </c>
      <c r="M5" s="579" t="s">
        <v>674</v>
      </c>
      <c r="N5" s="579"/>
      <c r="O5" s="579"/>
      <c r="P5" s="579"/>
      <c r="Q5" s="579"/>
      <c r="R5" s="579"/>
    </row>
    <row r="6" spans="1:19" ht="54" customHeight="1" x14ac:dyDescent="0.25">
      <c r="A6" s="581"/>
      <c r="B6" s="579"/>
      <c r="C6" s="579"/>
      <c r="D6" s="581"/>
      <c r="E6" s="581"/>
      <c r="F6" s="581"/>
      <c r="G6" s="579"/>
      <c r="H6" s="576" t="s">
        <v>675</v>
      </c>
      <c r="I6" s="344" t="s">
        <v>672</v>
      </c>
      <c r="J6" s="579" t="s">
        <v>676</v>
      </c>
      <c r="K6" s="579"/>
      <c r="L6" s="579"/>
      <c r="M6" s="579" t="s">
        <v>677</v>
      </c>
      <c r="N6" s="579"/>
      <c r="O6" s="579"/>
      <c r="P6" s="579"/>
      <c r="Q6" s="578" t="s">
        <v>678</v>
      </c>
      <c r="R6" s="578"/>
    </row>
    <row r="7" spans="1:19" ht="54" customHeight="1" x14ac:dyDescent="0.25">
      <c r="A7" s="581"/>
      <c r="B7" s="579"/>
      <c r="C7" s="579"/>
      <c r="D7" s="581"/>
      <c r="E7" s="581"/>
      <c r="F7" s="581"/>
      <c r="G7" s="579"/>
      <c r="H7" s="581"/>
      <c r="I7" s="576" t="s">
        <v>679</v>
      </c>
      <c r="J7" s="579"/>
      <c r="K7" s="579"/>
      <c r="L7" s="579"/>
      <c r="M7" s="579" t="s">
        <v>676</v>
      </c>
      <c r="N7" s="579"/>
      <c r="O7" s="578" t="s">
        <v>680</v>
      </c>
      <c r="P7" s="578" t="s">
        <v>681</v>
      </c>
      <c r="Q7" s="578" t="s">
        <v>682</v>
      </c>
      <c r="R7" s="578" t="s">
        <v>555</v>
      </c>
    </row>
    <row r="8" spans="1:19" ht="65.25" customHeight="1" x14ac:dyDescent="0.25">
      <c r="A8" s="577"/>
      <c r="B8" s="579"/>
      <c r="C8" s="579"/>
      <c r="D8" s="577"/>
      <c r="E8" s="577"/>
      <c r="F8" s="577"/>
      <c r="G8" s="579"/>
      <c r="H8" s="577"/>
      <c r="I8" s="577"/>
      <c r="J8" s="344" t="s">
        <v>683</v>
      </c>
      <c r="K8" s="344" t="s">
        <v>684</v>
      </c>
      <c r="L8" s="579"/>
      <c r="M8" s="344" t="s">
        <v>683</v>
      </c>
      <c r="N8" s="344" t="s">
        <v>684</v>
      </c>
      <c r="O8" s="578"/>
      <c r="P8" s="578"/>
      <c r="Q8" s="578"/>
      <c r="R8" s="578"/>
    </row>
    <row r="9" spans="1:19" s="345" customFormat="1" ht="22.5" customHeight="1" x14ac:dyDescent="0.25">
      <c r="A9" s="242">
        <v>1</v>
      </c>
      <c r="B9" s="242">
        <v>2</v>
      </c>
      <c r="C9" s="242">
        <v>5</v>
      </c>
      <c r="D9" s="242">
        <v>2</v>
      </c>
      <c r="E9" s="242">
        <v>3</v>
      </c>
      <c r="F9" s="242">
        <v>4</v>
      </c>
      <c r="G9" s="242">
        <v>5</v>
      </c>
      <c r="H9" s="242">
        <v>6</v>
      </c>
      <c r="I9" s="242">
        <v>7</v>
      </c>
      <c r="J9" s="242">
        <v>8</v>
      </c>
      <c r="K9" s="242">
        <v>9</v>
      </c>
      <c r="L9" s="242">
        <v>10</v>
      </c>
      <c r="M9" s="242">
        <v>11</v>
      </c>
      <c r="N9" s="242">
        <v>12</v>
      </c>
      <c r="O9" s="242">
        <v>13</v>
      </c>
      <c r="P9" s="242">
        <v>14</v>
      </c>
      <c r="Q9" s="242">
        <v>15</v>
      </c>
      <c r="R9" s="242">
        <v>16</v>
      </c>
    </row>
    <row r="10" spans="1:19" x14ac:dyDescent="0.25">
      <c r="A10" s="344">
        <v>1</v>
      </c>
      <c r="B10" s="344" t="s">
        <v>685</v>
      </c>
      <c r="C10" s="344" t="s">
        <v>686</v>
      </c>
      <c r="D10" s="344" t="s">
        <v>217</v>
      </c>
      <c r="E10" s="346" t="s">
        <v>182</v>
      </c>
      <c r="F10" s="344">
        <f>G10+L10</f>
        <v>21515</v>
      </c>
      <c r="G10" s="347">
        <f>H10+J10+K10</f>
        <v>5319</v>
      </c>
      <c r="H10" s="347">
        <v>5319</v>
      </c>
      <c r="I10" s="347">
        <v>830</v>
      </c>
      <c r="J10" s="347">
        <v>0</v>
      </c>
      <c r="K10" s="347"/>
      <c r="L10" s="347">
        <f>M10+N10+O10+P10+Q10+R10</f>
        <v>16196</v>
      </c>
      <c r="M10" s="347"/>
      <c r="N10" s="347"/>
      <c r="O10" s="347"/>
      <c r="P10" s="347"/>
      <c r="Q10" s="347">
        <v>1617</v>
      </c>
      <c r="R10" s="347">
        <v>14579</v>
      </c>
      <c r="S10" s="348"/>
    </row>
    <row r="11" spans="1:19" x14ac:dyDescent="0.25">
      <c r="A11" s="344">
        <v>2</v>
      </c>
      <c r="B11" s="344" t="s">
        <v>687</v>
      </c>
      <c r="C11" s="344" t="s">
        <v>686</v>
      </c>
      <c r="D11" s="344" t="s">
        <v>271</v>
      </c>
      <c r="E11" s="346" t="s">
        <v>151</v>
      </c>
      <c r="F11" s="344">
        <f t="shared" ref="F11:F13" si="0">G11+L11</f>
        <v>20292</v>
      </c>
      <c r="G11" s="347">
        <f t="shared" ref="G11:G13" si="1">H11+J11+K11</f>
        <v>5065</v>
      </c>
      <c r="H11" s="347">
        <v>5065</v>
      </c>
      <c r="I11" s="347">
        <v>294</v>
      </c>
      <c r="J11" s="347">
        <v>0</v>
      </c>
      <c r="K11" s="347"/>
      <c r="L11" s="347">
        <f t="shared" ref="L11:L74" si="2">M11+N11+O11+P11+Q11+R11</f>
        <v>15227</v>
      </c>
      <c r="M11" s="347"/>
      <c r="N11" s="347"/>
      <c r="O11" s="347"/>
      <c r="P11" s="347"/>
      <c r="Q11" s="347">
        <v>1006</v>
      </c>
      <c r="R11" s="347">
        <v>14221</v>
      </c>
      <c r="S11" s="348"/>
    </row>
    <row r="12" spans="1:19" x14ac:dyDescent="0.25">
      <c r="A12" s="344">
        <v>3</v>
      </c>
      <c r="B12" s="344" t="s">
        <v>688</v>
      </c>
      <c r="C12" s="344" t="s">
        <v>686</v>
      </c>
      <c r="D12" s="344" t="s">
        <v>216</v>
      </c>
      <c r="E12" s="346" t="s">
        <v>183</v>
      </c>
      <c r="F12" s="344">
        <f t="shared" si="0"/>
        <v>9126</v>
      </c>
      <c r="G12" s="347">
        <f t="shared" si="1"/>
        <v>2279</v>
      </c>
      <c r="H12" s="347">
        <v>2279</v>
      </c>
      <c r="I12" s="347">
        <v>494</v>
      </c>
      <c r="J12" s="347">
        <v>0</v>
      </c>
      <c r="K12" s="347"/>
      <c r="L12" s="347">
        <f t="shared" si="2"/>
        <v>6847</v>
      </c>
      <c r="M12" s="347"/>
      <c r="N12" s="347"/>
      <c r="O12" s="347"/>
      <c r="P12" s="347"/>
      <c r="Q12" s="347">
        <v>2455</v>
      </c>
      <c r="R12" s="347">
        <v>4392</v>
      </c>
      <c r="S12" s="348"/>
    </row>
    <row r="13" spans="1:19" x14ac:dyDescent="0.25">
      <c r="A13" s="344">
        <v>4</v>
      </c>
      <c r="B13" s="344" t="s">
        <v>689</v>
      </c>
      <c r="C13" s="344" t="s">
        <v>686</v>
      </c>
      <c r="D13" s="344" t="s">
        <v>218</v>
      </c>
      <c r="E13" s="346" t="s">
        <v>181</v>
      </c>
      <c r="F13" s="344">
        <f t="shared" si="0"/>
        <v>10315</v>
      </c>
      <c r="G13" s="347">
        <f t="shared" si="1"/>
        <v>2573</v>
      </c>
      <c r="H13" s="347">
        <v>2573</v>
      </c>
      <c r="I13" s="347">
        <v>118</v>
      </c>
      <c r="J13" s="347">
        <v>0</v>
      </c>
      <c r="K13" s="347"/>
      <c r="L13" s="347">
        <f t="shared" si="2"/>
        <v>7742</v>
      </c>
      <c r="M13" s="347"/>
      <c r="N13" s="347"/>
      <c r="O13" s="347"/>
      <c r="P13" s="347"/>
      <c r="Q13" s="347">
        <v>57</v>
      </c>
      <c r="R13" s="347">
        <v>7685</v>
      </c>
      <c r="S13" s="348"/>
    </row>
    <row r="14" spans="1:19" x14ac:dyDescent="0.25">
      <c r="A14" s="344">
        <v>5</v>
      </c>
      <c r="B14" s="344" t="s">
        <v>690</v>
      </c>
      <c r="C14" s="344" t="s">
        <v>686</v>
      </c>
      <c r="D14" s="344" t="s">
        <v>273</v>
      </c>
      <c r="E14" s="346" t="s">
        <v>149</v>
      </c>
      <c r="F14" s="344">
        <f>G14+L14</f>
        <v>17262</v>
      </c>
      <c r="G14" s="347">
        <f>H14+J14+K14</f>
        <v>3770</v>
      </c>
      <c r="H14" s="347">
        <v>3770</v>
      </c>
      <c r="I14" s="347">
        <v>289</v>
      </c>
      <c r="J14" s="347">
        <v>0</v>
      </c>
      <c r="K14" s="347"/>
      <c r="L14" s="347">
        <f t="shared" si="2"/>
        <v>13492</v>
      </c>
      <c r="M14" s="347"/>
      <c r="N14" s="347"/>
      <c r="O14" s="347"/>
      <c r="P14" s="347"/>
      <c r="Q14" s="347">
        <v>536</v>
      </c>
      <c r="R14" s="347">
        <v>12956</v>
      </c>
      <c r="S14" s="348"/>
    </row>
    <row r="15" spans="1:19" x14ac:dyDescent="0.25">
      <c r="A15" s="344">
        <v>6</v>
      </c>
      <c r="B15" s="344" t="s">
        <v>691</v>
      </c>
      <c r="C15" s="344" t="s">
        <v>686</v>
      </c>
      <c r="D15" s="344" t="s">
        <v>219</v>
      </c>
      <c r="E15" s="346" t="s">
        <v>180</v>
      </c>
      <c r="F15" s="344">
        <f t="shared" ref="F15:F78" si="3">G15+L15</f>
        <v>29089</v>
      </c>
      <c r="G15" s="347">
        <f t="shared" ref="G15:G78" si="4">H15+J15+K15</f>
        <v>7215</v>
      </c>
      <c r="H15" s="347">
        <v>7215</v>
      </c>
      <c r="I15" s="347">
        <v>786</v>
      </c>
      <c r="J15" s="347">
        <v>0</v>
      </c>
      <c r="K15" s="347"/>
      <c r="L15" s="347">
        <f t="shared" si="2"/>
        <v>21874</v>
      </c>
      <c r="M15" s="347"/>
      <c r="N15" s="347"/>
      <c r="O15" s="347"/>
      <c r="P15" s="347"/>
      <c r="Q15" s="347">
        <v>3716</v>
      </c>
      <c r="R15" s="347">
        <v>18158</v>
      </c>
      <c r="S15" s="348"/>
    </row>
    <row r="16" spans="1:19" x14ac:dyDescent="0.25">
      <c r="A16" s="344">
        <v>7</v>
      </c>
      <c r="B16" s="344" t="s">
        <v>692</v>
      </c>
      <c r="C16" s="344" t="s">
        <v>686</v>
      </c>
      <c r="D16" s="344" t="s">
        <v>220</v>
      </c>
      <c r="E16" s="346" t="s">
        <v>179</v>
      </c>
      <c r="F16" s="344">
        <f t="shared" si="3"/>
        <v>14157</v>
      </c>
      <c r="G16" s="347">
        <f t="shared" si="4"/>
        <v>3528</v>
      </c>
      <c r="H16" s="347">
        <v>3528</v>
      </c>
      <c r="I16" s="347">
        <v>1241</v>
      </c>
      <c r="J16" s="347">
        <v>0</v>
      </c>
      <c r="K16" s="347"/>
      <c r="L16" s="347">
        <f t="shared" si="2"/>
        <v>10629</v>
      </c>
      <c r="M16" s="347"/>
      <c r="N16" s="347"/>
      <c r="O16" s="347"/>
      <c r="P16" s="347"/>
      <c r="Q16" s="347">
        <v>2889</v>
      </c>
      <c r="R16" s="347">
        <v>7740</v>
      </c>
      <c r="S16" s="348"/>
    </row>
    <row r="17" spans="1:19" x14ac:dyDescent="0.25">
      <c r="A17" s="344">
        <v>8</v>
      </c>
      <c r="B17" s="344" t="s">
        <v>693</v>
      </c>
      <c r="C17" s="344" t="s">
        <v>686</v>
      </c>
      <c r="D17" s="344" t="s">
        <v>221</v>
      </c>
      <c r="E17" s="346" t="s">
        <v>178</v>
      </c>
      <c r="F17" s="344">
        <f t="shared" si="3"/>
        <v>10342</v>
      </c>
      <c r="G17" s="347">
        <f t="shared" si="4"/>
        <v>2577</v>
      </c>
      <c r="H17" s="347">
        <v>2577</v>
      </c>
      <c r="I17" s="347">
        <v>335</v>
      </c>
      <c r="J17" s="347">
        <v>0</v>
      </c>
      <c r="K17" s="347"/>
      <c r="L17" s="347">
        <f t="shared" si="2"/>
        <v>7765</v>
      </c>
      <c r="M17" s="347"/>
      <c r="N17" s="347"/>
      <c r="O17" s="347"/>
      <c r="P17" s="347"/>
      <c r="Q17" s="347">
        <v>1335</v>
      </c>
      <c r="R17" s="347">
        <v>6430</v>
      </c>
      <c r="S17" s="348"/>
    </row>
    <row r="18" spans="1:19" x14ac:dyDescent="0.25">
      <c r="A18" s="344">
        <v>9</v>
      </c>
      <c r="B18" s="344" t="s">
        <v>694</v>
      </c>
      <c r="C18" s="344" t="s">
        <v>695</v>
      </c>
      <c r="D18" s="344" t="s">
        <v>222</v>
      </c>
      <c r="E18" s="346" t="s">
        <v>111</v>
      </c>
      <c r="F18" s="344">
        <f t="shared" si="3"/>
        <v>48134</v>
      </c>
      <c r="G18" s="347">
        <f t="shared" si="4"/>
        <v>11977</v>
      </c>
      <c r="H18" s="347">
        <v>11977</v>
      </c>
      <c r="I18" s="347">
        <v>608</v>
      </c>
      <c r="J18" s="347">
        <v>0</v>
      </c>
      <c r="K18" s="347"/>
      <c r="L18" s="347">
        <f t="shared" si="2"/>
        <v>36157</v>
      </c>
      <c r="M18" s="347"/>
      <c r="N18" s="347"/>
      <c r="O18" s="347"/>
      <c r="P18" s="347"/>
      <c r="Q18" s="347">
        <v>456</v>
      </c>
      <c r="R18" s="347">
        <v>35701</v>
      </c>
      <c r="S18" s="348"/>
    </row>
    <row r="19" spans="1:19" x14ac:dyDescent="0.25">
      <c r="A19" s="344">
        <v>10</v>
      </c>
      <c r="B19" s="344" t="s">
        <v>696</v>
      </c>
      <c r="C19" s="344" t="s">
        <v>686</v>
      </c>
      <c r="D19" s="344" t="s">
        <v>223</v>
      </c>
      <c r="E19" s="346" t="s">
        <v>177</v>
      </c>
      <c r="F19" s="344">
        <f t="shared" si="3"/>
        <v>9562</v>
      </c>
      <c r="G19" s="347">
        <f t="shared" si="4"/>
        <v>2388</v>
      </c>
      <c r="H19" s="347">
        <v>2388</v>
      </c>
      <c r="I19" s="347">
        <v>2</v>
      </c>
      <c r="J19" s="347">
        <v>0</v>
      </c>
      <c r="K19" s="347"/>
      <c r="L19" s="347">
        <f t="shared" si="2"/>
        <v>7174</v>
      </c>
      <c r="M19" s="347"/>
      <c r="N19" s="347"/>
      <c r="O19" s="347"/>
      <c r="P19" s="347"/>
      <c r="Q19" s="347">
        <v>28</v>
      </c>
      <c r="R19" s="347">
        <v>7146</v>
      </c>
      <c r="S19" s="348"/>
    </row>
    <row r="20" spans="1:19" x14ac:dyDescent="0.25">
      <c r="A20" s="344">
        <v>11</v>
      </c>
      <c r="B20" s="344" t="s">
        <v>697</v>
      </c>
      <c r="C20" s="344" t="s">
        <v>698</v>
      </c>
      <c r="D20" s="344" t="s">
        <v>27</v>
      </c>
      <c r="E20" s="346" t="s">
        <v>4</v>
      </c>
      <c r="F20" s="344">
        <f t="shared" si="3"/>
        <v>53592</v>
      </c>
      <c r="G20" s="347">
        <f t="shared" si="4"/>
        <v>13390</v>
      </c>
      <c r="H20" s="347">
        <v>13390</v>
      </c>
      <c r="I20" s="347">
        <v>1847</v>
      </c>
      <c r="J20" s="347">
        <v>0</v>
      </c>
      <c r="K20" s="347"/>
      <c r="L20" s="347">
        <f t="shared" si="2"/>
        <v>40202</v>
      </c>
      <c r="M20" s="347"/>
      <c r="N20" s="347"/>
      <c r="O20" s="347"/>
      <c r="P20" s="347"/>
      <c r="Q20" s="347">
        <v>4653</v>
      </c>
      <c r="R20" s="347">
        <v>35549</v>
      </c>
      <c r="S20" s="348"/>
    </row>
    <row r="21" spans="1:19" x14ac:dyDescent="0.25">
      <c r="A21" s="344">
        <v>12</v>
      </c>
      <c r="B21" s="344" t="s">
        <v>699</v>
      </c>
      <c r="C21" s="344" t="s">
        <v>686</v>
      </c>
      <c r="D21" s="344" t="s">
        <v>224</v>
      </c>
      <c r="E21" s="346" t="s">
        <v>176</v>
      </c>
      <c r="F21" s="344">
        <f t="shared" si="3"/>
        <v>10682</v>
      </c>
      <c r="G21" s="347">
        <f t="shared" si="4"/>
        <v>2625</v>
      </c>
      <c r="H21" s="347">
        <v>2625</v>
      </c>
      <c r="I21" s="347">
        <v>262</v>
      </c>
      <c r="J21" s="347">
        <v>0</v>
      </c>
      <c r="K21" s="347"/>
      <c r="L21" s="347">
        <f t="shared" si="2"/>
        <v>8057</v>
      </c>
      <c r="M21" s="347"/>
      <c r="N21" s="347"/>
      <c r="O21" s="347"/>
      <c r="P21" s="347"/>
      <c r="Q21" s="347">
        <v>1088</v>
      </c>
      <c r="R21" s="347">
        <v>6969</v>
      </c>
      <c r="S21" s="348"/>
    </row>
    <row r="22" spans="1:19" x14ac:dyDescent="0.25">
      <c r="A22" s="344">
        <v>13</v>
      </c>
      <c r="B22" s="344" t="s">
        <v>699</v>
      </c>
      <c r="C22" s="344" t="s">
        <v>686</v>
      </c>
      <c r="D22" s="344" t="s">
        <v>596</v>
      </c>
      <c r="E22" s="346" t="s">
        <v>700</v>
      </c>
      <c r="F22" s="344">
        <f t="shared" si="3"/>
        <v>56</v>
      </c>
      <c r="G22" s="347">
        <f t="shared" si="4"/>
        <v>19</v>
      </c>
      <c r="H22" s="347">
        <v>19</v>
      </c>
      <c r="I22" s="347">
        <v>19</v>
      </c>
      <c r="J22" s="347">
        <v>0</v>
      </c>
      <c r="K22" s="347"/>
      <c r="L22" s="347">
        <f t="shared" si="2"/>
        <v>37</v>
      </c>
      <c r="M22" s="347"/>
      <c r="N22" s="347"/>
      <c r="O22" s="347"/>
      <c r="P22" s="347">
        <v>37</v>
      </c>
      <c r="Q22" s="347"/>
      <c r="R22" s="347"/>
      <c r="S22" s="348"/>
    </row>
    <row r="23" spans="1:19" x14ac:dyDescent="0.25">
      <c r="A23" s="344">
        <v>14</v>
      </c>
      <c r="B23" s="344" t="s">
        <v>699</v>
      </c>
      <c r="C23" s="344" t="s">
        <v>686</v>
      </c>
      <c r="D23" s="344" t="s">
        <v>598</v>
      </c>
      <c r="E23" s="346" t="s">
        <v>701</v>
      </c>
      <c r="F23" s="344">
        <f t="shared" si="3"/>
        <v>52</v>
      </c>
      <c r="G23" s="347">
        <f t="shared" si="4"/>
        <v>36</v>
      </c>
      <c r="H23" s="347">
        <v>36</v>
      </c>
      <c r="I23" s="347">
        <v>36</v>
      </c>
      <c r="J23" s="347">
        <v>0</v>
      </c>
      <c r="K23" s="347"/>
      <c r="L23" s="347">
        <f t="shared" si="2"/>
        <v>16</v>
      </c>
      <c r="M23" s="347"/>
      <c r="N23" s="347"/>
      <c r="O23" s="347"/>
      <c r="P23" s="347">
        <v>16</v>
      </c>
      <c r="Q23" s="347"/>
      <c r="R23" s="347"/>
      <c r="S23" s="348"/>
    </row>
    <row r="24" spans="1:19" x14ac:dyDescent="0.25">
      <c r="A24" s="344">
        <v>15</v>
      </c>
      <c r="B24" s="344" t="s">
        <v>702</v>
      </c>
      <c r="C24" s="344" t="s">
        <v>698</v>
      </c>
      <c r="D24" s="344" t="s">
        <v>225</v>
      </c>
      <c r="E24" s="346" t="s">
        <v>110</v>
      </c>
      <c r="F24" s="344">
        <f t="shared" si="3"/>
        <v>30679</v>
      </c>
      <c r="G24" s="347">
        <f t="shared" si="4"/>
        <v>7433</v>
      </c>
      <c r="H24" s="347">
        <v>7433</v>
      </c>
      <c r="I24" s="347">
        <v>0</v>
      </c>
      <c r="J24" s="347">
        <v>0</v>
      </c>
      <c r="K24" s="347"/>
      <c r="L24" s="347">
        <f t="shared" si="2"/>
        <v>23246</v>
      </c>
      <c r="M24" s="347"/>
      <c r="N24" s="347"/>
      <c r="O24" s="347"/>
      <c r="P24" s="347"/>
      <c r="Q24" s="347">
        <v>831</v>
      </c>
      <c r="R24" s="347">
        <v>22415</v>
      </c>
      <c r="S24" s="348"/>
    </row>
    <row r="25" spans="1:19" x14ac:dyDescent="0.25">
      <c r="A25" s="344">
        <v>16</v>
      </c>
      <c r="B25" s="344" t="s">
        <v>703</v>
      </c>
      <c r="C25" s="344" t="s">
        <v>686</v>
      </c>
      <c r="D25" s="344" t="s">
        <v>556</v>
      </c>
      <c r="E25" s="346" t="s">
        <v>704</v>
      </c>
      <c r="F25" s="344">
        <f t="shared" si="3"/>
        <v>275</v>
      </c>
      <c r="G25" s="347">
        <f t="shared" si="4"/>
        <v>275</v>
      </c>
      <c r="H25" s="347">
        <v>275</v>
      </c>
      <c r="I25" s="347">
        <v>275</v>
      </c>
      <c r="J25" s="347">
        <v>0</v>
      </c>
      <c r="K25" s="347"/>
      <c r="L25" s="347">
        <f t="shared" si="2"/>
        <v>0</v>
      </c>
      <c r="M25" s="347"/>
      <c r="N25" s="347"/>
      <c r="O25" s="347"/>
      <c r="P25" s="347"/>
      <c r="Q25" s="347">
        <v>0</v>
      </c>
      <c r="R25" s="347">
        <v>0</v>
      </c>
      <c r="S25" s="348"/>
    </row>
    <row r="26" spans="1:19" x14ac:dyDescent="0.25">
      <c r="A26" s="344">
        <v>17</v>
      </c>
      <c r="B26" s="344" t="s">
        <v>705</v>
      </c>
      <c r="C26" s="344" t="s">
        <v>686</v>
      </c>
      <c r="D26" s="344" t="s">
        <v>281</v>
      </c>
      <c r="E26" s="346" t="s">
        <v>144</v>
      </c>
      <c r="F26" s="344">
        <f t="shared" si="3"/>
        <v>11732</v>
      </c>
      <c r="G26" s="347">
        <f t="shared" si="4"/>
        <v>2931</v>
      </c>
      <c r="H26" s="347">
        <v>2931</v>
      </c>
      <c r="I26" s="347">
        <v>228</v>
      </c>
      <c r="J26" s="347">
        <v>0</v>
      </c>
      <c r="K26" s="347"/>
      <c r="L26" s="347">
        <f t="shared" si="2"/>
        <v>8801</v>
      </c>
      <c r="M26" s="347"/>
      <c r="N26" s="347"/>
      <c r="O26" s="347"/>
      <c r="P26" s="347"/>
      <c r="Q26" s="347">
        <v>272</v>
      </c>
      <c r="R26" s="347">
        <v>8529</v>
      </c>
      <c r="S26" s="348"/>
    </row>
    <row r="27" spans="1:19" x14ac:dyDescent="0.25">
      <c r="A27" s="344">
        <v>18</v>
      </c>
      <c r="B27" s="344" t="s">
        <v>706</v>
      </c>
      <c r="C27" s="344" t="s">
        <v>686</v>
      </c>
      <c r="D27" s="344" t="s">
        <v>226</v>
      </c>
      <c r="E27" s="346" t="s">
        <v>175</v>
      </c>
      <c r="F27" s="344">
        <f t="shared" si="3"/>
        <v>25429</v>
      </c>
      <c r="G27" s="347">
        <f t="shared" si="4"/>
        <v>6287</v>
      </c>
      <c r="H27" s="347">
        <v>6287</v>
      </c>
      <c r="I27" s="347">
        <v>2248</v>
      </c>
      <c r="J27" s="347">
        <v>0</v>
      </c>
      <c r="K27" s="347"/>
      <c r="L27" s="347">
        <f t="shared" si="2"/>
        <v>19142</v>
      </c>
      <c r="M27" s="347"/>
      <c r="N27" s="347"/>
      <c r="O27" s="347"/>
      <c r="P27" s="347"/>
      <c r="Q27" s="347">
        <v>620</v>
      </c>
      <c r="R27" s="347">
        <v>18522</v>
      </c>
      <c r="S27" s="348"/>
    </row>
    <row r="28" spans="1:19" x14ac:dyDescent="0.25">
      <c r="A28" s="344">
        <v>19</v>
      </c>
      <c r="B28" s="344" t="s">
        <v>707</v>
      </c>
      <c r="C28" s="344" t="s">
        <v>686</v>
      </c>
      <c r="D28" s="344" t="s">
        <v>647</v>
      </c>
      <c r="E28" s="346" t="s">
        <v>708</v>
      </c>
      <c r="F28" s="344">
        <f t="shared" si="3"/>
        <v>63</v>
      </c>
      <c r="G28" s="347">
        <f t="shared" si="4"/>
        <v>63</v>
      </c>
      <c r="H28" s="347">
        <v>63</v>
      </c>
      <c r="I28" s="347">
        <v>63</v>
      </c>
      <c r="J28" s="347">
        <v>0</v>
      </c>
      <c r="K28" s="347"/>
      <c r="L28" s="347">
        <f t="shared" si="2"/>
        <v>0</v>
      </c>
      <c r="M28" s="347"/>
      <c r="N28" s="347"/>
      <c r="O28" s="347"/>
      <c r="P28" s="347">
        <v>0</v>
      </c>
      <c r="Q28" s="347"/>
      <c r="R28" s="347"/>
      <c r="S28" s="348"/>
    </row>
    <row r="29" spans="1:19" x14ac:dyDescent="0.25">
      <c r="A29" s="344">
        <v>20</v>
      </c>
      <c r="B29" s="344" t="s">
        <v>709</v>
      </c>
      <c r="C29" s="344" t="s">
        <v>686</v>
      </c>
      <c r="D29" s="344" t="s">
        <v>228</v>
      </c>
      <c r="E29" s="346" t="s">
        <v>173</v>
      </c>
      <c r="F29" s="344">
        <f t="shared" si="3"/>
        <v>14101</v>
      </c>
      <c r="G29" s="347">
        <f t="shared" si="4"/>
        <v>3512</v>
      </c>
      <c r="H29" s="347">
        <v>3512</v>
      </c>
      <c r="I29" s="347">
        <v>338</v>
      </c>
      <c r="J29" s="347">
        <v>0</v>
      </c>
      <c r="K29" s="347"/>
      <c r="L29" s="347">
        <f t="shared" si="2"/>
        <v>10589</v>
      </c>
      <c r="M29" s="347"/>
      <c r="N29" s="347"/>
      <c r="O29" s="347"/>
      <c r="P29" s="347"/>
      <c r="Q29" s="347">
        <v>822</v>
      </c>
      <c r="R29" s="347">
        <v>9767</v>
      </c>
      <c r="S29" s="348"/>
    </row>
    <row r="30" spans="1:19" x14ac:dyDescent="0.25">
      <c r="A30" s="344">
        <v>21</v>
      </c>
      <c r="B30" s="344" t="s">
        <v>710</v>
      </c>
      <c r="C30" s="344" t="s">
        <v>686</v>
      </c>
      <c r="D30" s="344" t="s">
        <v>229</v>
      </c>
      <c r="E30" s="346" t="s">
        <v>172</v>
      </c>
      <c r="F30" s="344">
        <f t="shared" si="3"/>
        <v>11498</v>
      </c>
      <c r="G30" s="347">
        <f t="shared" si="4"/>
        <v>2799</v>
      </c>
      <c r="H30" s="347">
        <v>2799</v>
      </c>
      <c r="I30" s="347">
        <v>632</v>
      </c>
      <c r="J30" s="347">
        <v>0</v>
      </c>
      <c r="K30" s="347"/>
      <c r="L30" s="347">
        <f t="shared" si="2"/>
        <v>8699</v>
      </c>
      <c r="M30" s="347"/>
      <c r="N30" s="347"/>
      <c r="O30" s="347"/>
      <c r="P30" s="347"/>
      <c r="Q30" s="347">
        <v>1509</v>
      </c>
      <c r="R30" s="347">
        <v>7190</v>
      </c>
      <c r="S30" s="348"/>
    </row>
    <row r="31" spans="1:19" x14ac:dyDescent="0.25">
      <c r="A31" s="344">
        <v>22</v>
      </c>
      <c r="B31" s="344" t="s">
        <v>711</v>
      </c>
      <c r="C31" s="344" t="s">
        <v>686</v>
      </c>
      <c r="D31" s="344" t="s">
        <v>230</v>
      </c>
      <c r="E31" s="346" t="s">
        <v>171</v>
      </c>
      <c r="F31" s="344">
        <f t="shared" si="3"/>
        <v>8916</v>
      </c>
      <c r="G31" s="347">
        <f t="shared" si="4"/>
        <v>2221</v>
      </c>
      <c r="H31" s="347">
        <v>2221</v>
      </c>
      <c r="I31" s="347">
        <v>426</v>
      </c>
      <c r="J31" s="347">
        <v>0</v>
      </c>
      <c r="K31" s="347"/>
      <c r="L31" s="347">
        <f t="shared" si="2"/>
        <v>6695</v>
      </c>
      <c r="M31" s="347"/>
      <c r="N31" s="347"/>
      <c r="O31" s="347"/>
      <c r="P31" s="347"/>
      <c r="Q31" s="347">
        <v>1746</v>
      </c>
      <c r="R31" s="347">
        <v>4949</v>
      </c>
      <c r="S31" s="348"/>
    </row>
    <row r="32" spans="1:19" x14ac:dyDescent="0.25">
      <c r="A32" s="344">
        <v>23</v>
      </c>
      <c r="B32" s="344" t="s">
        <v>712</v>
      </c>
      <c r="C32" s="344" t="s">
        <v>686</v>
      </c>
      <c r="D32" s="344" t="s">
        <v>262</v>
      </c>
      <c r="E32" s="346" t="s">
        <v>158</v>
      </c>
      <c r="F32" s="344">
        <f t="shared" si="3"/>
        <v>16731</v>
      </c>
      <c r="G32" s="347">
        <f t="shared" si="4"/>
        <v>4169</v>
      </c>
      <c r="H32" s="347">
        <v>4169</v>
      </c>
      <c r="I32" s="347">
        <v>313</v>
      </c>
      <c r="J32" s="347">
        <v>0</v>
      </c>
      <c r="K32" s="347"/>
      <c r="L32" s="347">
        <f t="shared" si="2"/>
        <v>12562</v>
      </c>
      <c r="M32" s="347"/>
      <c r="N32" s="347"/>
      <c r="O32" s="347"/>
      <c r="P32" s="347"/>
      <c r="Q32" s="347">
        <v>768</v>
      </c>
      <c r="R32" s="347">
        <v>11794</v>
      </c>
      <c r="S32" s="348"/>
    </row>
    <row r="33" spans="1:19" x14ac:dyDescent="0.25">
      <c r="A33" s="344">
        <v>24</v>
      </c>
      <c r="B33" s="344" t="s">
        <v>713</v>
      </c>
      <c r="C33" s="344" t="s">
        <v>686</v>
      </c>
      <c r="D33" s="344" t="s">
        <v>250</v>
      </c>
      <c r="E33" s="346" t="s">
        <v>168</v>
      </c>
      <c r="F33" s="344">
        <f t="shared" si="3"/>
        <v>19583</v>
      </c>
      <c r="G33" s="347">
        <f t="shared" si="4"/>
        <v>4896</v>
      </c>
      <c r="H33" s="347">
        <v>4896</v>
      </c>
      <c r="I33" s="347">
        <v>60</v>
      </c>
      <c r="J33" s="347">
        <v>0</v>
      </c>
      <c r="K33" s="347"/>
      <c r="L33" s="347">
        <f t="shared" si="2"/>
        <v>14687</v>
      </c>
      <c r="M33" s="347"/>
      <c r="N33" s="347"/>
      <c r="O33" s="347"/>
      <c r="P33" s="347"/>
      <c r="Q33" s="347">
        <v>3474</v>
      </c>
      <c r="R33" s="347">
        <v>11213</v>
      </c>
      <c r="S33" s="348"/>
    </row>
    <row r="34" spans="1:19" x14ac:dyDescent="0.25">
      <c r="A34" s="344">
        <v>25</v>
      </c>
      <c r="B34" s="344" t="s">
        <v>714</v>
      </c>
      <c r="C34" s="344" t="s">
        <v>715</v>
      </c>
      <c r="D34" s="344" t="s">
        <v>266</v>
      </c>
      <c r="E34" s="346" t="s">
        <v>59</v>
      </c>
      <c r="F34" s="344">
        <f t="shared" si="3"/>
        <v>15052</v>
      </c>
      <c r="G34" s="347">
        <f t="shared" si="4"/>
        <v>3731</v>
      </c>
      <c r="H34" s="347">
        <v>3731</v>
      </c>
      <c r="I34" s="347">
        <v>268</v>
      </c>
      <c r="J34" s="347">
        <v>0</v>
      </c>
      <c r="K34" s="347"/>
      <c r="L34" s="347">
        <f t="shared" si="2"/>
        <v>11321</v>
      </c>
      <c r="M34" s="347"/>
      <c r="N34" s="347"/>
      <c r="O34" s="347"/>
      <c r="P34" s="347"/>
      <c r="Q34" s="347">
        <v>752</v>
      </c>
      <c r="R34" s="347">
        <v>10569</v>
      </c>
      <c r="S34" s="348"/>
    </row>
    <row r="35" spans="1:19" x14ac:dyDescent="0.25">
      <c r="A35" s="344">
        <v>26</v>
      </c>
      <c r="B35" s="344" t="s">
        <v>716</v>
      </c>
      <c r="C35" s="344" t="s">
        <v>698</v>
      </c>
      <c r="D35" s="344" t="s">
        <v>251</v>
      </c>
      <c r="E35" s="346" t="s">
        <v>108</v>
      </c>
      <c r="F35" s="344">
        <f t="shared" si="3"/>
        <v>30119</v>
      </c>
      <c r="G35" s="347">
        <f t="shared" si="4"/>
        <v>7176</v>
      </c>
      <c r="H35" s="347">
        <v>7176</v>
      </c>
      <c r="I35" s="347">
        <v>1</v>
      </c>
      <c r="J35" s="347">
        <v>0</v>
      </c>
      <c r="K35" s="347"/>
      <c r="L35" s="347">
        <f t="shared" si="2"/>
        <v>22943</v>
      </c>
      <c r="M35" s="347"/>
      <c r="N35" s="347"/>
      <c r="O35" s="347"/>
      <c r="P35" s="347"/>
      <c r="Q35" s="347">
        <v>1355</v>
      </c>
      <c r="R35" s="347">
        <v>21588</v>
      </c>
      <c r="S35" s="348"/>
    </row>
    <row r="36" spans="1:19" x14ac:dyDescent="0.25">
      <c r="A36" s="344">
        <v>27</v>
      </c>
      <c r="B36" s="344" t="s">
        <v>717</v>
      </c>
      <c r="C36" s="344" t="s">
        <v>686</v>
      </c>
      <c r="D36" s="344" t="s">
        <v>558</v>
      </c>
      <c r="E36" s="346" t="s">
        <v>559</v>
      </c>
      <c r="F36" s="344">
        <f t="shared" si="3"/>
        <v>450</v>
      </c>
      <c r="G36" s="347">
        <f t="shared" si="4"/>
        <v>450</v>
      </c>
      <c r="H36" s="347">
        <v>450</v>
      </c>
      <c r="I36" s="347">
        <v>450</v>
      </c>
      <c r="J36" s="347">
        <v>0</v>
      </c>
      <c r="K36" s="347"/>
      <c r="L36" s="347">
        <f t="shared" si="2"/>
        <v>0</v>
      </c>
      <c r="M36" s="347"/>
      <c r="N36" s="347"/>
      <c r="O36" s="347"/>
      <c r="P36" s="347"/>
      <c r="Q36" s="347">
        <v>0</v>
      </c>
      <c r="R36" s="347">
        <v>0</v>
      </c>
      <c r="S36" s="348"/>
    </row>
    <row r="37" spans="1:19" x14ac:dyDescent="0.25">
      <c r="A37" s="344">
        <v>28</v>
      </c>
      <c r="B37" s="344" t="s">
        <v>718</v>
      </c>
      <c r="C37" s="344" t="s">
        <v>686</v>
      </c>
      <c r="D37" s="344" t="s">
        <v>252</v>
      </c>
      <c r="E37" s="346" t="s">
        <v>167</v>
      </c>
      <c r="F37" s="344">
        <f t="shared" si="3"/>
        <v>6922</v>
      </c>
      <c r="G37" s="347">
        <f t="shared" si="4"/>
        <v>1729</v>
      </c>
      <c r="H37" s="347">
        <v>1729</v>
      </c>
      <c r="I37" s="347">
        <v>48</v>
      </c>
      <c r="J37" s="347">
        <v>0</v>
      </c>
      <c r="K37" s="347"/>
      <c r="L37" s="347">
        <f t="shared" si="2"/>
        <v>5193</v>
      </c>
      <c r="M37" s="347"/>
      <c r="N37" s="347"/>
      <c r="O37" s="347"/>
      <c r="P37" s="347"/>
      <c r="Q37" s="347">
        <v>166</v>
      </c>
      <c r="R37" s="347">
        <v>5027</v>
      </c>
      <c r="S37" s="348"/>
    </row>
    <row r="38" spans="1:19" x14ac:dyDescent="0.25">
      <c r="A38" s="344">
        <v>29</v>
      </c>
      <c r="B38" s="344" t="s">
        <v>719</v>
      </c>
      <c r="C38" s="344" t="s">
        <v>686</v>
      </c>
      <c r="D38" s="344" t="s">
        <v>255</v>
      </c>
      <c r="E38" s="346" t="s">
        <v>164</v>
      </c>
      <c r="F38" s="344">
        <f t="shared" si="3"/>
        <v>13405</v>
      </c>
      <c r="G38" s="347">
        <f t="shared" si="4"/>
        <v>3339</v>
      </c>
      <c r="H38" s="347">
        <v>3339</v>
      </c>
      <c r="I38" s="347">
        <v>0</v>
      </c>
      <c r="J38" s="347">
        <v>0</v>
      </c>
      <c r="K38" s="347"/>
      <c r="L38" s="347">
        <f t="shared" si="2"/>
        <v>10066</v>
      </c>
      <c r="M38" s="347"/>
      <c r="N38" s="347"/>
      <c r="O38" s="347"/>
      <c r="P38" s="347"/>
      <c r="Q38" s="347">
        <v>0</v>
      </c>
      <c r="R38" s="347">
        <v>10066</v>
      </c>
      <c r="S38" s="348"/>
    </row>
    <row r="39" spans="1:19" x14ac:dyDescent="0.25">
      <c r="A39" s="344">
        <v>30</v>
      </c>
      <c r="B39" s="344" t="s">
        <v>720</v>
      </c>
      <c r="C39" s="344" t="s">
        <v>686</v>
      </c>
      <c r="D39" s="344" t="s">
        <v>253</v>
      </c>
      <c r="E39" s="346" t="s">
        <v>166</v>
      </c>
      <c r="F39" s="344">
        <f t="shared" si="3"/>
        <v>7388</v>
      </c>
      <c r="G39" s="347">
        <f t="shared" si="4"/>
        <v>1820</v>
      </c>
      <c r="H39" s="347">
        <v>1820</v>
      </c>
      <c r="I39" s="347">
        <v>72</v>
      </c>
      <c r="J39" s="347">
        <v>0</v>
      </c>
      <c r="K39" s="347"/>
      <c r="L39" s="347">
        <f t="shared" si="2"/>
        <v>5568</v>
      </c>
      <c r="M39" s="347"/>
      <c r="N39" s="347"/>
      <c r="O39" s="347"/>
      <c r="P39" s="347"/>
      <c r="Q39" s="347">
        <v>541</v>
      </c>
      <c r="R39" s="347">
        <v>5027</v>
      </c>
      <c r="S39" s="348"/>
    </row>
    <row r="40" spans="1:19" x14ac:dyDescent="0.25">
      <c r="A40" s="344">
        <v>31</v>
      </c>
      <c r="B40" s="344" t="s">
        <v>721</v>
      </c>
      <c r="C40" s="344" t="s">
        <v>686</v>
      </c>
      <c r="D40" s="344" t="s">
        <v>254</v>
      </c>
      <c r="E40" s="346" t="s">
        <v>165</v>
      </c>
      <c r="F40" s="344">
        <f t="shared" si="3"/>
        <v>27518</v>
      </c>
      <c r="G40" s="347">
        <f t="shared" si="4"/>
        <v>6862</v>
      </c>
      <c r="H40" s="347">
        <v>6862</v>
      </c>
      <c r="I40" s="347">
        <v>359</v>
      </c>
      <c r="J40" s="347">
        <v>0</v>
      </c>
      <c r="K40" s="347"/>
      <c r="L40" s="347">
        <f t="shared" si="2"/>
        <v>20656</v>
      </c>
      <c r="M40" s="347"/>
      <c r="N40" s="347"/>
      <c r="O40" s="347"/>
      <c r="P40" s="347"/>
      <c r="Q40" s="347">
        <v>2459</v>
      </c>
      <c r="R40" s="347">
        <v>18197</v>
      </c>
      <c r="S40" s="348"/>
    </row>
    <row r="41" spans="1:19" x14ac:dyDescent="0.25">
      <c r="A41" s="344">
        <v>32</v>
      </c>
      <c r="B41" s="344" t="s">
        <v>722</v>
      </c>
      <c r="C41" s="344" t="s">
        <v>686</v>
      </c>
      <c r="D41" s="344" t="s">
        <v>232</v>
      </c>
      <c r="E41" s="346" t="s">
        <v>169</v>
      </c>
      <c r="F41" s="344">
        <f t="shared" si="3"/>
        <v>16636</v>
      </c>
      <c r="G41" s="347">
        <f t="shared" si="4"/>
        <v>4158</v>
      </c>
      <c r="H41" s="347">
        <v>4158</v>
      </c>
      <c r="I41" s="347">
        <v>875</v>
      </c>
      <c r="J41" s="347">
        <v>0</v>
      </c>
      <c r="K41" s="347"/>
      <c r="L41" s="347">
        <f t="shared" si="2"/>
        <v>12478</v>
      </c>
      <c r="M41" s="347"/>
      <c r="N41" s="347"/>
      <c r="O41" s="347"/>
      <c r="P41" s="347"/>
      <c r="Q41" s="347">
        <v>3505</v>
      </c>
      <c r="R41" s="347">
        <v>8973</v>
      </c>
      <c r="S41" s="348"/>
    </row>
    <row r="42" spans="1:19" x14ac:dyDescent="0.25">
      <c r="A42" s="344">
        <v>33</v>
      </c>
      <c r="B42" s="344" t="s">
        <v>723</v>
      </c>
      <c r="C42" s="344" t="s">
        <v>695</v>
      </c>
      <c r="D42" s="344" t="s">
        <v>256</v>
      </c>
      <c r="E42" s="346" t="s">
        <v>107</v>
      </c>
      <c r="F42" s="344">
        <f t="shared" si="3"/>
        <v>44220</v>
      </c>
      <c r="G42" s="347">
        <f t="shared" si="4"/>
        <v>11040</v>
      </c>
      <c r="H42" s="347">
        <v>11040</v>
      </c>
      <c r="I42" s="347">
        <v>2089</v>
      </c>
      <c r="J42" s="347">
        <v>0</v>
      </c>
      <c r="K42" s="347"/>
      <c r="L42" s="347">
        <f t="shared" si="2"/>
        <v>33180</v>
      </c>
      <c r="M42" s="347"/>
      <c r="N42" s="347"/>
      <c r="O42" s="347"/>
      <c r="P42" s="347"/>
      <c r="Q42" s="347">
        <v>3511</v>
      </c>
      <c r="R42" s="347">
        <v>29669</v>
      </c>
      <c r="S42" s="348"/>
    </row>
    <row r="43" spans="1:19" x14ac:dyDescent="0.25">
      <c r="A43" s="344">
        <v>34</v>
      </c>
      <c r="B43" s="344" t="s">
        <v>724</v>
      </c>
      <c r="C43" s="344" t="s">
        <v>686</v>
      </c>
      <c r="D43" s="344" t="s">
        <v>257</v>
      </c>
      <c r="E43" s="346" t="s">
        <v>163</v>
      </c>
      <c r="F43" s="344">
        <f t="shared" si="3"/>
        <v>12892</v>
      </c>
      <c r="G43" s="347">
        <f t="shared" si="4"/>
        <v>3215</v>
      </c>
      <c r="H43" s="347">
        <v>3215</v>
      </c>
      <c r="I43" s="347">
        <v>298</v>
      </c>
      <c r="J43" s="347">
        <v>0</v>
      </c>
      <c r="K43" s="347"/>
      <c r="L43" s="347">
        <f t="shared" si="2"/>
        <v>9677</v>
      </c>
      <c r="M43" s="347"/>
      <c r="N43" s="347"/>
      <c r="O43" s="347"/>
      <c r="P43" s="347"/>
      <c r="Q43" s="347">
        <v>1085</v>
      </c>
      <c r="R43" s="347">
        <v>8592</v>
      </c>
      <c r="S43" s="348"/>
    </row>
    <row r="44" spans="1:19" x14ac:dyDescent="0.25">
      <c r="A44" s="344">
        <v>35</v>
      </c>
      <c r="B44" s="344" t="s">
        <v>725</v>
      </c>
      <c r="C44" s="344" t="s">
        <v>686</v>
      </c>
      <c r="D44" s="344" t="s">
        <v>258</v>
      </c>
      <c r="E44" s="346" t="s">
        <v>162</v>
      </c>
      <c r="F44" s="344">
        <f t="shared" si="3"/>
        <v>11818</v>
      </c>
      <c r="G44" s="347">
        <f t="shared" si="4"/>
        <v>2948</v>
      </c>
      <c r="H44" s="347">
        <v>2948</v>
      </c>
      <c r="I44" s="347">
        <v>841</v>
      </c>
      <c r="J44" s="347">
        <v>0</v>
      </c>
      <c r="K44" s="347"/>
      <c r="L44" s="347">
        <f t="shared" si="2"/>
        <v>8870</v>
      </c>
      <c r="M44" s="347"/>
      <c r="N44" s="347"/>
      <c r="O44" s="347"/>
      <c r="P44" s="347"/>
      <c r="Q44" s="347">
        <v>3090</v>
      </c>
      <c r="R44" s="347">
        <v>5780</v>
      </c>
      <c r="S44" s="348"/>
    </row>
    <row r="45" spans="1:19" x14ac:dyDescent="0.25">
      <c r="A45" s="344">
        <v>36</v>
      </c>
      <c r="B45" s="344" t="s">
        <v>726</v>
      </c>
      <c r="C45" s="344" t="s">
        <v>686</v>
      </c>
      <c r="D45" s="344" t="s">
        <v>259</v>
      </c>
      <c r="E45" s="346" t="s">
        <v>161</v>
      </c>
      <c r="F45" s="344">
        <f t="shared" si="3"/>
        <v>24139</v>
      </c>
      <c r="G45" s="347">
        <f t="shared" si="4"/>
        <v>6030</v>
      </c>
      <c r="H45" s="347">
        <v>6030</v>
      </c>
      <c r="I45" s="347">
        <v>533</v>
      </c>
      <c r="J45" s="347">
        <v>0</v>
      </c>
      <c r="K45" s="347"/>
      <c r="L45" s="347">
        <f t="shared" si="2"/>
        <v>18109</v>
      </c>
      <c r="M45" s="347"/>
      <c r="N45" s="347"/>
      <c r="O45" s="347"/>
      <c r="P45" s="347"/>
      <c r="Q45" s="347">
        <v>1966</v>
      </c>
      <c r="R45" s="347">
        <v>16143</v>
      </c>
      <c r="S45" s="348"/>
    </row>
    <row r="46" spans="1:19" x14ac:dyDescent="0.25">
      <c r="A46" s="344">
        <v>37</v>
      </c>
      <c r="B46" s="344" t="s">
        <v>727</v>
      </c>
      <c r="C46" s="344" t="s">
        <v>686</v>
      </c>
      <c r="D46" s="344" t="s">
        <v>260</v>
      </c>
      <c r="E46" s="346" t="s">
        <v>160</v>
      </c>
      <c r="F46" s="344">
        <f t="shared" si="3"/>
        <v>8605</v>
      </c>
      <c r="G46" s="347">
        <f t="shared" si="4"/>
        <v>2148</v>
      </c>
      <c r="H46" s="347">
        <v>2148</v>
      </c>
      <c r="I46" s="347">
        <v>1</v>
      </c>
      <c r="J46" s="347">
        <v>0</v>
      </c>
      <c r="K46" s="347"/>
      <c r="L46" s="347">
        <f t="shared" si="2"/>
        <v>6457</v>
      </c>
      <c r="M46" s="347"/>
      <c r="N46" s="347"/>
      <c r="O46" s="347"/>
      <c r="P46" s="347"/>
      <c r="Q46" s="347">
        <v>0</v>
      </c>
      <c r="R46" s="347">
        <v>6457</v>
      </c>
      <c r="S46" s="348"/>
    </row>
    <row r="47" spans="1:19" x14ac:dyDescent="0.25">
      <c r="A47" s="344">
        <v>38</v>
      </c>
      <c r="B47" s="344" t="s">
        <v>728</v>
      </c>
      <c r="C47" s="344" t="s">
        <v>686</v>
      </c>
      <c r="D47" s="344" t="s">
        <v>261</v>
      </c>
      <c r="E47" s="346" t="s">
        <v>159</v>
      </c>
      <c r="F47" s="344">
        <f t="shared" si="3"/>
        <v>14234</v>
      </c>
      <c r="G47" s="347">
        <f t="shared" si="4"/>
        <v>3555</v>
      </c>
      <c r="H47" s="347">
        <v>3555</v>
      </c>
      <c r="I47" s="347">
        <v>127</v>
      </c>
      <c r="J47" s="347">
        <v>0</v>
      </c>
      <c r="K47" s="347"/>
      <c r="L47" s="347">
        <f t="shared" si="2"/>
        <v>10679</v>
      </c>
      <c r="M47" s="347"/>
      <c r="N47" s="347"/>
      <c r="O47" s="347"/>
      <c r="P47" s="347"/>
      <c r="Q47" s="347">
        <v>190</v>
      </c>
      <c r="R47" s="347">
        <v>10489</v>
      </c>
      <c r="S47" s="348"/>
    </row>
    <row r="48" spans="1:19" x14ac:dyDescent="0.25">
      <c r="A48" s="344">
        <v>39</v>
      </c>
      <c r="B48" s="344" t="s">
        <v>729</v>
      </c>
      <c r="C48" s="344" t="s">
        <v>686</v>
      </c>
      <c r="D48" s="344" t="s">
        <v>269</v>
      </c>
      <c r="E48" s="346" t="s">
        <v>153</v>
      </c>
      <c r="F48" s="344">
        <f t="shared" si="3"/>
        <v>15459</v>
      </c>
      <c r="G48" s="347">
        <f t="shared" si="4"/>
        <v>3855</v>
      </c>
      <c r="H48" s="347">
        <v>3855</v>
      </c>
      <c r="I48" s="347">
        <v>199</v>
      </c>
      <c r="J48" s="347">
        <v>0</v>
      </c>
      <c r="K48" s="347"/>
      <c r="L48" s="347">
        <f t="shared" si="2"/>
        <v>11604</v>
      </c>
      <c r="M48" s="347"/>
      <c r="N48" s="347"/>
      <c r="O48" s="347"/>
      <c r="P48" s="347"/>
      <c r="Q48" s="347">
        <v>236</v>
      </c>
      <c r="R48" s="347">
        <v>11368</v>
      </c>
      <c r="S48" s="348"/>
    </row>
    <row r="49" spans="1:19" x14ac:dyDescent="0.25">
      <c r="A49" s="344">
        <v>40</v>
      </c>
      <c r="B49" s="344" t="s">
        <v>730</v>
      </c>
      <c r="C49" s="344" t="s">
        <v>686</v>
      </c>
      <c r="D49" s="344" t="s">
        <v>263</v>
      </c>
      <c r="E49" s="346" t="s">
        <v>157</v>
      </c>
      <c r="F49" s="344">
        <f t="shared" si="3"/>
        <v>13413</v>
      </c>
      <c r="G49" s="347">
        <f t="shared" si="4"/>
        <v>3353</v>
      </c>
      <c r="H49" s="347">
        <v>3353</v>
      </c>
      <c r="I49" s="347">
        <v>0</v>
      </c>
      <c r="J49" s="347">
        <v>0</v>
      </c>
      <c r="K49" s="347"/>
      <c r="L49" s="347">
        <f t="shared" si="2"/>
        <v>10060</v>
      </c>
      <c r="M49" s="347"/>
      <c r="N49" s="347"/>
      <c r="O49" s="347"/>
      <c r="P49" s="347"/>
      <c r="Q49" s="347">
        <v>0</v>
      </c>
      <c r="R49" s="347">
        <v>10060</v>
      </c>
      <c r="S49" s="348"/>
    </row>
    <row r="50" spans="1:19" x14ac:dyDescent="0.25">
      <c r="A50" s="344">
        <v>41</v>
      </c>
      <c r="B50" s="344" t="s">
        <v>731</v>
      </c>
      <c r="C50" s="344" t="s">
        <v>686</v>
      </c>
      <c r="D50" s="344" t="s">
        <v>285</v>
      </c>
      <c r="E50" s="346" t="s">
        <v>732</v>
      </c>
      <c r="F50" s="344">
        <f t="shared" si="3"/>
        <v>12544</v>
      </c>
      <c r="G50" s="347">
        <f t="shared" si="4"/>
        <v>3071</v>
      </c>
      <c r="H50" s="347">
        <v>3071</v>
      </c>
      <c r="I50" s="347">
        <v>206</v>
      </c>
      <c r="J50" s="347">
        <v>0</v>
      </c>
      <c r="K50" s="347"/>
      <c r="L50" s="347">
        <f t="shared" si="2"/>
        <v>9473</v>
      </c>
      <c r="M50" s="347"/>
      <c r="N50" s="347"/>
      <c r="O50" s="347"/>
      <c r="P50" s="347"/>
      <c r="Q50" s="347">
        <v>194</v>
      </c>
      <c r="R50" s="347">
        <v>9279</v>
      </c>
      <c r="S50" s="348"/>
    </row>
    <row r="51" spans="1:19" x14ac:dyDescent="0.25">
      <c r="A51" s="344">
        <v>42</v>
      </c>
      <c r="B51" s="344" t="s">
        <v>731</v>
      </c>
      <c r="C51" s="344" t="s">
        <v>698</v>
      </c>
      <c r="D51" s="344" t="s">
        <v>233</v>
      </c>
      <c r="E51" s="346" t="s">
        <v>96</v>
      </c>
      <c r="F51" s="344">
        <f t="shared" si="3"/>
        <v>32127</v>
      </c>
      <c r="G51" s="347">
        <f t="shared" si="4"/>
        <v>8028</v>
      </c>
      <c r="H51" s="347">
        <v>8028</v>
      </c>
      <c r="I51" s="347">
        <v>1630</v>
      </c>
      <c r="J51" s="347">
        <v>0</v>
      </c>
      <c r="K51" s="347"/>
      <c r="L51" s="347">
        <f t="shared" si="2"/>
        <v>24099</v>
      </c>
      <c r="M51" s="347"/>
      <c r="N51" s="347"/>
      <c r="O51" s="347"/>
      <c r="P51" s="347"/>
      <c r="Q51" s="347">
        <v>4270</v>
      </c>
      <c r="R51" s="347">
        <v>19829</v>
      </c>
      <c r="S51" s="348"/>
    </row>
    <row r="52" spans="1:19" x14ac:dyDescent="0.25">
      <c r="A52" s="344">
        <v>43</v>
      </c>
      <c r="B52" s="344" t="s">
        <v>733</v>
      </c>
      <c r="C52" s="344" t="s">
        <v>695</v>
      </c>
      <c r="D52" s="344" t="s">
        <v>265</v>
      </c>
      <c r="E52" s="346" t="s">
        <v>106</v>
      </c>
      <c r="F52" s="344">
        <f t="shared" si="3"/>
        <v>42744</v>
      </c>
      <c r="G52" s="347">
        <f t="shared" si="4"/>
        <v>10659</v>
      </c>
      <c r="H52" s="347">
        <v>10659</v>
      </c>
      <c r="I52" s="347">
        <v>1641</v>
      </c>
      <c r="J52" s="347">
        <v>0</v>
      </c>
      <c r="K52" s="347"/>
      <c r="L52" s="347">
        <f t="shared" si="2"/>
        <v>32085</v>
      </c>
      <c r="M52" s="347"/>
      <c r="N52" s="347"/>
      <c r="O52" s="347"/>
      <c r="P52" s="347"/>
      <c r="Q52" s="347">
        <v>4959</v>
      </c>
      <c r="R52" s="347">
        <v>27126</v>
      </c>
      <c r="S52" s="348"/>
    </row>
    <row r="53" spans="1:19" x14ac:dyDescent="0.25">
      <c r="A53" s="344">
        <v>44</v>
      </c>
      <c r="B53" s="344" t="s">
        <v>734</v>
      </c>
      <c r="C53" s="344" t="s">
        <v>686</v>
      </c>
      <c r="D53" s="344" t="s">
        <v>227</v>
      </c>
      <c r="E53" s="346" t="s">
        <v>174</v>
      </c>
      <c r="F53" s="344">
        <f t="shared" si="3"/>
        <v>11485</v>
      </c>
      <c r="G53" s="347">
        <f t="shared" si="4"/>
        <v>2853</v>
      </c>
      <c r="H53" s="347">
        <v>2853</v>
      </c>
      <c r="I53" s="347">
        <v>0</v>
      </c>
      <c r="J53" s="347">
        <v>0</v>
      </c>
      <c r="K53" s="347"/>
      <c r="L53" s="347">
        <f t="shared" si="2"/>
        <v>8632</v>
      </c>
      <c r="M53" s="347"/>
      <c r="N53" s="347"/>
      <c r="O53" s="347"/>
      <c r="P53" s="347"/>
      <c r="Q53" s="347">
        <v>0</v>
      </c>
      <c r="R53" s="347">
        <v>8632</v>
      </c>
      <c r="S53" s="348"/>
    </row>
    <row r="54" spans="1:19" x14ac:dyDescent="0.25">
      <c r="A54" s="344">
        <v>45</v>
      </c>
      <c r="B54" s="344" t="s">
        <v>735</v>
      </c>
      <c r="C54" s="344" t="s">
        <v>686</v>
      </c>
      <c r="D54" s="344" t="s">
        <v>267</v>
      </c>
      <c r="E54" s="346" t="s">
        <v>155</v>
      </c>
      <c r="F54" s="344">
        <f t="shared" si="3"/>
        <v>11722</v>
      </c>
      <c r="G54" s="347">
        <f t="shared" si="4"/>
        <v>2922</v>
      </c>
      <c r="H54" s="347">
        <v>2922</v>
      </c>
      <c r="I54" s="347">
        <v>255</v>
      </c>
      <c r="J54" s="347">
        <v>0</v>
      </c>
      <c r="K54" s="347"/>
      <c r="L54" s="347">
        <f t="shared" si="2"/>
        <v>8800</v>
      </c>
      <c r="M54" s="347"/>
      <c r="N54" s="347"/>
      <c r="O54" s="347"/>
      <c r="P54" s="347"/>
      <c r="Q54" s="347">
        <v>930</v>
      </c>
      <c r="R54" s="347">
        <v>7870</v>
      </c>
      <c r="S54" s="348"/>
    </row>
    <row r="55" spans="1:19" x14ac:dyDescent="0.25">
      <c r="A55" s="344">
        <v>46</v>
      </c>
      <c r="B55" s="344" t="s">
        <v>736</v>
      </c>
      <c r="C55" s="344" t="s">
        <v>686</v>
      </c>
      <c r="D55" s="344" t="s">
        <v>268</v>
      </c>
      <c r="E55" s="346" t="s">
        <v>154</v>
      </c>
      <c r="F55" s="344">
        <f t="shared" si="3"/>
        <v>13796</v>
      </c>
      <c r="G55" s="347">
        <f t="shared" si="4"/>
        <v>3384</v>
      </c>
      <c r="H55" s="347">
        <v>3384</v>
      </c>
      <c r="I55" s="347">
        <v>545</v>
      </c>
      <c r="J55" s="347">
        <v>0</v>
      </c>
      <c r="K55" s="347"/>
      <c r="L55" s="347">
        <f t="shared" si="2"/>
        <v>10412</v>
      </c>
      <c r="M55" s="347"/>
      <c r="N55" s="347"/>
      <c r="O55" s="347"/>
      <c r="P55" s="347"/>
      <c r="Q55" s="347">
        <v>1855</v>
      </c>
      <c r="R55" s="347">
        <v>8557</v>
      </c>
      <c r="S55" s="348"/>
    </row>
    <row r="56" spans="1:19" x14ac:dyDescent="0.25">
      <c r="A56" s="344">
        <v>47</v>
      </c>
      <c r="B56" s="344" t="s">
        <v>736</v>
      </c>
      <c r="C56" s="344" t="s">
        <v>686</v>
      </c>
      <c r="D56" s="344" t="s">
        <v>601</v>
      </c>
      <c r="E56" s="346" t="s">
        <v>737</v>
      </c>
      <c r="F56" s="344">
        <f t="shared" si="3"/>
        <v>29</v>
      </c>
      <c r="G56" s="347">
        <f t="shared" si="4"/>
        <v>22</v>
      </c>
      <c r="H56" s="347">
        <v>22</v>
      </c>
      <c r="I56" s="347">
        <v>22</v>
      </c>
      <c r="J56" s="347">
        <v>0</v>
      </c>
      <c r="K56" s="347"/>
      <c r="L56" s="347">
        <f t="shared" si="2"/>
        <v>7</v>
      </c>
      <c r="M56" s="347"/>
      <c r="N56" s="347"/>
      <c r="O56" s="347"/>
      <c r="P56" s="347">
        <v>7</v>
      </c>
      <c r="Q56" s="347"/>
      <c r="R56" s="347"/>
      <c r="S56" s="348"/>
    </row>
    <row r="57" spans="1:19" x14ac:dyDescent="0.25">
      <c r="A57" s="344">
        <v>48</v>
      </c>
      <c r="B57" s="344" t="s">
        <v>738</v>
      </c>
      <c r="C57" s="344" t="s">
        <v>686</v>
      </c>
      <c r="D57" s="344" t="s">
        <v>270</v>
      </c>
      <c r="E57" s="346" t="s">
        <v>152</v>
      </c>
      <c r="F57" s="344">
        <f t="shared" si="3"/>
        <v>9893</v>
      </c>
      <c r="G57" s="347">
        <f t="shared" si="4"/>
        <v>2414</v>
      </c>
      <c r="H57" s="347">
        <v>2414</v>
      </c>
      <c r="I57" s="347">
        <v>368</v>
      </c>
      <c r="J57" s="347">
        <v>0</v>
      </c>
      <c r="K57" s="347"/>
      <c r="L57" s="347">
        <f t="shared" si="2"/>
        <v>7479</v>
      </c>
      <c r="M57" s="347"/>
      <c r="N57" s="347"/>
      <c r="O57" s="347"/>
      <c r="P57" s="347"/>
      <c r="Q57" s="347">
        <v>1632</v>
      </c>
      <c r="R57" s="347">
        <v>5847</v>
      </c>
      <c r="S57" s="348"/>
    </row>
    <row r="58" spans="1:19" x14ac:dyDescent="0.25">
      <c r="A58" s="344">
        <v>49</v>
      </c>
      <c r="B58" s="344" t="s">
        <v>739</v>
      </c>
      <c r="C58" s="344" t="s">
        <v>686</v>
      </c>
      <c r="D58" s="344" t="s">
        <v>264</v>
      </c>
      <c r="E58" s="346" t="s">
        <v>156</v>
      </c>
      <c r="F58" s="344">
        <f t="shared" si="3"/>
        <v>13017</v>
      </c>
      <c r="G58" s="347">
        <f t="shared" si="4"/>
        <v>3245</v>
      </c>
      <c r="H58" s="347">
        <v>3245</v>
      </c>
      <c r="I58" s="347">
        <v>172</v>
      </c>
      <c r="J58" s="347">
        <v>0</v>
      </c>
      <c r="K58" s="347"/>
      <c r="L58" s="347">
        <f t="shared" si="2"/>
        <v>9772</v>
      </c>
      <c r="M58" s="347"/>
      <c r="N58" s="347"/>
      <c r="O58" s="347"/>
      <c r="P58" s="347"/>
      <c r="Q58" s="347">
        <v>1228</v>
      </c>
      <c r="R58" s="347">
        <v>8544</v>
      </c>
      <c r="S58" s="348"/>
    </row>
    <row r="59" spans="1:19" x14ac:dyDescent="0.25">
      <c r="A59" s="344">
        <v>50</v>
      </c>
      <c r="B59" s="344" t="s">
        <v>740</v>
      </c>
      <c r="C59" s="344" t="s">
        <v>686</v>
      </c>
      <c r="D59" s="344" t="s">
        <v>272</v>
      </c>
      <c r="E59" s="346" t="s">
        <v>150</v>
      </c>
      <c r="F59" s="344">
        <f t="shared" si="3"/>
        <v>9937</v>
      </c>
      <c r="G59" s="347">
        <f t="shared" si="4"/>
        <v>2485</v>
      </c>
      <c r="H59" s="347">
        <v>2485</v>
      </c>
      <c r="I59" s="347">
        <v>0</v>
      </c>
      <c r="J59" s="347">
        <v>0</v>
      </c>
      <c r="K59" s="347"/>
      <c r="L59" s="347">
        <f t="shared" si="2"/>
        <v>7452</v>
      </c>
      <c r="M59" s="347"/>
      <c r="N59" s="347"/>
      <c r="O59" s="347"/>
      <c r="P59" s="347"/>
      <c r="Q59" s="347">
        <v>11</v>
      </c>
      <c r="R59" s="347">
        <v>7441</v>
      </c>
      <c r="S59" s="348"/>
    </row>
    <row r="60" spans="1:19" ht="30" x14ac:dyDescent="0.25">
      <c r="A60" s="344">
        <v>51</v>
      </c>
      <c r="B60" s="344" t="s">
        <v>741</v>
      </c>
      <c r="C60" s="344" t="s">
        <v>686</v>
      </c>
      <c r="D60" s="344" t="s">
        <v>291</v>
      </c>
      <c r="E60" s="346" t="s">
        <v>742</v>
      </c>
      <c r="F60" s="344">
        <f t="shared" si="3"/>
        <v>5151</v>
      </c>
      <c r="G60" s="347">
        <f t="shared" si="4"/>
        <v>5151</v>
      </c>
      <c r="H60" s="347">
        <v>5151</v>
      </c>
      <c r="I60" s="347">
        <v>148</v>
      </c>
      <c r="J60" s="347">
        <v>0</v>
      </c>
      <c r="K60" s="347"/>
      <c r="L60" s="347">
        <f t="shared" si="2"/>
        <v>0</v>
      </c>
      <c r="M60" s="347"/>
      <c r="N60" s="347"/>
      <c r="O60" s="347"/>
      <c r="P60" s="347"/>
      <c r="Q60" s="347">
        <v>0</v>
      </c>
      <c r="R60" s="347">
        <v>0</v>
      </c>
      <c r="S60" s="348"/>
    </row>
    <row r="61" spans="1:19" ht="30" x14ac:dyDescent="0.25">
      <c r="A61" s="344"/>
      <c r="B61" s="344"/>
      <c r="C61" s="344"/>
      <c r="D61" s="344" t="s">
        <v>291</v>
      </c>
      <c r="E61" s="346" t="s">
        <v>743</v>
      </c>
      <c r="F61" s="344">
        <f t="shared" si="3"/>
        <v>14201</v>
      </c>
      <c r="G61" s="347">
        <f t="shared" si="4"/>
        <v>0</v>
      </c>
      <c r="H61" s="347">
        <v>0</v>
      </c>
      <c r="I61" s="347">
        <v>0</v>
      </c>
      <c r="J61" s="349">
        <v>0</v>
      </c>
      <c r="K61" s="349"/>
      <c r="L61" s="347">
        <f t="shared" si="2"/>
        <v>14201</v>
      </c>
      <c r="M61" s="349"/>
      <c r="N61" s="349"/>
      <c r="O61" s="349"/>
      <c r="P61" s="349"/>
      <c r="Q61" s="347">
        <v>4252</v>
      </c>
      <c r="R61" s="347">
        <v>9949</v>
      </c>
      <c r="S61" s="348"/>
    </row>
    <row r="62" spans="1:19" x14ac:dyDescent="0.25">
      <c r="A62" s="344">
        <v>52</v>
      </c>
      <c r="B62" s="344" t="s">
        <v>744</v>
      </c>
      <c r="C62" s="344" t="s">
        <v>686</v>
      </c>
      <c r="D62" s="344" t="s">
        <v>231</v>
      </c>
      <c r="E62" s="346" t="s">
        <v>170</v>
      </c>
      <c r="F62" s="344">
        <f t="shared" si="3"/>
        <v>12330</v>
      </c>
      <c r="G62" s="347">
        <f t="shared" si="4"/>
        <v>3083</v>
      </c>
      <c r="H62" s="347">
        <v>3083</v>
      </c>
      <c r="I62" s="347">
        <v>468</v>
      </c>
      <c r="J62" s="347">
        <v>0</v>
      </c>
      <c r="K62" s="347"/>
      <c r="L62" s="347">
        <f t="shared" si="2"/>
        <v>9247</v>
      </c>
      <c r="M62" s="347"/>
      <c r="N62" s="347"/>
      <c r="O62" s="347"/>
      <c r="P62" s="347"/>
      <c r="Q62" s="347">
        <v>497</v>
      </c>
      <c r="R62" s="347">
        <v>8750</v>
      </c>
      <c r="S62" s="348"/>
    </row>
    <row r="63" spans="1:19" x14ac:dyDescent="0.25">
      <c r="A63" s="344">
        <v>53</v>
      </c>
      <c r="B63" s="344" t="s">
        <v>745</v>
      </c>
      <c r="C63" s="344" t="s">
        <v>698</v>
      </c>
      <c r="D63" s="344" t="s">
        <v>274</v>
      </c>
      <c r="E63" s="346" t="s">
        <v>101</v>
      </c>
      <c r="F63" s="344">
        <f t="shared" si="3"/>
        <v>68685</v>
      </c>
      <c r="G63" s="347">
        <f t="shared" si="4"/>
        <v>17049</v>
      </c>
      <c r="H63" s="347">
        <v>17049</v>
      </c>
      <c r="I63" s="347">
        <v>1044</v>
      </c>
      <c r="J63" s="347">
        <v>0</v>
      </c>
      <c r="K63" s="347"/>
      <c r="L63" s="347">
        <f t="shared" si="2"/>
        <v>51636</v>
      </c>
      <c r="M63" s="347"/>
      <c r="N63" s="347"/>
      <c r="O63" s="347"/>
      <c r="P63" s="347"/>
      <c r="Q63" s="347">
        <v>5938</v>
      </c>
      <c r="R63" s="347">
        <v>45698</v>
      </c>
      <c r="S63" s="348"/>
    </row>
    <row r="64" spans="1:19" x14ac:dyDescent="0.25">
      <c r="A64" s="344">
        <v>54</v>
      </c>
      <c r="B64" s="344" t="s">
        <v>746</v>
      </c>
      <c r="C64" s="344" t="s">
        <v>686</v>
      </c>
      <c r="D64" s="344" t="s">
        <v>293</v>
      </c>
      <c r="E64" s="346" t="s">
        <v>747</v>
      </c>
      <c r="F64" s="344">
        <f t="shared" si="3"/>
        <v>33546</v>
      </c>
      <c r="G64" s="347">
        <f t="shared" si="4"/>
        <v>8381</v>
      </c>
      <c r="H64" s="347">
        <v>8381</v>
      </c>
      <c r="I64" s="347">
        <v>274</v>
      </c>
      <c r="J64" s="347">
        <v>0</v>
      </c>
      <c r="K64" s="347"/>
      <c r="L64" s="347">
        <f t="shared" si="2"/>
        <v>25165</v>
      </c>
      <c r="M64" s="347"/>
      <c r="N64" s="347"/>
      <c r="O64" s="347"/>
      <c r="P64" s="347"/>
      <c r="Q64" s="347">
        <v>2900</v>
      </c>
      <c r="R64" s="347">
        <v>22265</v>
      </c>
      <c r="S64" s="348"/>
    </row>
    <row r="65" spans="1:19" x14ac:dyDescent="0.25">
      <c r="A65" s="344">
        <v>55</v>
      </c>
      <c r="B65" s="344" t="s">
        <v>748</v>
      </c>
      <c r="C65" s="344" t="s">
        <v>695</v>
      </c>
      <c r="D65" s="344" t="s">
        <v>275</v>
      </c>
      <c r="E65" s="346" t="s">
        <v>455</v>
      </c>
      <c r="F65" s="344">
        <f t="shared" si="3"/>
        <v>37664</v>
      </c>
      <c r="G65" s="347">
        <f t="shared" si="4"/>
        <v>9391</v>
      </c>
      <c r="H65" s="347">
        <v>9391</v>
      </c>
      <c r="I65" s="347">
        <v>1508</v>
      </c>
      <c r="J65" s="347">
        <v>0</v>
      </c>
      <c r="K65" s="347"/>
      <c r="L65" s="347">
        <f t="shared" si="2"/>
        <v>28273</v>
      </c>
      <c r="M65" s="347"/>
      <c r="N65" s="347"/>
      <c r="O65" s="347"/>
      <c r="P65" s="347"/>
      <c r="Q65" s="347">
        <v>6191</v>
      </c>
      <c r="R65" s="347">
        <v>22082</v>
      </c>
      <c r="S65" s="348"/>
    </row>
    <row r="66" spans="1:19" x14ac:dyDescent="0.25">
      <c r="A66" s="344">
        <v>56</v>
      </c>
      <c r="B66" s="344" t="s">
        <v>749</v>
      </c>
      <c r="C66" s="344" t="s">
        <v>686</v>
      </c>
      <c r="D66" s="344" t="s">
        <v>276</v>
      </c>
      <c r="E66" s="346" t="s">
        <v>148</v>
      </c>
      <c r="F66" s="344">
        <f t="shared" si="3"/>
        <v>8055</v>
      </c>
      <c r="G66" s="347">
        <f t="shared" si="4"/>
        <v>2013</v>
      </c>
      <c r="H66" s="347">
        <v>2013</v>
      </c>
      <c r="I66" s="347">
        <v>6</v>
      </c>
      <c r="J66" s="347">
        <v>0</v>
      </c>
      <c r="K66" s="347"/>
      <c r="L66" s="347">
        <f t="shared" si="2"/>
        <v>6042</v>
      </c>
      <c r="M66" s="347"/>
      <c r="N66" s="347"/>
      <c r="O66" s="347"/>
      <c r="P66" s="347"/>
      <c r="Q66" s="347">
        <v>36</v>
      </c>
      <c r="R66" s="347">
        <v>6006</v>
      </c>
      <c r="S66" s="348"/>
    </row>
    <row r="67" spans="1:19" x14ac:dyDescent="0.25">
      <c r="A67" s="344">
        <v>57</v>
      </c>
      <c r="B67" s="344" t="s">
        <v>750</v>
      </c>
      <c r="C67" s="344" t="s">
        <v>686</v>
      </c>
      <c r="D67" s="344" t="s">
        <v>215</v>
      </c>
      <c r="E67" s="346" t="s">
        <v>184</v>
      </c>
      <c r="F67" s="344">
        <f t="shared" si="3"/>
        <v>15509</v>
      </c>
      <c r="G67" s="347">
        <f t="shared" si="4"/>
        <v>3859</v>
      </c>
      <c r="H67" s="347">
        <v>3859</v>
      </c>
      <c r="I67" s="347">
        <v>781</v>
      </c>
      <c r="J67" s="347">
        <v>0</v>
      </c>
      <c r="K67" s="347"/>
      <c r="L67" s="347">
        <f t="shared" si="2"/>
        <v>11650</v>
      </c>
      <c r="M67" s="347"/>
      <c r="N67" s="347"/>
      <c r="O67" s="347"/>
      <c r="P67" s="347"/>
      <c r="Q67" s="347">
        <v>2961</v>
      </c>
      <c r="R67" s="347">
        <v>8689</v>
      </c>
      <c r="S67" s="348"/>
    </row>
    <row r="68" spans="1:19" x14ac:dyDescent="0.25">
      <c r="A68" s="344">
        <v>58</v>
      </c>
      <c r="B68" s="344" t="s">
        <v>751</v>
      </c>
      <c r="C68" s="344" t="s">
        <v>686</v>
      </c>
      <c r="D68" s="344" t="s">
        <v>278</v>
      </c>
      <c r="E68" s="346" t="s">
        <v>147</v>
      </c>
      <c r="F68" s="344">
        <f t="shared" si="3"/>
        <v>14771</v>
      </c>
      <c r="G68" s="347">
        <f t="shared" si="4"/>
        <v>3651</v>
      </c>
      <c r="H68" s="347">
        <v>3651</v>
      </c>
      <c r="I68" s="347">
        <v>859</v>
      </c>
      <c r="J68" s="347">
        <v>0</v>
      </c>
      <c r="K68" s="347"/>
      <c r="L68" s="347">
        <f t="shared" si="2"/>
        <v>11120</v>
      </c>
      <c r="M68" s="347"/>
      <c r="N68" s="347"/>
      <c r="O68" s="347"/>
      <c r="P68" s="347"/>
      <c r="Q68" s="347">
        <v>2891</v>
      </c>
      <c r="R68" s="347">
        <v>8229</v>
      </c>
      <c r="S68" s="348"/>
    </row>
    <row r="69" spans="1:19" x14ac:dyDescent="0.25">
      <c r="A69" s="344">
        <v>59</v>
      </c>
      <c r="B69" s="344" t="s">
        <v>752</v>
      </c>
      <c r="C69" s="344" t="s">
        <v>686</v>
      </c>
      <c r="D69" s="344" t="s">
        <v>279</v>
      </c>
      <c r="E69" s="346" t="s">
        <v>146</v>
      </c>
      <c r="F69" s="344">
        <f t="shared" si="3"/>
        <v>24858</v>
      </c>
      <c r="G69" s="347">
        <f t="shared" si="4"/>
        <v>6205</v>
      </c>
      <c r="H69" s="347">
        <v>6205</v>
      </c>
      <c r="I69" s="347">
        <v>26</v>
      </c>
      <c r="J69" s="347">
        <v>0</v>
      </c>
      <c r="K69" s="347"/>
      <c r="L69" s="347">
        <f t="shared" si="2"/>
        <v>18653</v>
      </c>
      <c r="M69" s="347"/>
      <c r="N69" s="347"/>
      <c r="O69" s="347"/>
      <c r="P69" s="347"/>
      <c r="Q69" s="347">
        <v>424</v>
      </c>
      <c r="R69" s="347">
        <v>18229</v>
      </c>
      <c r="S69" s="348"/>
    </row>
    <row r="70" spans="1:19" x14ac:dyDescent="0.25">
      <c r="A70" s="344">
        <v>60</v>
      </c>
      <c r="B70" s="344" t="s">
        <v>753</v>
      </c>
      <c r="C70" s="344" t="s">
        <v>686</v>
      </c>
      <c r="D70" s="344" t="s">
        <v>280</v>
      </c>
      <c r="E70" s="346" t="s">
        <v>145</v>
      </c>
      <c r="F70" s="344">
        <f t="shared" si="3"/>
        <v>11087</v>
      </c>
      <c r="G70" s="347">
        <f t="shared" si="4"/>
        <v>2766</v>
      </c>
      <c r="H70" s="347">
        <v>2766</v>
      </c>
      <c r="I70" s="347">
        <v>400</v>
      </c>
      <c r="J70" s="347">
        <v>0</v>
      </c>
      <c r="K70" s="347"/>
      <c r="L70" s="347">
        <f t="shared" si="2"/>
        <v>8321</v>
      </c>
      <c r="M70" s="347"/>
      <c r="N70" s="347"/>
      <c r="O70" s="347"/>
      <c r="P70" s="347"/>
      <c r="Q70" s="347">
        <v>817</v>
      </c>
      <c r="R70" s="347">
        <v>7504</v>
      </c>
      <c r="S70" s="348"/>
    </row>
    <row r="71" spans="1:19" x14ac:dyDescent="0.25">
      <c r="A71" s="344">
        <v>61</v>
      </c>
      <c r="B71" s="344" t="s">
        <v>754</v>
      </c>
      <c r="C71" s="344" t="s">
        <v>686</v>
      </c>
      <c r="D71" s="344" t="s">
        <v>282</v>
      </c>
      <c r="E71" s="346" t="s">
        <v>143</v>
      </c>
      <c r="F71" s="344">
        <f t="shared" si="3"/>
        <v>23384</v>
      </c>
      <c r="G71" s="347">
        <f t="shared" si="4"/>
        <v>5843</v>
      </c>
      <c r="H71" s="347">
        <v>5843</v>
      </c>
      <c r="I71" s="347">
        <v>138</v>
      </c>
      <c r="J71" s="347">
        <v>0</v>
      </c>
      <c r="K71" s="347"/>
      <c r="L71" s="347">
        <f t="shared" si="2"/>
        <v>17541</v>
      </c>
      <c r="M71" s="347"/>
      <c r="N71" s="347"/>
      <c r="O71" s="347"/>
      <c r="P71" s="347"/>
      <c r="Q71" s="347">
        <v>733</v>
      </c>
      <c r="R71" s="347">
        <v>16808</v>
      </c>
      <c r="S71" s="348"/>
    </row>
    <row r="72" spans="1:19" x14ac:dyDescent="0.25">
      <c r="A72" s="344">
        <v>62</v>
      </c>
      <c r="B72" s="344" t="s">
        <v>755</v>
      </c>
      <c r="C72" s="344" t="s">
        <v>756</v>
      </c>
      <c r="D72" s="344" t="s">
        <v>325</v>
      </c>
      <c r="E72" s="346" t="s">
        <v>580</v>
      </c>
      <c r="F72" s="344">
        <f t="shared" si="3"/>
        <v>7319</v>
      </c>
      <c r="G72" s="347">
        <f t="shared" si="4"/>
        <v>1826</v>
      </c>
      <c r="H72" s="347">
        <v>1826</v>
      </c>
      <c r="I72" s="347">
        <v>635</v>
      </c>
      <c r="J72" s="347">
        <v>0</v>
      </c>
      <c r="K72" s="347"/>
      <c r="L72" s="347">
        <f t="shared" si="2"/>
        <v>5493</v>
      </c>
      <c r="M72" s="347"/>
      <c r="N72" s="347"/>
      <c r="O72" s="347"/>
      <c r="P72" s="347"/>
      <c r="Q72" s="347">
        <v>1021</v>
      </c>
      <c r="R72" s="347">
        <v>4472</v>
      </c>
      <c r="S72" s="348"/>
    </row>
    <row r="73" spans="1:19" x14ac:dyDescent="0.25">
      <c r="A73" s="344">
        <v>63</v>
      </c>
      <c r="B73" s="344" t="s">
        <v>757</v>
      </c>
      <c r="C73" s="344" t="s">
        <v>715</v>
      </c>
      <c r="D73" s="344" t="s">
        <v>19</v>
      </c>
      <c r="E73" s="346" t="s">
        <v>234</v>
      </c>
      <c r="F73" s="344">
        <f t="shared" si="3"/>
        <v>72905</v>
      </c>
      <c r="G73" s="347">
        <f t="shared" si="4"/>
        <v>18121</v>
      </c>
      <c r="H73" s="347">
        <v>18121</v>
      </c>
      <c r="I73" s="347">
        <v>2984</v>
      </c>
      <c r="J73" s="347">
        <v>0</v>
      </c>
      <c r="K73" s="347"/>
      <c r="L73" s="347">
        <f t="shared" si="2"/>
        <v>54784</v>
      </c>
      <c r="M73" s="347"/>
      <c r="N73" s="347"/>
      <c r="O73" s="347"/>
      <c r="P73" s="347"/>
      <c r="Q73" s="347">
        <v>8696</v>
      </c>
      <c r="R73" s="347">
        <v>46088</v>
      </c>
      <c r="S73" s="348"/>
    </row>
    <row r="74" spans="1:19" ht="30" x14ac:dyDescent="0.25">
      <c r="A74" s="344">
        <v>64</v>
      </c>
      <c r="B74" s="344" t="s">
        <v>758</v>
      </c>
      <c r="C74" s="344" t="s">
        <v>686</v>
      </c>
      <c r="D74" s="344" t="s">
        <v>561</v>
      </c>
      <c r="E74" s="346" t="s">
        <v>759</v>
      </c>
      <c r="F74" s="344">
        <f t="shared" si="3"/>
        <v>20</v>
      </c>
      <c r="G74" s="347">
        <f t="shared" si="4"/>
        <v>20</v>
      </c>
      <c r="H74" s="347">
        <v>20</v>
      </c>
      <c r="I74" s="347">
        <v>20</v>
      </c>
      <c r="J74" s="347">
        <v>0</v>
      </c>
      <c r="K74" s="347"/>
      <c r="L74" s="347">
        <f t="shared" si="2"/>
        <v>0</v>
      </c>
      <c r="M74" s="347"/>
      <c r="N74" s="347"/>
      <c r="O74" s="347"/>
      <c r="P74" s="347"/>
      <c r="Q74" s="347"/>
      <c r="R74" s="347"/>
      <c r="S74" s="348"/>
    </row>
    <row r="75" spans="1:19" x14ac:dyDescent="0.25">
      <c r="A75" s="344">
        <v>65</v>
      </c>
      <c r="B75" s="344" t="s">
        <v>760</v>
      </c>
      <c r="C75" s="344" t="s">
        <v>686</v>
      </c>
      <c r="D75" s="344" t="s">
        <v>563</v>
      </c>
      <c r="E75" s="346" t="s">
        <v>761</v>
      </c>
      <c r="F75" s="344">
        <f t="shared" si="3"/>
        <v>11</v>
      </c>
      <c r="G75" s="347">
        <f t="shared" si="4"/>
        <v>6</v>
      </c>
      <c r="H75" s="347">
        <v>6</v>
      </c>
      <c r="I75" s="347">
        <v>6</v>
      </c>
      <c r="J75" s="347">
        <v>0</v>
      </c>
      <c r="K75" s="347"/>
      <c r="L75" s="347">
        <f t="shared" ref="L75:L138" si="5">M75+N75+O75+P75+Q75+R75</f>
        <v>5</v>
      </c>
      <c r="M75" s="347"/>
      <c r="N75" s="347"/>
      <c r="O75" s="347"/>
      <c r="P75" s="347">
        <v>5</v>
      </c>
      <c r="Q75" s="347"/>
      <c r="R75" s="347"/>
      <c r="S75" s="348"/>
    </row>
    <row r="76" spans="1:19" x14ac:dyDescent="0.25">
      <c r="A76" s="344">
        <v>66</v>
      </c>
      <c r="B76" s="350" t="s">
        <v>762</v>
      </c>
      <c r="C76" s="344" t="s">
        <v>686</v>
      </c>
      <c r="D76" s="344" t="s">
        <v>571</v>
      </c>
      <c r="E76" s="346" t="s">
        <v>763</v>
      </c>
      <c r="F76" s="344">
        <f t="shared" si="3"/>
        <v>20</v>
      </c>
      <c r="G76" s="347">
        <f t="shared" si="4"/>
        <v>16</v>
      </c>
      <c r="H76" s="347">
        <v>16</v>
      </c>
      <c r="I76" s="347">
        <v>16</v>
      </c>
      <c r="J76" s="347">
        <v>0</v>
      </c>
      <c r="K76" s="347"/>
      <c r="L76" s="347">
        <f t="shared" si="5"/>
        <v>4</v>
      </c>
      <c r="M76" s="347"/>
      <c r="N76" s="347"/>
      <c r="O76" s="347"/>
      <c r="P76" s="347">
        <v>4</v>
      </c>
      <c r="Q76" s="347"/>
      <c r="R76" s="347"/>
      <c r="S76" s="348"/>
    </row>
    <row r="77" spans="1:19" x14ac:dyDescent="0.25">
      <c r="A77" s="344">
        <v>67</v>
      </c>
      <c r="B77" s="350" t="s">
        <v>762</v>
      </c>
      <c r="C77" s="344" t="s">
        <v>686</v>
      </c>
      <c r="D77" s="344" t="s">
        <v>569</v>
      </c>
      <c r="E77" s="346" t="s">
        <v>764</v>
      </c>
      <c r="F77" s="344">
        <f t="shared" si="3"/>
        <v>20</v>
      </c>
      <c r="G77" s="347">
        <f t="shared" si="4"/>
        <v>0</v>
      </c>
      <c r="H77" s="347">
        <v>0</v>
      </c>
      <c r="I77" s="347">
        <v>0</v>
      </c>
      <c r="J77" s="347">
        <v>0</v>
      </c>
      <c r="K77" s="347"/>
      <c r="L77" s="347">
        <f t="shared" si="5"/>
        <v>20</v>
      </c>
      <c r="M77" s="347"/>
      <c r="N77" s="347"/>
      <c r="O77" s="347"/>
      <c r="P77" s="347">
        <v>20</v>
      </c>
      <c r="Q77" s="347"/>
      <c r="R77" s="347"/>
      <c r="S77" s="348"/>
    </row>
    <row r="78" spans="1:19" x14ac:dyDescent="0.25">
      <c r="A78" s="344">
        <v>68</v>
      </c>
      <c r="B78" s="344" t="s">
        <v>765</v>
      </c>
      <c r="C78" s="344" t="s">
        <v>686</v>
      </c>
      <c r="D78" s="344" t="s">
        <v>567</v>
      </c>
      <c r="E78" s="346" t="s">
        <v>766</v>
      </c>
      <c r="F78" s="344">
        <f t="shared" si="3"/>
        <v>20</v>
      </c>
      <c r="G78" s="347">
        <f t="shared" si="4"/>
        <v>16</v>
      </c>
      <c r="H78" s="347">
        <v>16</v>
      </c>
      <c r="I78" s="347">
        <v>16</v>
      </c>
      <c r="J78" s="347">
        <v>0</v>
      </c>
      <c r="K78" s="347"/>
      <c r="L78" s="347">
        <f t="shared" si="5"/>
        <v>4</v>
      </c>
      <c r="M78" s="347"/>
      <c r="N78" s="347"/>
      <c r="O78" s="347"/>
      <c r="P78" s="347">
        <v>4</v>
      </c>
      <c r="Q78" s="347"/>
      <c r="R78" s="347"/>
      <c r="S78" s="348"/>
    </row>
    <row r="79" spans="1:19" x14ac:dyDescent="0.25">
      <c r="A79" s="344">
        <v>69</v>
      </c>
      <c r="B79" s="344"/>
      <c r="C79" s="344"/>
      <c r="D79" s="344" t="s">
        <v>575</v>
      </c>
      <c r="E79" s="346" t="s">
        <v>767</v>
      </c>
      <c r="F79" s="344">
        <f t="shared" ref="F79:F139" si="6">G79+L79</f>
        <v>20</v>
      </c>
      <c r="G79" s="347">
        <f t="shared" ref="G79:G139" si="7">H79+J79+K79</f>
        <v>0</v>
      </c>
      <c r="H79" s="347">
        <v>0</v>
      </c>
      <c r="I79" s="347">
        <v>0</v>
      </c>
      <c r="J79" s="347">
        <v>0</v>
      </c>
      <c r="K79" s="347"/>
      <c r="L79" s="347">
        <f t="shared" si="5"/>
        <v>20</v>
      </c>
      <c r="M79" s="347"/>
      <c r="N79" s="347"/>
      <c r="O79" s="347"/>
      <c r="P79" s="347">
        <v>20</v>
      </c>
      <c r="Q79" s="347"/>
      <c r="R79" s="347"/>
      <c r="S79" s="348"/>
    </row>
    <row r="80" spans="1:19" x14ac:dyDescent="0.25">
      <c r="A80" s="344">
        <v>70</v>
      </c>
      <c r="B80" s="344" t="s">
        <v>757</v>
      </c>
      <c r="C80" s="344" t="s">
        <v>686</v>
      </c>
      <c r="D80" s="344" t="s">
        <v>283</v>
      </c>
      <c r="E80" s="346" t="s">
        <v>768</v>
      </c>
      <c r="F80" s="344">
        <f t="shared" si="6"/>
        <v>9431</v>
      </c>
      <c r="G80" s="347">
        <f t="shared" si="7"/>
        <v>2358</v>
      </c>
      <c r="H80" s="347">
        <v>2358</v>
      </c>
      <c r="I80" s="347">
        <v>1125</v>
      </c>
      <c r="J80" s="347">
        <v>0</v>
      </c>
      <c r="K80" s="347"/>
      <c r="L80" s="347">
        <f t="shared" si="5"/>
        <v>7073</v>
      </c>
      <c r="M80" s="347"/>
      <c r="N80" s="347"/>
      <c r="O80" s="347"/>
      <c r="P80" s="347"/>
      <c r="Q80" s="347">
        <v>1105</v>
      </c>
      <c r="R80" s="347">
        <v>5968</v>
      </c>
      <c r="S80" s="348"/>
    </row>
    <row r="81" spans="1:19" x14ac:dyDescent="0.25">
      <c r="A81" s="344">
        <v>71</v>
      </c>
      <c r="B81" s="344" t="s">
        <v>769</v>
      </c>
      <c r="C81" s="344" t="s">
        <v>698</v>
      </c>
      <c r="D81" s="344" t="s">
        <v>244</v>
      </c>
      <c r="E81" s="346" t="s">
        <v>245</v>
      </c>
      <c r="F81" s="344">
        <f t="shared" si="6"/>
        <v>55340</v>
      </c>
      <c r="G81" s="347">
        <f t="shared" si="7"/>
        <v>13174</v>
      </c>
      <c r="H81" s="347">
        <v>13174</v>
      </c>
      <c r="I81" s="347">
        <v>0</v>
      </c>
      <c r="J81" s="347">
        <v>0</v>
      </c>
      <c r="K81" s="347"/>
      <c r="L81" s="347">
        <f t="shared" si="5"/>
        <v>42166</v>
      </c>
      <c r="M81" s="347"/>
      <c r="N81" s="347"/>
      <c r="O81" s="347"/>
      <c r="P81" s="347"/>
      <c r="Q81" s="347">
        <v>2432</v>
      </c>
      <c r="R81" s="347">
        <v>39734</v>
      </c>
      <c r="S81" s="348"/>
    </row>
    <row r="82" spans="1:19" ht="30" x14ac:dyDescent="0.25">
      <c r="A82" s="344">
        <v>72</v>
      </c>
      <c r="B82" s="344" t="s">
        <v>770</v>
      </c>
      <c r="C82" s="344" t="s">
        <v>686</v>
      </c>
      <c r="D82" s="344" t="s">
        <v>594</v>
      </c>
      <c r="E82" s="346" t="s">
        <v>771</v>
      </c>
      <c r="F82" s="344">
        <f t="shared" si="6"/>
        <v>568</v>
      </c>
      <c r="G82" s="347">
        <f t="shared" si="7"/>
        <v>568</v>
      </c>
      <c r="H82" s="347">
        <v>568</v>
      </c>
      <c r="I82" s="347">
        <v>568</v>
      </c>
      <c r="J82" s="347">
        <v>0</v>
      </c>
      <c r="K82" s="347"/>
      <c r="L82" s="347">
        <f t="shared" si="5"/>
        <v>0</v>
      </c>
      <c r="M82" s="347"/>
      <c r="N82" s="347"/>
      <c r="O82" s="347"/>
      <c r="P82" s="347"/>
      <c r="Q82" s="347">
        <v>0</v>
      </c>
      <c r="R82" s="347">
        <v>0</v>
      </c>
      <c r="S82" s="348"/>
    </row>
    <row r="83" spans="1:19" x14ac:dyDescent="0.25">
      <c r="A83" s="344">
        <v>73</v>
      </c>
      <c r="B83" s="344" t="s">
        <v>772</v>
      </c>
      <c r="C83" s="344" t="s">
        <v>698</v>
      </c>
      <c r="D83" s="344" t="s">
        <v>277</v>
      </c>
      <c r="E83" s="346" t="s">
        <v>104</v>
      </c>
      <c r="F83" s="344">
        <f t="shared" si="6"/>
        <v>32337</v>
      </c>
      <c r="G83" s="347">
        <f t="shared" si="7"/>
        <v>7735</v>
      </c>
      <c r="H83" s="347">
        <v>7735</v>
      </c>
      <c r="I83" s="347">
        <v>0</v>
      </c>
      <c r="J83" s="347">
        <v>0</v>
      </c>
      <c r="K83" s="347"/>
      <c r="L83" s="347">
        <f t="shared" si="5"/>
        <v>24602</v>
      </c>
      <c r="M83" s="347"/>
      <c r="N83" s="347"/>
      <c r="O83" s="347"/>
      <c r="P83" s="347"/>
      <c r="Q83" s="347">
        <v>1355</v>
      </c>
      <c r="R83" s="347">
        <v>23247</v>
      </c>
      <c r="S83" s="348"/>
    </row>
    <row r="84" spans="1:19" x14ac:dyDescent="0.25">
      <c r="A84" s="344">
        <v>74</v>
      </c>
      <c r="B84" s="344" t="s">
        <v>773</v>
      </c>
      <c r="C84" s="344" t="s">
        <v>686</v>
      </c>
      <c r="D84" s="344" t="s">
        <v>578</v>
      </c>
      <c r="E84" s="346" t="s">
        <v>579</v>
      </c>
      <c r="F84" s="344">
        <f t="shared" si="6"/>
        <v>445</v>
      </c>
      <c r="G84" s="347">
        <f t="shared" si="7"/>
        <v>445</v>
      </c>
      <c r="H84" s="347">
        <v>445</v>
      </c>
      <c r="I84" s="347">
        <v>445</v>
      </c>
      <c r="J84" s="347">
        <v>0</v>
      </c>
      <c r="K84" s="347"/>
      <c r="L84" s="347">
        <f t="shared" si="5"/>
        <v>0</v>
      </c>
      <c r="M84" s="347"/>
      <c r="N84" s="347"/>
      <c r="O84" s="347"/>
      <c r="P84" s="347"/>
      <c r="Q84" s="347">
        <v>0</v>
      </c>
      <c r="R84" s="347">
        <v>0</v>
      </c>
      <c r="S84" s="348"/>
    </row>
    <row r="85" spans="1:19" x14ac:dyDescent="0.25">
      <c r="A85" s="344">
        <v>75</v>
      </c>
      <c r="B85" s="344" t="s">
        <v>774</v>
      </c>
      <c r="C85" s="344" t="s">
        <v>695</v>
      </c>
      <c r="D85" s="344" t="s">
        <v>305</v>
      </c>
      <c r="E85" s="346" t="s">
        <v>775</v>
      </c>
      <c r="F85" s="344">
        <f t="shared" si="6"/>
        <v>7616</v>
      </c>
      <c r="G85" s="347">
        <f t="shared" si="7"/>
        <v>746</v>
      </c>
      <c r="H85" s="347">
        <v>746</v>
      </c>
      <c r="I85" s="347">
        <v>128</v>
      </c>
      <c r="J85" s="347">
        <v>0</v>
      </c>
      <c r="K85" s="347"/>
      <c r="L85" s="347">
        <f t="shared" si="5"/>
        <v>6870</v>
      </c>
      <c r="M85" s="347"/>
      <c r="N85" s="347"/>
      <c r="O85" s="347"/>
      <c r="P85" s="347"/>
      <c r="Q85" s="347">
        <v>972</v>
      </c>
      <c r="R85" s="347">
        <v>5898</v>
      </c>
      <c r="S85" s="348"/>
    </row>
    <row r="86" spans="1:19" x14ac:dyDescent="0.25">
      <c r="A86" s="344">
        <v>76</v>
      </c>
      <c r="B86" s="344" t="s">
        <v>776</v>
      </c>
      <c r="C86" s="344" t="s">
        <v>715</v>
      </c>
      <c r="D86" s="344" t="s">
        <v>235</v>
      </c>
      <c r="E86" s="346" t="s">
        <v>95</v>
      </c>
      <c r="F86" s="344">
        <f t="shared" si="6"/>
        <v>43963</v>
      </c>
      <c r="G86" s="347">
        <f t="shared" si="7"/>
        <v>9908</v>
      </c>
      <c r="H86" s="347">
        <v>9908</v>
      </c>
      <c r="I86" s="347">
        <v>0</v>
      </c>
      <c r="J86" s="347">
        <v>0</v>
      </c>
      <c r="K86" s="347"/>
      <c r="L86" s="347">
        <f t="shared" si="5"/>
        <v>34055</v>
      </c>
      <c r="M86" s="347"/>
      <c r="N86" s="347"/>
      <c r="O86" s="347"/>
      <c r="P86" s="347"/>
      <c r="Q86" s="347">
        <v>4285</v>
      </c>
      <c r="R86" s="347">
        <v>29770</v>
      </c>
      <c r="S86" s="348"/>
    </row>
    <row r="87" spans="1:19" x14ac:dyDescent="0.25">
      <c r="A87" s="344">
        <v>77</v>
      </c>
      <c r="B87" s="344" t="s">
        <v>777</v>
      </c>
      <c r="C87" s="344" t="s">
        <v>686</v>
      </c>
      <c r="D87" s="344" t="s">
        <v>590</v>
      </c>
      <c r="E87" s="346" t="s">
        <v>591</v>
      </c>
      <c r="F87" s="344">
        <f t="shared" si="6"/>
        <v>1425</v>
      </c>
      <c r="G87" s="347">
        <f t="shared" si="7"/>
        <v>1425</v>
      </c>
      <c r="H87" s="347">
        <v>1425</v>
      </c>
      <c r="I87" s="347">
        <v>1425</v>
      </c>
      <c r="J87" s="347">
        <v>0</v>
      </c>
      <c r="K87" s="347"/>
      <c r="L87" s="347">
        <f t="shared" si="5"/>
        <v>0</v>
      </c>
      <c r="M87" s="347"/>
      <c r="N87" s="347"/>
      <c r="O87" s="347"/>
      <c r="P87" s="347"/>
      <c r="Q87" s="347">
        <v>0</v>
      </c>
      <c r="R87" s="347">
        <v>0</v>
      </c>
      <c r="S87" s="348"/>
    </row>
    <row r="88" spans="1:19" x14ac:dyDescent="0.25">
      <c r="A88" s="344">
        <v>78</v>
      </c>
      <c r="B88" s="344" t="s">
        <v>776</v>
      </c>
      <c r="C88" s="344" t="s">
        <v>695</v>
      </c>
      <c r="D88" s="344" t="s">
        <v>287</v>
      </c>
      <c r="E88" s="346" t="s">
        <v>778</v>
      </c>
      <c r="F88" s="344">
        <f t="shared" si="6"/>
        <v>19130</v>
      </c>
      <c r="G88" s="347">
        <f t="shared" si="7"/>
        <v>4781</v>
      </c>
      <c r="H88" s="347">
        <v>4781</v>
      </c>
      <c r="I88" s="347">
        <v>0</v>
      </c>
      <c r="J88" s="347">
        <v>0</v>
      </c>
      <c r="K88" s="347"/>
      <c r="L88" s="347">
        <f t="shared" si="5"/>
        <v>14349</v>
      </c>
      <c r="M88" s="347"/>
      <c r="N88" s="347"/>
      <c r="O88" s="347"/>
      <c r="P88" s="347"/>
      <c r="Q88" s="347">
        <v>0</v>
      </c>
      <c r="R88" s="347">
        <v>14349</v>
      </c>
      <c r="S88" s="348"/>
    </row>
    <row r="89" spans="1:19" ht="30" x14ac:dyDescent="0.25">
      <c r="A89" s="344">
        <v>79</v>
      </c>
      <c r="B89" s="344"/>
      <c r="C89" s="344" t="s">
        <v>695</v>
      </c>
      <c r="D89" s="344" t="s">
        <v>289</v>
      </c>
      <c r="E89" s="346" t="s">
        <v>589</v>
      </c>
      <c r="F89" s="344">
        <f t="shared" si="6"/>
        <v>1093</v>
      </c>
      <c r="G89" s="347">
        <f t="shared" si="7"/>
        <v>272</v>
      </c>
      <c r="H89" s="347">
        <v>272</v>
      </c>
      <c r="I89" s="347">
        <v>0</v>
      </c>
      <c r="J89" s="347">
        <v>0</v>
      </c>
      <c r="K89" s="347"/>
      <c r="L89" s="347">
        <f t="shared" si="5"/>
        <v>821</v>
      </c>
      <c r="M89" s="347"/>
      <c r="N89" s="347"/>
      <c r="O89" s="347"/>
      <c r="P89" s="347">
        <v>821</v>
      </c>
      <c r="Q89" s="347">
        <v>0</v>
      </c>
      <c r="R89" s="347">
        <v>0</v>
      </c>
      <c r="S89" s="348"/>
    </row>
    <row r="90" spans="1:19" x14ac:dyDescent="0.25">
      <c r="A90" s="344">
        <v>80</v>
      </c>
      <c r="B90" s="344" t="s">
        <v>779</v>
      </c>
      <c r="C90" s="344" t="s">
        <v>698</v>
      </c>
      <c r="D90" s="344" t="s">
        <v>24</v>
      </c>
      <c r="E90" s="346" t="s">
        <v>241</v>
      </c>
      <c r="F90" s="344">
        <f t="shared" si="6"/>
        <v>43587</v>
      </c>
      <c r="G90" s="347">
        <f t="shared" si="7"/>
        <v>8298</v>
      </c>
      <c r="H90" s="347">
        <v>8298</v>
      </c>
      <c r="I90" s="347">
        <v>2</v>
      </c>
      <c r="J90" s="347">
        <v>0</v>
      </c>
      <c r="K90" s="347"/>
      <c r="L90" s="347">
        <f t="shared" si="5"/>
        <v>35289</v>
      </c>
      <c r="M90" s="347"/>
      <c r="N90" s="347"/>
      <c r="O90" s="347"/>
      <c r="P90" s="347"/>
      <c r="Q90" s="347">
        <v>3398</v>
      </c>
      <c r="R90" s="347">
        <v>31891</v>
      </c>
      <c r="S90" s="348"/>
    </row>
    <row r="91" spans="1:19" x14ac:dyDescent="0.25">
      <c r="A91" s="344">
        <v>81</v>
      </c>
      <c r="B91" s="344" t="s">
        <v>741</v>
      </c>
      <c r="C91" s="344" t="s">
        <v>698</v>
      </c>
      <c r="D91" s="344" t="s">
        <v>242</v>
      </c>
      <c r="E91" s="346" t="s">
        <v>243</v>
      </c>
      <c r="F91" s="344">
        <f t="shared" si="6"/>
        <v>4096</v>
      </c>
      <c r="G91" s="347">
        <f t="shared" si="7"/>
        <v>4096</v>
      </c>
      <c r="H91" s="347">
        <v>4096</v>
      </c>
      <c r="I91" s="347">
        <v>0</v>
      </c>
      <c r="J91" s="347">
        <v>0</v>
      </c>
      <c r="K91" s="347"/>
      <c r="L91" s="347">
        <f t="shared" si="5"/>
        <v>0</v>
      </c>
      <c r="M91" s="347"/>
      <c r="N91" s="347"/>
      <c r="O91" s="347"/>
      <c r="P91" s="347"/>
      <c r="Q91" s="347">
        <v>0</v>
      </c>
      <c r="R91" s="347">
        <v>0</v>
      </c>
      <c r="S91" s="348"/>
    </row>
    <row r="92" spans="1:19" ht="30" x14ac:dyDescent="0.25">
      <c r="A92" s="344">
        <v>82</v>
      </c>
      <c r="B92" s="344" t="s">
        <v>780</v>
      </c>
      <c r="C92" s="344" t="s">
        <v>686</v>
      </c>
      <c r="D92" s="344" t="s">
        <v>438</v>
      </c>
      <c r="E92" s="346" t="s">
        <v>781</v>
      </c>
      <c r="F92" s="344">
        <f t="shared" si="6"/>
        <v>5784</v>
      </c>
      <c r="G92" s="347">
        <f t="shared" si="7"/>
        <v>5784</v>
      </c>
      <c r="H92" s="347">
        <v>5784</v>
      </c>
      <c r="I92" s="347">
        <v>0</v>
      </c>
      <c r="J92" s="347">
        <v>0</v>
      </c>
      <c r="K92" s="347"/>
      <c r="L92" s="347">
        <f t="shared" si="5"/>
        <v>0</v>
      </c>
      <c r="M92" s="347"/>
      <c r="N92" s="347"/>
      <c r="O92" s="347"/>
      <c r="P92" s="347"/>
      <c r="Q92" s="347">
        <v>0</v>
      </c>
      <c r="R92" s="347">
        <v>0</v>
      </c>
      <c r="S92" s="348"/>
    </row>
    <row r="93" spans="1:19" x14ac:dyDescent="0.25">
      <c r="A93" s="576">
        <v>83</v>
      </c>
      <c r="B93" s="344" t="s">
        <v>782</v>
      </c>
      <c r="C93" s="344" t="s">
        <v>715</v>
      </c>
      <c r="D93" s="344" t="s">
        <v>236</v>
      </c>
      <c r="E93" s="346" t="s">
        <v>94</v>
      </c>
      <c r="F93" s="344">
        <f t="shared" si="6"/>
        <v>32781</v>
      </c>
      <c r="G93" s="347">
        <f t="shared" si="7"/>
        <v>8131</v>
      </c>
      <c r="H93" s="347">
        <v>6537</v>
      </c>
      <c r="I93" s="347">
        <v>0</v>
      </c>
      <c r="J93" s="351">
        <v>1594</v>
      </c>
      <c r="K93" s="347"/>
      <c r="L93" s="347">
        <f t="shared" si="5"/>
        <v>24650</v>
      </c>
      <c r="M93" s="347">
        <v>4950</v>
      </c>
      <c r="N93" s="347"/>
      <c r="O93" s="347"/>
      <c r="P93" s="347"/>
      <c r="Q93" s="347">
        <v>0</v>
      </c>
      <c r="R93" s="347">
        <v>19700</v>
      </c>
      <c r="S93" s="348"/>
    </row>
    <row r="94" spans="1:19" ht="45" x14ac:dyDescent="0.25">
      <c r="A94" s="577"/>
      <c r="B94" s="344"/>
      <c r="C94" s="344"/>
      <c r="D94" s="344" t="s">
        <v>238</v>
      </c>
      <c r="E94" s="346" t="s">
        <v>783</v>
      </c>
      <c r="F94" s="344">
        <f t="shared" si="6"/>
        <v>26657</v>
      </c>
      <c r="G94" s="347">
        <f t="shared" si="7"/>
        <v>3024</v>
      </c>
      <c r="H94" s="347">
        <v>3024</v>
      </c>
      <c r="I94" s="347">
        <v>0</v>
      </c>
      <c r="J94" s="347">
        <v>0</v>
      </c>
      <c r="K94" s="347"/>
      <c r="L94" s="347">
        <f t="shared" si="5"/>
        <v>23633</v>
      </c>
      <c r="M94" s="347"/>
      <c r="N94" s="347"/>
      <c r="O94" s="347"/>
      <c r="P94" s="347"/>
      <c r="Q94" s="347">
        <v>0</v>
      </c>
      <c r="R94" s="347">
        <v>23633</v>
      </c>
      <c r="S94" s="348"/>
    </row>
    <row r="95" spans="1:19" x14ac:dyDescent="0.25">
      <c r="A95" s="344">
        <v>84</v>
      </c>
      <c r="B95" s="344" t="s">
        <v>784</v>
      </c>
      <c r="C95" s="344" t="s">
        <v>695</v>
      </c>
      <c r="D95" s="344" t="s">
        <v>248</v>
      </c>
      <c r="E95" s="346" t="s">
        <v>785</v>
      </c>
      <c r="F95" s="344">
        <f t="shared" si="6"/>
        <v>25243</v>
      </c>
      <c r="G95" s="347">
        <f t="shared" si="7"/>
        <v>5499</v>
      </c>
      <c r="H95" s="347">
        <v>5499</v>
      </c>
      <c r="I95" s="347">
        <v>0</v>
      </c>
      <c r="J95" s="347">
        <v>0</v>
      </c>
      <c r="K95" s="347"/>
      <c r="L95" s="347">
        <f t="shared" si="5"/>
        <v>19744</v>
      </c>
      <c r="M95" s="347">
        <v>8954</v>
      </c>
      <c r="N95" s="347"/>
      <c r="O95" s="347"/>
      <c r="P95" s="347"/>
      <c r="Q95" s="347">
        <v>0</v>
      </c>
      <c r="R95" s="347">
        <v>10790</v>
      </c>
      <c r="S95" s="348"/>
    </row>
    <row r="96" spans="1:19" x14ac:dyDescent="0.25">
      <c r="A96" s="344">
        <v>85</v>
      </c>
      <c r="B96" s="344" t="s">
        <v>786</v>
      </c>
      <c r="C96" s="344" t="s">
        <v>686</v>
      </c>
      <c r="D96" s="344" t="s">
        <v>586</v>
      </c>
      <c r="E96" s="346" t="s">
        <v>787</v>
      </c>
      <c r="F96" s="344">
        <f t="shared" si="6"/>
        <v>11000</v>
      </c>
      <c r="G96" s="347">
        <f t="shared" si="7"/>
        <v>2750</v>
      </c>
      <c r="H96" s="347">
        <v>2750</v>
      </c>
      <c r="I96" s="347">
        <v>2750</v>
      </c>
      <c r="J96" s="347">
        <v>0</v>
      </c>
      <c r="K96" s="347"/>
      <c r="L96" s="347">
        <f t="shared" si="5"/>
        <v>8250</v>
      </c>
      <c r="M96" s="347"/>
      <c r="N96" s="347"/>
      <c r="O96" s="347"/>
      <c r="P96" s="347">
        <v>7368</v>
      </c>
      <c r="Q96" s="347">
        <f>8250-7368</f>
        <v>882</v>
      </c>
      <c r="R96" s="347">
        <v>0</v>
      </c>
      <c r="S96" s="348"/>
    </row>
    <row r="97" spans="1:19" x14ac:dyDescent="0.25">
      <c r="A97" s="344">
        <v>86</v>
      </c>
      <c r="B97" s="344" t="s">
        <v>788</v>
      </c>
      <c r="C97" s="344" t="s">
        <v>686</v>
      </c>
      <c r="D97" s="344" t="s">
        <v>327</v>
      </c>
      <c r="E97" s="346" t="s">
        <v>593</v>
      </c>
      <c r="F97" s="344">
        <f t="shared" si="6"/>
        <v>3838</v>
      </c>
      <c r="G97" s="347">
        <f t="shared" si="7"/>
        <v>959</v>
      </c>
      <c r="H97" s="347">
        <v>959</v>
      </c>
      <c r="I97" s="347">
        <v>0</v>
      </c>
      <c r="J97" s="347">
        <v>0</v>
      </c>
      <c r="K97" s="347"/>
      <c r="L97" s="347">
        <f t="shared" si="5"/>
        <v>2879</v>
      </c>
      <c r="M97" s="347"/>
      <c r="N97" s="347"/>
      <c r="O97" s="347"/>
      <c r="P97" s="347"/>
      <c r="Q97" s="347">
        <v>0</v>
      </c>
      <c r="R97" s="347">
        <v>2879</v>
      </c>
      <c r="S97" s="348"/>
    </row>
    <row r="98" spans="1:19" x14ac:dyDescent="0.25">
      <c r="A98" s="344">
        <v>87</v>
      </c>
      <c r="B98" s="344" t="s">
        <v>789</v>
      </c>
      <c r="C98" s="344" t="s">
        <v>686</v>
      </c>
      <c r="D98" s="344" t="s">
        <v>340</v>
      </c>
      <c r="E98" s="346" t="s">
        <v>616</v>
      </c>
      <c r="F98" s="344">
        <f t="shared" si="6"/>
        <v>25220</v>
      </c>
      <c r="G98" s="347">
        <f t="shared" si="7"/>
        <v>6272</v>
      </c>
      <c r="H98" s="347">
        <v>6272</v>
      </c>
      <c r="I98" s="347">
        <v>0</v>
      </c>
      <c r="J98" s="347">
        <v>0</v>
      </c>
      <c r="K98" s="347"/>
      <c r="L98" s="347">
        <f t="shared" si="5"/>
        <v>18948</v>
      </c>
      <c r="M98" s="347"/>
      <c r="N98" s="347"/>
      <c r="O98" s="347"/>
      <c r="P98" s="347"/>
      <c r="Q98" s="347">
        <v>0</v>
      </c>
      <c r="R98" s="347">
        <v>18948</v>
      </c>
      <c r="S98" s="348"/>
    </row>
    <row r="99" spans="1:19" x14ac:dyDescent="0.25">
      <c r="A99" s="344">
        <v>88</v>
      </c>
      <c r="B99" s="344" t="s">
        <v>790</v>
      </c>
      <c r="C99" s="344" t="s">
        <v>686</v>
      </c>
      <c r="D99" s="344" t="s">
        <v>342</v>
      </c>
      <c r="E99" s="346" t="s">
        <v>617</v>
      </c>
      <c r="F99" s="344">
        <f t="shared" si="6"/>
        <v>15142</v>
      </c>
      <c r="G99" s="347">
        <f t="shared" si="7"/>
        <v>3772</v>
      </c>
      <c r="H99" s="347">
        <v>3772</v>
      </c>
      <c r="I99" s="347">
        <v>0</v>
      </c>
      <c r="J99" s="347">
        <v>0</v>
      </c>
      <c r="K99" s="347"/>
      <c r="L99" s="347">
        <f t="shared" si="5"/>
        <v>11370</v>
      </c>
      <c r="M99" s="347"/>
      <c r="N99" s="347"/>
      <c r="O99" s="347"/>
      <c r="P99" s="347"/>
      <c r="Q99" s="347">
        <v>0</v>
      </c>
      <c r="R99" s="347">
        <v>11370</v>
      </c>
      <c r="S99" s="348"/>
    </row>
    <row r="100" spans="1:19" x14ac:dyDescent="0.25">
      <c r="A100" s="344">
        <v>89</v>
      </c>
      <c r="B100" s="344" t="s">
        <v>791</v>
      </c>
      <c r="C100" s="344" t="s">
        <v>686</v>
      </c>
      <c r="D100" s="344" t="s">
        <v>344</v>
      </c>
      <c r="E100" s="346" t="s">
        <v>618</v>
      </c>
      <c r="F100" s="344">
        <f t="shared" si="6"/>
        <v>14590</v>
      </c>
      <c r="G100" s="347">
        <f t="shared" si="7"/>
        <v>3648</v>
      </c>
      <c r="H100" s="347">
        <v>3648</v>
      </c>
      <c r="I100" s="347">
        <v>224</v>
      </c>
      <c r="J100" s="347">
        <v>0</v>
      </c>
      <c r="K100" s="347"/>
      <c r="L100" s="347">
        <f t="shared" si="5"/>
        <v>10942</v>
      </c>
      <c r="M100" s="347"/>
      <c r="N100" s="347"/>
      <c r="O100" s="347"/>
      <c r="P100" s="347"/>
      <c r="Q100" s="347">
        <v>1305</v>
      </c>
      <c r="R100" s="347">
        <v>9637</v>
      </c>
      <c r="S100" s="348"/>
    </row>
    <row r="101" spans="1:19" x14ac:dyDescent="0.25">
      <c r="A101" s="344">
        <v>90</v>
      </c>
      <c r="B101" s="344" t="s">
        <v>792</v>
      </c>
      <c r="C101" s="344" t="s">
        <v>686</v>
      </c>
      <c r="D101" s="344" t="s">
        <v>346</v>
      </c>
      <c r="E101" s="346" t="s">
        <v>619</v>
      </c>
      <c r="F101" s="344">
        <f t="shared" si="6"/>
        <v>11014</v>
      </c>
      <c r="G101" s="347">
        <f t="shared" si="7"/>
        <v>2750</v>
      </c>
      <c r="H101" s="347">
        <v>2750</v>
      </c>
      <c r="I101" s="347">
        <v>0</v>
      </c>
      <c r="J101" s="347">
        <v>0</v>
      </c>
      <c r="K101" s="347"/>
      <c r="L101" s="347">
        <f t="shared" si="5"/>
        <v>8264</v>
      </c>
      <c r="M101" s="347"/>
      <c r="N101" s="347"/>
      <c r="O101" s="347"/>
      <c r="P101" s="347"/>
      <c r="Q101" s="347">
        <v>0</v>
      </c>
      <c r="R101" s="347">
        <v>8264</v>
      </c>
      <c r="S101" s="348"/>
    </row>
    <row r="102" spans="1:19" x14ac:dyDescent="0.25">
      <c r="A102" s="344">
        <v>91</v>
      </c>
      <c r="B102" s="344" t="s">
        <v>793</v>
      </c>
      <c r="C102" s="344" t="s">
        <v>686</v>
      </c>
      <c r="D102" s="344" t="s">
        <v>348</v>
      </c>
      <c r="E102" s="346" t="s">
        <v>620</v>
      </c>
      <c r="F102" s="344">
        <f t="shared" si="6"/>
        <v>28684</v>
      </c>
      <c r="G102" s="347">
        <f t="shared" si="7"/>
        <v>7163</v>
      </c>
      <c r="H102" s="347">
        <v>7163</v>
      </c>
      <c r="I102" s="347">
        <v>0</v>
      </c>
      <c r="J102" s="347">
        <v>0</v>
      </c>
      <c r="K102" s="347"/>
      <c r="L102" s="347">
        <f t="shared" si="5"/>
        <v>21521</v>
      </c>
      <c r="M102" s="347"/>
      <c r="N102" s="347"/>
      <c r="O102" s="347"/>
      <c r="P102" s="347"/>
      <c r="Q102" s="347">
        <v>0</v>
      </c>
      <c r="R102" s="347">
        <v>21521</v>
      </c>
      <c r="S102" s="348"/>
    </row>
    <row r="103" spans="1:19" x14ac:dyDescent="0.25">
      <c r="A103" s="344">
        <v>92</v>
      </c>
      <c r="B103" s="344" t="s">
        <v>794</v>
      </c>
      <c r="C103" s="344" t="s">
        <v>686</v>
      </c>
      <c r="D103" s="344" t="s">
        <v>350</v>
      </c>
      <c r="E103" s="346" t="s">
        <v>621</v>
      </c>
      <c r="F103" s="344">
        <f t="shared" si="6"/>
        <v>14621</v>
      </c>
      <c r="G103" s="347">
        <f t="shared" si="7"/>
        <v>3650</v>
      </c>
      <c r="H103" s="347">
        <v>3650</v>
      </c>
      <c r="I103" s="347">
        <v>0</v>
      </c>
      <c r="J103" s="347">
        <v>0</v>
      </c>
      <c r="K103" s="347"/>
      <c r="L103" s="347">
        <f t="shared" si="5"/>
        <v>10971</v>
      </c>
      <c r="M103" s="347"/>
      <c r="N103" s="347"/>
      <c r="O103" s="347"/>
      <c r="P103" s="347"/>
      <c r="Q103" s="347">
        <v>0</v>
      </c>
      <c r="R103" s="347">
        <v>10971</v>
      </c>
      <c r="S103" s="348"/>
    </row>
    <row r="104" spans="1:19" x14ac:dyDescent="0.25">
      <c r="A104" s="344">
        <v>93</v>
      </c>
      <c r="B104" s="344" t="s">
        <v>795</v>
      </c>
      <c r="C104" s="344" t="s">
        <v>686</v>
      </c>
      <c r="D104" s="344" t="s">
        <v>352</v>
      </c>
      <c r="E104" s="346" t="s">
        <v>489</v>
      </c>
      <c r="F104" s="344">
        <f t="shared" si="6"/>
        <v>16531</v>
      </c>
      <c r="G104" s="347">
        <f t="shared" si="7"/>
        <v>4113</v>
      </c>
      <c r="H104" s="347">
        <v>4113</v>
      </c>
      <c r="I104" s="347">
        <v>0</v>
      </c>
      <c r="J104" s="347">
        <v>0</v>
      </c>
      <c r="K104" s="347"/>
      <c r="L104" s="347">
        <f t="shared" si="5"/>
        <v>12418</v>
      </c>
      <c r="M104" s="347"/>
      <c r="N104" s="347"/>
      <c r="O104" s="347"/>
      <c r="P104" s="347"/>
      <c r="Q104" s="347">
        <v>0</v>
      </c>
      <c r="R104" s="347">
        <v>12418</v>
      </c>
      <c r="S104" s="348"/>
    </row>
    <row r="105" spans="1:19" x14ac:dyDescent="0.25">
      <c r="A105" s="344">
        <v>94</v>
      </c>
      <c r="B105" s="344" t="s">
        <v>796</v>
      </c>
      <c r="C105" s="344" t="s">
        <v>698</v>
      </c>
      <c r="D105" s="344" t="s">
        <v>362</v>
      </c>
      <c r="E105" s="346" t="s">
        <v>797</v>
      </c>
      <c r="F105" s="344">
        <f t="shared" si="6"/>
        <v>37331</v>
      </c>
      <c r="G105" s="347">
        <f t="shared" si="7"/>
        <v>9310</v>
      </c>
      <c r="H105" s="347">
        <v>7003</v>
      </c>
      <c r="I105" s="347">
        <v>0</v>
      </c>
      <c r="J105" s="347">
        <v>2307</v>
      </c>
      <c r="K105" s="347"/>
      <c r="L105" s="347">
        <f t="shared" si="5"/>
        <v>28021</v>
      </c>
      <c r="M105" s="347">
        <v>6934</v>
      </c>
      <c r="N105" s="347"/>
      <c r="O105" s="347"/>
      <c r="P105" s="347"/>
      <c r="Q105" s="347">
        <v>0</v>
      </c>
      <c r="R105" s="347">
        <v>21087</v>
      </c>
      <c r="S105" s="348"/>
    </row>
    <row r="106" spans="1:19" x14ac:dyDescent="0.25">
      <c r="A106" s="344">
        <v>95</v>
      </c>
      <c r="B106" s="344" t="s">
        <v>798</v>
      </c>
      <c r="C106" s="344" t="s">
        <v>686</v>
      </c>
      <c r="D106" s="344" t="s">
        <v>354</v>
      </c>
      <c r="E106" s="346" t="s">
        <v>622</v>
      </c>
      <c r="F106" s="344">
        <f t="shared" si="6"/>
        <v>9837</v>
      </c>
      <c r="G106" s="347">
        <f t="shared" si="7"/>
        <v>2458</v>
      </c>
      <c r="H106" s="347">
        <v>2458</v>
      </c>
      <c r="I106" s="347">
        <v>0</v>
      </c>
      <c r="J106" s="347">
        <v>0</v>
      </c>
      <c r="K106" s="347"/>
      <c r="L106" s="347">
        <f t="shared" si="5"/>
        <v>7379</v>
      </c>
      <c r="M106" s="347"/>
      <c r="N106" s="347"/>
      <c r="O106" s="347"/>
      <c r="P106" s="347"/>
      <c r="Q106" s="347">
        <v>0</v>
      </c>
      <c r="R106" s="347">
        <v>7379</v>
      </c>
      <c r="S106" s="348"/>
    </row>
    <row r="107" spans="1:19" x14ac:dyDescent="0.25">
      <c r="A107" s="344">
        <v>96</v>
      </c>
      <c r="B107" s="344" t="s">
        <v>799</v>
      </c>
      <c r="C107" s="344" t="s">
        <v>686</v>
      </c>
      <c r="D107" s="344" t="s">
        <v>356</v>
      </c>
      <c r="E107" s="346" t="s">
        <v>623</v>
      </c>
      <c r="F107" s="344">
        <f t="shared" si="6"/>
        <v>28000</v>
      </c>
      <c r="G107" s="347">
        <f t="shared" si="7"/>
        <v>6999</v>
      </c>
      <c r="H107" s="347">
        <v>6999</v>
      </c>
      <c r="I107" s="347">
        <v>0</v>
      </c>
      <c r="J107" s="347">
        <v>0</v>
      </c>
      <c r="K107" s="347"/>
      <c r="L107" s="347">
        <f t="shared" si="5"/>
        <v>21001</v>
      </c>
      <c r="M107" s="347"/>
      <c r="N107" s="347"/>
      <c r="O107" s="347"/>
      <c r="P107" s="347"/>
      <c r="Q107" s="347">
        <v>0</v>
      </c>
      <c r="R107" s="347">
        <v>21001</v>
      </c>
      <c r="S107" s="348"/>
    </row>
    <row r="108" spans="1:19" x14ac:dyDescent="0.25">
      <c r="A108" s="344">
        <v>97</v>
      </c>
      <c r="B108" s="344" t="s">
        <v>800</v>
      </c>
      <c r="C108" s="344" t="s">
        <v>686</v>
      </c>
      <c r="D108" s="344" t="s">
        <v>358</v>
      </c>
      <c r="E108" s="346" t="s">
        <v>624</v>
      </c>
      <c r="F108" s="344">
        <f t="shared" si="6"/>
        <v>12904</v>
      </c>
      <c r="G108" s="347">
        <f t="shared" si="7"/>
        <v>4287</v>
      </c>
      <c r="H108" s="347">
        <v>4287</v>
      </c>
      <c r="I108" s="347">
        <v>0</v>
      </c>
      <c r="J108" s="347">
        <v>0</v>
      </c>
      <c r="K108" s="347"/>
      <c r="L108" s="347">
        <f t="shared" si="5"/>
        <v>8617</v>
      </c>
      <c r="M108" s="347"/>
      <c r="N108" s="347"/>
      <c r="O108" s="347"/>
      <c r="P108" s="347"/>
      <c r="Q108" s="347">
        <v>0</v>
      </c>
      <c r="R108" s="347">
        <v>8617</v>
      </c>
      <c r="S108" s="348"/>
    </row>
    <row r="109" spans="1:19" x14ac:dyDescent="0.25">
      <c r="A109" s="344">
        <v>98</v>
      </c>
      <c r="B109" s="344" t="s">
        <v>801</v>
      </c>
      <c r="C109" s="344" t="s">
        <v>686</v>
      </c>
      <c r="D109" s="344" t="s">
        <v>360</v>
      </c>
      <c r="E109" s="346" t="s">
        <v>625</v>
      </c>
      <c r="F109" s="344">
        <f t="shared" si="6"/>
        <v>12543</v>
      </c>
      <c r="G109" s="347">
        <f t="shared" si="7"/>
        <v>3133</v>
      </c>
      <c r="H109" s="347">
        <v>3133</v>
      </c>
      <c r="I109" s="347">
        <v>0</v>
      </c>
      <c r="J109" s="347">
        <v>0</v>
      </c>
      <c r="K109" s="347"/>
      <c r="L109" s="347">
        <f t="shared" si="5"/>
        <v>9410</v>
      </c>
      <c r="M109" s="347"/>
      <c r="N109" s="347"/>
      <c r="O109" s="347"/>
      <c r="P109" s="347"/>
      <c r="Q109" s="347">
        <v>0</v>
      </c>
      <c r="R109" s="347">
        <v>9410</v>
      </c>
      <c r="S109" s="348"/>
    </row>
    <row r="110" spans="1:19" x14ac:dyDescent="0.25">
      <c r="A110" s="344">
        <v>99</v>
      </c>
      <c r="B110" s="344" t="s">
        <v>802</v>
      </c>
      <c r="C110" s="344" t="s">
        <v>686</v>
      </c>
      <c r="D110" s="344" t="s">
        <v>368</v>
      </c>
      <c r="E110" s="346" t="s">
        <v>142</v>
      </c>
      <c r="F110" s="344">
        <f t="shared" si="6"/>
        <v>8052</v>
      </c>
      <c r="G110" s="347">
        <f t="shared" si="7"/>
        <v>2004</v>
      </c>
      <c r="H110" s="347">
        <v>2004</v>
      </c>
      <c r="I110" s="347">
        <v>0</v>
      </c>
      <c r="J110" s="347">
        <v>0</v>
      </c>
      <c r="K110" s="347"/>
      <c r="L110" s="347">
        <f t="shared" si="5"/>
        <v>6048</v>
      </c>
      <c r="M110" s="347"/>
      <c r="N110" s="347"/>
      <c r="O110" s="347"/>
      <c r="P110" s="347"/>
      <c r="Q110" s="347">
        <v>0</v>
      </c>
      <c r="R110" s="347">
        <v>6048</v>
      </c>
      <c r="S110" s="348"/>
    </row>
    <row r="111" spans="1:19" x14ac:dyDescent="0.25">
      <c r="A111" s="344">
        <v>100</v>
      </c>
      <c r="B111" s="344" t="s">
        <v>803</v>
      </c>
      <c r="C111" s="344" t="s">
        <v>695</v>
      </c>
      <c r="D111" s="344" t="s">
        <v>366</v>
      </c>
      <c r="E111" s="346" t="s">
        <v>112</v>
      </c>
      <c r="F111" s="344">
        <f t="shared" si="6"/>
        <v>14053</v>
      </c>
      <c r="G111" s="347">
        <f t="shared" si="7"/>
        <v>3575</v>
      </c>
      <c r="H111" s="347">
        <v>3575</v>
      </c>
      <c r="I111" s="347">
        <v>142</v>
      </c>
      <c r="J111" s="347">
        <v>0</v>
      </c>
      <c r="K111" s="347"/>
      <c r="L111" s="347">
        <f t="shared" si="5"/>
        <v>10478</v>
      </c>
      <c r="M111" s="347"/>
      <c r="N111" s="347"/>
      <c r="O111" s="347"/>
      <c r="P111" s="347"/>
      <c r="Q111" s="347">
        <v>308</v>
      </c>
      <c r="R111" s="347">
        <v>10170</v>
      </c>
      <c r="S111" s="348"/>
    </row>
    <row r="112" spans="1:19" x14ac:dyDescent="0.25">
      <c r="A112" s="344">
        <v>101</v>
      </c>
      <c r="B112" s="344" t="s">
        <v>804</v>
      </c>
      <c r="C112" s="344" t="s">
        <v>715</v>
      </c>
      <c r="D112" s="344" t="s">
        <v>370</v>
      </c>
      <c r="E112" s="346" t="s">
        <v>93</v>
      </c>
      <c r="F112" s="344">
        <f t="shared" si="6"/>
        <v>45477</v>
      </c>
      <c r="G112" s="347">
        <f t="shared" si="7"/>
        <v>11320</v>
      </c>
      <c r="H112" s="347">
        <v>902</v>
      </c>
      <c r="I112" s="347">
        <v>0</v>
      </c>
      <c r="J112" s="347">
        <v>6787</v>
      </c>
      <c r="K112" s="347">
        <v>3631</v>
      </c>
      <c r="L112" s="347">
        <f t="shared" si="5"/>
        <v>34157</v>
      </c>
      <c r="M112" s="347">
        <v>20527</v>
      </c>
      <c r="N112" s="347">
        <v>10801</v>
      </c>
      <c r="O112" s="347"/>
      <c r="P112" s="347"/>
      <c r="Q112" s="347">
        <v>0</v>
      </c>
      <c r="R112" s="347">
        <v>2829</v>
      </c>
      <c r="S112" s="348"/>
    </row>
    <row r="113" spans="1:19" x14ac:dyDescent="0.25">
      <c r="A113" s="344">
        <v>102</v>
      </c>
      <c r="B113" s="344" t="s">
        <v>805</v>
      </c>
      <c r="C113" s="344" t="s">
        <v>686</v>
      </c>
      <c r="D113" s="344" t="s">
        <v>372</v>
      </c>
      <c r="E113" s="346" t="s">
        <v>141</v>
      </c>
      <c r="F113" s="344">
        <f t="shared" si="6"/>
        <v>804</v>
      </c>
      <c r="G113" s="347">
        <f t="shared" si="7"/>
        <v>804</v>
      </c>
      <c r="H113" s="347">
        <v>804</v>
      </c>
      <c r="I113" s="347">
        <v>30</v>
      </c>
      <c r="J113" s="347">
        <v>0</v>
      </c>
      <c r="K113" s="347"/>
      <c r="L113" s="347">
        <f t="shared" si="5"/>
        <v>0</v>
      </c>
      <c r="M113" s="347"/>
      <c r="N113" s="347"/>
      <c r="O113" s="347"/>
      <c r="P113" s="347"/>
      <c r="Q113" s="347">
        <v>0</v>
      </c>
      <c r="R113" s="347">
        <v>0</v>
      </c>
      <c r="S113" s="348"/>
    </row>
    <row r="114" spans="1:19" ht="45" x14ac:dyDescent="0.25">
      <c r="A114" s="576">
        <v>103</v>
      </c>
      <c r="B114" s="344"/>
      <c r="C114" s="344"/>
      <c r="D114" s="344" t="s">
        <v>374</v>
      </c>
      <c r="E114" s="346" t="s">
        <v>806</v>
      </c>
      <c r="F114" s="344">
        <f t="shared" si="6"/>
        <v>5926</v>
      </c>
      <c r="G114" s="347">
        <f t="shared" si="7"/>
        <v>1796</v>
      </c>
      <c r="H114" s="347">
        <v>1796</v>
      </c>
      <c r="I114" s="347">
        <v>69</v>
      </c>
      <c r="J114" s="347">
        <v>0</v>
      </c>
      <c r="K114" s="347"/>
      <c r="L114" s="347">
        <f t="shared" si="5"/>
        <v>4130</v>
      </c>
      <c r="M114" s="347"/>
      <c r="N114" s="347"/>
      <c r="O114" s="347"/>
      <c r="P114" s="347"/>
      <c r="Q114" s="347">
        <v>331</v>
      </c>
      <c r="R114" s="347">
        <v>3799</v>
      </c>
      <c r="S114" s="348"/>
    </row>
    <row r="115" spans="1:19" x14ac:dyDescent="0.25">
      <c r="A115" s="577"/>
      <c r="B115" s="344" t="s">
        <v>807</v>
      </c>
      <c r="C115" s="344" t="s">
        <v>715</v>
      </c>
      <c r="D115" s="344" t="s">
        <v>376</v>
      </c>
      <c r="E115" s="346" t="s">
        <v>92</v>
      </c>
      <c r="F115" s="344">
        <f t="shared" si="6"/>
        <v>42574</v>
      </c>
      <c r="G115" s="347">
        <f t="shared" si="7"/>
        <v>10640</v>
      </c>
      <c r="H115" s="347">
        <v>10640</v>
      </c>
      <c r="I115" s="347">
        <v>26</v>
      </c>
      <c r="J115" s="347">
        <v>0</v>
      </c>
      <c r="K115" s="347"/>
      <c r="L115" s="347">
        <f t="shared" si="5"/>
        <v>31934</v>
      </c>
      <c r="M115" s="347"/>
      <c r="N115" s="347"/>
      <c r="O115" s="347">
        <v>0</v>
      </c>
      <c r="P115" s="347"/>
      <c r="Q115" s="347">
        <v>623</v>
      </c>
      <c r="R115" s="347">
        <v>31311</v>
      </c>
      <c r="S115" s="348"/>
    </row>
    <row r="116" spans="1:19" x14ac:dyDescent="0.25">
      <c r="A116" s="344">
        <v>104</v>
      </c>
      <c r="B116" s="344" t="s">
        <v>808</v>
      </c>
      <c r="C116" s="344" t="s">
        <v>809</v>
      </c>
      <c r="D116" s="344" t="s">
        <v>380</v>
      </c>
      <c r="E116" s="346" t="s">
        <v>810</v>
      </c>
      <c r="F116" s="344">
        <f t="shared" si="6"/>
        <v>15932</v>
      </c>
      <c r="G116" s="347">
        <f t="shared" si="7"/>
        <v>3969</v>
      </c>
      <c r="H116" s="347">
        <v>3969</v>
      </c>
      <c r="I116" s="347">
        <v>77</v>
      </c>
      <c r="J116" s="347">
        <v>0</v>
      </c>
      <c r="K116" s="347"/>
      <c r="L116" s="347">
        <f t="shared" si="5"/>
        <v>11963</v>
      </c>
      <c r="M116" s="347"/>
      <c r="N116" s="347"/>
      <c r="O116" s="347">
        <v>0</v>
      </c>
      <c r="P116" s="347"/>
      <c r="Q116" s="347">
        <v>263</v>
      </c>
      <c r="R116" s="347">
        <v>11700</v>
      </c>
      <c r="S116" s="348"/>
    </row>
    <row r="117" spans="1:19" x14ac:dyDescent="0.25">
      <c r="A117" s="344">
        <v>105</v>
      </c>
      <c r="B117" s="344" t="s">
        <v>811</v>
      </c>
      <c r="C117" s="344" t="s">
        <v>695</v>
      </c>
      <c r="D117" s="344" t="s">
        <v>364</v>
      </c>
      <c r="E117" s="346" t="s">
        <v>130</v>
      </c>
      <c r="F117" s="344">
        <f t="shared" si="6"/>
        <v>41449</v>
      </c>
      <c r="G117" s="347">
        <f t="shared" si="7"/>
        <v>10359</v>
      </c>
      <c r="H117" s="347">
        <v>4044</v>
      </c>
      <c r="I117" s="347">
        <v>0</v>
      </c>
      <c r="J117" s="347">
        <v>6315</v>
      </c>
      <c r="K117" s="347"/>
      <c r="L117" s="347">
        <f t="shared" si="5"/>
        <v>31090</v>
      </c>
      <c r="M117" s="347">
        <v>18957</v>
      </c>
      <c r="N117" s="347"/>
      <c r="O117" s="347"/>
      <c r="P117" s="347"/>
      <c r="Q117" s="347">
        <v>0</v>
      </c>
      <c r="R117" s="347">
        <v>12133</v>
      </c>
      <c r="S117" s="348"/>
    </row>
    <row r="118" spans="1:19" x14ac:dyDescent="0.25">
      <c r="A118" s="344">
        <v>106</v>
      </c>
      <c r="B118" s="344" t="s">
        <v>812</v>
      </c>
      <c r="C118" s="344" t="s">
        <v>809</v>
      </c>
      <c r="D118" s="344" t="s">
        <v>378</v>
      </c>
      <c r="E118" s="346" t="s">
        <v>86</v>
      </c>
      <c r="F118" s="344">
        <f t="shared" si="6"/>
        <v>30005</v>
      </c>
      <c r="G118" s="347">
        <f t="shared" si="7"/>
        <v>7493</v>
      </c>
      <c r="H118" s="347">
        <v>7493</v>
      </c>
      <c r="I118" s="347">
        <v>0</v>
      </c>
      <c r="J118" s="347">
        <v>0</v>
      </c>
      <c r="K118" s="347"/>
      <c r="L118" s="347">
        <f t="shared" si="5"/>
        <v>22512</v>
      </c>
      <c r="M118" s="347"/>
      <c r="N118" s="347"/>
      <c r="O118" s="347">
        <v>18000</v>
      </c>
      <c r="P118" s="347"/>
      <c r="Q118" s="347">
        <v>0</v>
      </c>
      <c r="R118" s="347">
        <v>4512</v>
      </c>
      <c r="S118" s="348"/>
    </row>
    <row r="119" spans="1:19" x14ac:dyDescent="0.25">
      <c r="A119" s="344">
        <v>107</v>
      </c>
      <c r="B119" s="344" t="s">
        <v>813</v>
      </c>
      <c r="C119" s="344" t="s">
        <v>686</v>
      </c>
      <c r="D119" s="344" t="s">
        <v>330</v>
      </c>
      <c r="E119" s="346" t="s">
        <v>607</v>
      </c>
      <c r="F119" s="344">
        <f t="shared" si="6"/>
        <v>11163</v>
      </c>
      <c r="G119" s="347">
        <f t="shared" si="7"/>
        <v>2784</v>
      </c>
      <c r="H119" s="347">
        <v>2784</v>
      </c>
      <c r="I119" s="347">
        <v>0</v>
      </c>
      <c r="J119" s="347">
        <v>0</v>
      </c>
      <c r="K119" s="347"/>
      <c r="L119" s="347">
        <f t="shared" si="5"/>
        <v>8379</v>
      </c>
      <c r="M119" s="347"/>
      <c r="N119" s="347"/>
      <c r="O119" s="347"/>
      <c r="P119" s="347"/>
      <c r="Q119" s="347">
        <v>0</v>
      </c>
      <c r="R119" s="347">
        <v>8379</v>
      </c>
      <c r="S119" s="348"/>
    </row>
    <row r="120" spans="1:19" x14ac:dyDescent="0.25">
      <c r="A120" s="344">
        <v>108</v>
      </c>
      <c r="B120" s="344" t="s">
        <v>814</v>
      </c>
      <c r="C120" s="344" t="s">
        <v>686</v>
      </c>
      <c r="D120" s="344" t="s">
        <v>332</v>
      </c>
      <c r="E120" s="346" t="s">
        <v>608</v>
      </c>
      <c r="F120" s="344">
        <f t="shared" si="6"/>
        <v>9539</v>
      </c>
      <c r="G120" s="347">
        <f t="shared" si="7"/>
        <v>2382</v>
      </c>
      <c r="H120" s="347">
        <v>2382</v>
      </c>
      <c r="I120" s="347">
        <v>0</v>
      </c>
      <c r="J120" s="347">
        <v>0</v>
      </c>
      <c r="K120" s="347"/>
      <c r="L120" s="347">
        <f t="shared" si="5"/>
        <v>7157</v>
      </c>
      <c r="M120" s="347"/>
      <c r="N120" s="347"/>
      <c r="O120" s="347"/>
      <c r="P120" s="347"/>
      <c r="Q120" s="347">
        <v>0</v>
      </c>
      <c r="R120" s="347">
        <v>7157</v>
      </c>
      <c r="S120" s="348"/>
    </row>
    <row r="121" spans="1:19" x14ac:dyDescent="0.25">
      <c r="A121" s="344">
        <v>109</v>
      </c>
      <c r="B121" s="344" t="s">
        <v>815</v>
      </c>
      <c r="C121" s="344" t="s">
        <v>686</v>
      </c>
      <c r="D121" s="344" t="s">
        <v>334</v>
      </c>
      <c r="E121" s="346" t="s">
        <v>609</v>
      </c>
      <c r="F121" s="344">
        <f t="shared" si="6"/>
        <v>26459</v>
      </c>
      <c r="G121" s="347">
        <f t="shared" si="7"/>
        <v>6603</v>
      </c>
      <c r="H121" s="347">
        <v>3280</v>
      </c>
      <c r="I121" s="347">
        <v>0</v>
      </c>
      <c r="J121" s="347">
        <v>3323</v>
      </c>
      <c r="K121" s="347"/>
      <c r="L121" s="347">
        <f t="shared" si="5"/>
        <v>19856</v>
      </c>
      <c r="M121" s="347">
        <v>9988</v>
      </c>
      <c r="N121" s="347"/>
      <c r="O121" s="347"/>
      <c r="P121" s="347"/>
      <c r="Q121" s="347">
        <v>0</v>
      </c>
      <c r="R121" s="347">
        <v>9868</v>
      </c>
      <c r="S121" s="348"/>
    </row>
    <row r="122" spans="1:19" x14ac:dyDescent="0.25">
      <c r="A122" s="344">
        <v>110</v>
      </c>
      <c r="B122" s="344" t="s">
        <v>816</v>
      </c>
      <c r="C122" s="344" t="s">
        <v>686</v>
      </c>
      <c r="D122" s="344" t="s">
        <v>336</v>
      </c>
      <c r="E122" s="346" t="s">
        <v>610</v>
      </c>
      <c r="F122" s="344">
        <f t="shared" si="6"/>
        <v>28531</v>
      </c>
      <c r="G122" s="347">
        <f t="shared" si="7"/>
        <v>7121</v>
      </c>
      <c r="H122" s="347">
        <v>3992</v>
      </c>
      <c r="I122" s="347">
        <v>0</v>
      </c>
      <c r="J122" s="347">
        <v>3129</v>
      </c>
      <c r="K122" s="347"/>
      <c r="L122" s="347">
        <f t="shared" si="5"/>
        <v>21410</v>
      </c>
      <c r="M122" s="347">
        <v>9382</v>
      </c>
      <c r="N122" s="347"/>
      <c r="O122" s="347"/>
      <c r="P122" s="347"/>
      <c r="Q122" s="347">
        <v>0</v>
      </c>
      <c r="R122" s="347">
        <v>12028</v>
      </c>
      <c r="S122" s="348"/>
    </row>
    <row r="123" spans="1:19" x14ac:dyDescent="0.25">
      <c r="A123" s="344">
        <v>111</v>
      </c>
      <c r="B123" s="344" t="s">
        <v>817</v>
      </c>
      <c r="C123" s="344" t="s">
        <v>686</v>
      </c>
      <c r="D123" s="344" t="s">
        <v>338</v>
      </c>
      <c r="E123" s="346" t="s">
        <v>611</v>
      </c>
      <c r="F123" s="344">
        <f t="shared" si="6"/>
        <v>5997</v>
      </c>
      <c r="G123" s="347">
        <f t="shared" si="7"/>
        <v>1500</v>
      </c>
      <c r="H123" s="347">
        <v>1500</v>
      </c>
      <c r="I123" s="347">
        <v>77</v>
      </c>
      <c r="J123" s="347">
        <v>0</v>
      </c>
      <c r="K123" s="347"/>
      <c r="L123" s="347">
        <f t="shared" si="5"/>
        <v>4497</v>
      </c>
      <c r="M123" s="347">
        <v>0</v>
      </c>
      <c r="N123" s="347"/>
      <c r="O123" s="347"/>
      <c r="P123" s="347"/>
      <c r="Q123" s="347">
        <v>523</v>
      </c>
      <c r="R123" s="347">
        <v>3974</v>
      </c>
      <c r="S123" s="348"/>
    </row>
    <row r="124" spans="1:19" ht="30" x14ac:dyDescent="0.25">
      <c r="A124" s="344">
        <v>112</v>
      </c>
      <c r="B124" s="344" t="s">
        <v>818</v>
      </c>
      <c r="C124" s="344" t="s">
        <v>686</v>
      </c>
      <c r="D124" s="344" t="s">
        <v>614</v>
      </c>
      <c r="E124" s="346" t="s">
        <v>615</v>
      </c>
      <c r="F124" s="344">
        <f t="shared" si="6"/>
        <v>9800</v>
      </c>
      <c r="G124" s="347">
        <f t="shared" si="7"/>
        <v>2844</v>
      </c>
      <c r="H124" s="347">
        <v>2844</v>
      </c>
      <c r="I124" s="347">
        <v>2844</v>
      </c>
      <c r="J124" s="347">
        <v>0</v>
      </c>
      <c r="K124" s="347"/>
      <c r="L124" s="347">
        <f t="shared" si="5"/>
        <v>6956</v>
      </c>
      <c r="M124" s="347">
        <v>0</v>
      </c>
      <c r="N124" s="347"/>
      <c r="O124" s="347"/>
      <c r="P124" s="347">
        <v>6131</v>
      </c>
      <c r="Q124" s="347">
        <f>6956-6131</f>
        <v>825</v>
      </c>
      <c r="R124" s="347">
        <v>0</v>
      </c>
      <c r="S124" s="348"/>
    </row>
    <row r="125" spans="1:19" x14ac:dyDescent="0.25">
      <c r="A125" s="344">
        <v>113</v>
      </c>
      <c r="B125" s="344" t="s">
        <v>819</v>
      </c>
      <c r="C125" s="344" t="s">
        <v>686</v>
      </c>
      <c r="D125" s="344" t="s">
        <v>628</v>
      </c>
      <c r="E125" s="346" t="s">
        <v>629</v>
      </c>
      <c r="F125" s="344">
        <f t="shared" si="6"/>
        <v>23001</v>
      </c>
      <c r="G125" s="347">
        <f t="shared" si="7"/>
        <v>5742</v>
      </c>
      <c r="H125" s="347">
        <v>5742</v>
      </c>
      <c r="I125" s="347">
        <v>5742</v>
      </c>
      <c r="J125" s="347">
        <v>0</v>
      </c>
      <c r="K125" s="347"/>
      <c r="L125" s="347">
        <f t="shared" si="5"/>
        <v>17259</v>
      </c>
      <c r="M125" s="347">
        <v>0</v>
      </c>
      <c r="N125" s="347"/>
      <c r="O125" s="347"/>
      <c r="P125" s="347">
        <v>15345</v>
      </c>
      <c r="Q125" s="347">
        <f>17259-15345</f>
        <v>1914</v>
      </c>
      <c r="R125" s="347">
        <v>0</v>
      </c>
      <c r="S125" s="348"/>
    </row>
    <row r="126" spans="1:19" x14ac:dyDescent="0.25">
      <c r="A126" s="344">
        <v>114</v>
      </c>
      <c r="B126" s="344" t="s">
        <v>820</v>
      </c>
      <c r="C126" s="344" t="s">
        <v>686</v>
      </c>
      <c r="D126" s="344"/>
      <c r="E126" s="346" t="s">
        <v>821</v>
      </c>
      <c r="F126" s="344">
        <f t="shared" si="6"/>
        <v>12</v>
      </c>
      <c r="G126" s="347">
        <f t="shared" si="7"/>
        <v>0</v>
      </c>
      <c r="H126" s="347">
        <v>0</v>
      </c>
      <c r="I126" s="347">
        <v>0</v>
      </c>
      <c r="J126" s="347">
        <v>0</v>
      </c>
      <c r="K126" s="347"/>
      <c r="L126" s="347">
        <f t="shared" si="5"/>
        <v>12</v>
      </c>
      <c r="M126" s="347">
        <v>0</v>
      </c>
      <c r="N126" s="347"/>
      <c r="O126" s="347"/>
      <c r="P126" s="347">
        <v>12</v>
      </c>
      <c r="Q126" s="347"/>
      <c r="R126" s="347">
        <v>0</v>
      </c>
      <c r="S126" s="348"/>
    </row>
    <row r="127" spans="1:19" x14ac:dyDescent="0.25">
      <c r="A127" s="344">
        <v>115</v>
      </c>
      <c r="B127" s="350" t="s">
        <v>822</v>
      </c>
      <c r="C127" s="344" t="s">
        <v>686</v>
      </c>
      <c r="D127" s="344"/>
      <c r="E127" s="346" t="s">
        <v>823</v>
      </c>
      <c r="F127" s="344">
        <f t="shared" si="6"/>
        <v>6</v>
      </c>
      <c r="G127" s="347">
        <f t="shared" si="7"/>
        <v>0</v>
      </c>
      <c r="H127" s="347">
        <v>0</v>
      </c>
      <c r="I127" s="347">
        <v>0</v>
      </c>
      <c r="J127" s="347">
        <v>0</v>
      </c>
      <c r="K127" s="347"/>
      <c r="L127" s="347">
        <f t="shared" si="5"/>
        <v>6</v>
      </c>
      <c r="M127" s="347">
        <v>0</v>
      </c>
      <c r="N127" s="347"/>
      <c r="O127" s="347"/>
      <c r="P127" s="347">
        <v>6</v>
      </c>
      <c r="Q127" s="347"/>
      <c r="R127" s="347">
        <v>0</v>
      </c>
      <c r="S127" s="348"/>
    </row>
    <row r="128" spans="1:19" x14ac:dyDescent="0.25">
      <c r="A128" s="344">
        <v>116</v>
      </c>
      <c r="B128" s="350" t="s">
        <v>824</v>
      </c>
      <c r="C128" s="344" t="s">
        <v>686</v>
      </c>
      <c r="D128" s="344"/>
      <c r="E128" s="346" t="s">
        <v>825</v>
      </c>
      <c r="F128" s="344">
        <f t="shared" si="6"/>
        <v>6</v>
      </c>
      <c r="G128" s="347">
        <f t="shared" si="7"/>
        <v>0</v>
      </c>
      <c r="H128" s="347">
        <v>0</v>
      </c>
      <c r="I128" s="347">
        <v>0</v>
      </c>
      <c r="J128" s="347">
        <v>0</v>
      </c>
      <c r="K128" s="347"/>
      <c r="L128" s="347">
        <f t="shared" si="5"/>
        <v>6</v>
      </c>
      <c r="M128" s="347">
        <v>0</v>
      </c>
      <c r="N128" s="347"/>
      <c r="O128" s="347"/>
      <c r="P128" s="347">
        <v>6</v>
      </c>
      <c r="Q128" s="347"/>
      <c r="R128" s="347">
        <v>0</v>
      </c>
      <c r="S128" s="348"/>
    </row>
    <row r="129" spans="1:19" x14ac:dyDescent="0.25">
      <c r="A129" s="344">
        <v>117</v>
      </c>
      <c r="B129" s="350"/>
      <c r="C129" s="344" t="s">
        <v>686</v>
      </c>
      <c r="D129" s="344"/>
      <c r="E129" s="346" t="s">
        <v>826</v>
      </c>
      <c r="F129" s="344">
        <f t="shared" si="6"/>
        <v>6</v>
      </c>
      <c r="G129" s="347">
        <f t="shared" si="7"/>
        <v>0</v>
      </c>
      <c r="H129" s="347">
        <v>0</v>
      </c>
      <c r="I129" s="347">
        <v>0</v>
      </c>
      <c r="J129" s="347">
        <v>0</v>
      </c>
      <c r="K129" s="347"/>
      <c r="L129" s="347">
        <f t="shared" si="5"/>
        <v>6</v>
      </c>
      <c r="M129" s="347">
        <v>0</v>
      </c>
      <c r="N129" s="347"/>
      <c r="O129" s="347"/>
      <c r="P129" s="347">
        <v>6</v>
      </c>
      <c r="Q129" s="347"/>
      <c r="R129" s="347">
        <v>0</v>
      </c>
      <c r="S129" s="348"/>
    </row>
    <row r="130" spans="1:19" x14ac:dyDescent="0.25">
      <c r="A130" s="344">
        <v>118</v>
      </c>
      <c r="B130" s="350"/>
      <c r="C130" s="344" t="s">
        <v>686</v>
      </c>
      <c r="D130" s="344" t="s">
        <v>313</v>
      </c>
      <c r="E130" s="346" t="s">
        <v>485</v>
      </c>
      <c r="F130" s="344">
        <f t="shared" si="6"/>
        <v>6</v>
      </c>
      <c r="G130" s="347">
        <f t="shared" si="7"/>
        <v>6</v>
      </c>
      <c r="H130" s="347">
        <v>6</v>
      </c>
      <c r="I130" s="347">
        <v>6</v>
      </c>
      <c r="J130" s="347">
        <v>0</v>
      </c>
      <c r="K130" s="347"/>
      <c r="L130" s="347">
        <f t="shared" si="5"/>
        <v>0</v>
      </c>
      <c r="M130" s="347">
        <v>0</v>
      </c>
      <c r="N130" s="347"/>
      <c r="O130" s="347"/>
      <c r="P130" s="347">
        <v>0</v>
      </c>
      <c r="Q130" s="347"/>
      <c r="R130" s="347">
        <v>0</v>
      </c>
      <c r="S130" s="348"/>
    </row>
    <row r="131" spans="1:19" x14ac:dyDescent="0.25">
      <c r="A131" s="344">
        <v>119</v>
      </c>
      <c r="B131" s="350"/>
      <c r="C131" s="344"/>
      <c r="D131" s="344"/>
      <c r="E131" s="346" t="s">
        <v>827</v>
      </c>
      <c r="F131" s="344">
        <f t="shared" si="6"/>
        <v>0</v>
      </c>
      <c r="G131" s="347">
        <f t="shared" si="7"/>
        <v>0</v>
      </c>
      <c r="H131" s="347">
        <v>0</v>
      </c>
      <c r="I131" s="347">
        <v>0</v>
      </c>
      <c r="J131" s="347">
        <v>0</v>
      </c>
      <c r="K131" s="347"/>
      <c r="L131" s="347">
        <f t="shared" si="5"/>
        <v>0</v>
      </c>
      <c r="M131" s="347">
        <v>0</v>
      </c>
      <c r="N131" s="347"/>
      <c r="O131" s="347"/>
      <c r="P131" s="347">
        <v>0</v>
      </c>
      <c r="Q131" s="347"/>
      <c r="R131" s="347">
        <v>0</v>
      </c>
      <c r="S131" s="348"/>
    </row>
    <row r="132" spans="1:19" x14ac:dyDescent="0.25">
      <c r="A132" s="344">
        <v>120</v>
      </c>
      <c r="B132" s="344" t="s">
        <v>828</v>
      </c>
      <c r="C132" s="344" t="s">
        <v>686</v>
      </c>
      <c r="D132" s="344" t="s">
        <v>323</v>
      </c>
      <c r="E132" s="346" t="s">
        <v>324</v>
      </c>
      <c r="F132" s="344">
        <f t="shared" si="6"/>
        <v>2245</v>
      </c>
      <c r="G132" s="347">
        <f t="shared" si="7"/>
        <v>559</v>
      </c>
      <c r="H132" s="347">
        <v>559</v>
      </c>
      <c r="I132" s="347">
        <v>242</v>
      </c>
      <c r="J132" s="347">
        <v>0</v>
      </c>
      <c r="K132" s="347"/>
      <c r="L132" s="347">
        <f t="shared" si="5"/>
        <v>1686</v>
      </c>
      <c r="M132" s="347"/>
      <c r="N132" s="347"/>
      <c r="O132" s="347"/>
      <c r="P132" s="347"/>
      <c r="Q132" s="347">
        <v>803</v>
      </c>
      <c r="R132" s="347">
        <v>883</v>
      </c>
      <c r="S132" s="348"/>
    </row>
    <row r="133" spans="1:19" x14ac:dyDescent="0.25">
      <c r="A133" s="344">
        <v>121</v>
      </c>
      <c r="B133" s="344" t="s">
        <v>829</v>
      </c>
      <c r="C133" s="344" t="s">
        <v>695</v>
      </c>
      <c r="D133" s="344" t="s">
        <v>329</v>
      </c>
      <c r="E133" s="346" t="s">
        <v>644</v>
      </c>
      <c r="F133" s="344">
        <f t="shared" si="6"/>
        <v>7270</v>
      </c>
      <c r="G133" s="347">
        <f t="shared" si="7"/>
        <v>1813</v>
      </c>
      <c r="H133" s="347">
        <v>1813</v>
      </c>
      <c r="I133" s="347">
        <v>0</v>
      </c>
      <c r="J133" s="347">
        <v>0</v>
      </c>
      <c r="K133" s="347"/>
      <c r="L133" s="347">
        <f t="shared" si="5"/>
        <v>5457</v>
      </c>
      <c r="M133" s="347"/>
      <c r="N133" s="347"/>
      <c r="O133" s="347"/>
      <c r="P133" s="347"/>
      <c r="Q133" s="347">
        <v>1648</v>
      </c>
      <c r="R133" s="347">
        <v>3809</v>
      </c>
      <c r="S133" s="348"/>
    </row>
    <row r="134" spans="1:19" x14ac:dyDescent="0.25">
      <c r="A134" s="344">
        <v>122</v>
      </c>
      <c r="B134" s="344" t="s">
        <v>830</v>
      </c>
      <c r="C134" s="344" t="s">
        <v>831</v>
      </c>
      <c r="D134" s="344" t="s">
        <v>384</v>
      </c>
      <c r="E134" s="346" t="s">
        <v>79</v>
      </c>
      <c r="F134" s="344">
        <f t="shared" si="6"/>
        <v>4028</v>
      </c>
      <c r="G134" s="347">
        <f t="shared" si="7"/>
        <v>1001</v>
      </c>
      <c r="H134" s="347">
        <v>1001</v>
      </c>
      <c r="I134" s="347">
        <v>0</v>
      </c>
      <c r="J134" s="347">
        <v>0</v>
      </c>
      <c r="K134" s="347"/>
      <c r="L134" s="347">
        <f t="shared" si="5"/>
        <v>3027</v>
      </c>
      <c r="M134" s="347"/>
      <c r="N134" s="347"/>
      <c r="O134" s="347"/>
      <c r="P134" s="347"/>
      <c r="Q134" s="347">
        <v>0</v>
      </c>
      <c r="R134" s="347">
        <v>3027</v>
      </c>
      <c r="S134" s="348"/>
    </row>
    <row r="135" spans="1:19" x14ac:dyDescent="0.25">
      <c r="A135" s="344">
        <v>123</v>
      </c>
      <c r="B135" s="344" t="s">
        <v>832</v>
      </c>
      <c r="C135" s="344" t="s">
        <v>809</v>
      </c>
      <c r="D135" s="344" t="s">
        <v>388</v>
      </c>
      <c r="E135" s="346" t="s">
        <v>833</v>
      </c>
      <c r="F135" s="344">
        <f t="shared" si="6"/>
        <v>12716</v>
      </c>
      <c r="G135" s="347">
        <f t="shared" si="7"/>
        <v>3170</v>
      </c>
      <c r="H135" s="347">
        <v>0</v>
      </c>
      <c r="I135" s="347">
        <v>0</v>
      </c>
      <c r="J135" s="347">
        <v>0</v>
      </c>
      <c r="K135" s="347">
        <v>3170</v>
      </c>
      <c r="L135" s="347">
        <f t="shared" si="5"/>
        <v>9546</v>
      </c>
      <c r="M135" s="347"/>
      <c r="N135" s="347">
        <v>9546</v>
      </c>
      <c r="O135" s="347"/>
      <c r="P135" s="347"/>
      <c r="Q135" s="347">
        <v>0</v>
      </c>
      <c r="R135" s="347">
        <v>0</v>
      </c>
      <c r="S135" s="348"/>
    </row>
    <row r="136" spans="1:19" s="342" customFormat="1" x14ac:dyDescent="0.25">
      <c r="A136" s="344">
        <v>124</v>
      </c>
      <c r="B136" s="344" t="s">
        <v>834</v>
      </c>
      <c r="C136" s="344" t="s">
        <v>835</v>
      </c>
      <c r="D136" s="344" t="s">
        <v>385</v>
      </c>
      <c r="E136" s="346" t="s">
        <v>72</v>
      </c>
      <c r="F136" s="344">
        <f t="shared" si="6"/>
        <v>23850</v>
      </c>
      <c r="G136" s="347">
        <f t="shared" si="7"/>
        <v>5951</v>
      </c>
      <c r="H136" s="347">
        <v>963</v>
      </c>
      <c r="I136" s="347">
        <v>0</v>
      </c>
      <c r="J136" s="347">
        <v>4988</v>
      </c>
      <c r="K136" s="347"/>
      <c r="L136" s="347">
        <f t="shared" si="5"/>
        <v>17899</v>
      </c>
      <c r="M136" s="351">
        <v>14986</v>
      </c>
      <c r="N136" s="351"/>
      <c r="O136" s="351">
        <v>0</v>
      </c>
      <c r="P136" s="351">
        <v>2913</v>
      </c>
      <c r="Q136" s="347">
        <v>0</v>
      </c>
      <c r="R136" s="347">
        <v>0</v>
      </c>
      <c r="S136" s="348"/>
    </row>
    <row r="137" spans="1:19" x14ac:dyDescent="0.25">
      <c r="A137" s="344">
        <v>125</v>
      </c>
      <c r="B137" s="344" t="s">
        <v>746</v>
      </c>
      <c r="C137" s="344" t="s">
        <v>809</v>
      </c>
      <c r="D137" s="344">
        <v>123</v>
      </c>
      <c r="E137" s="346" t="s">
        <v>836</v>
      </c>
      <c r="F137" s="344">
        <f t="shared" si="6"/>
        <v>49841</v>
      </c>
      <c r="G137" s="347">
        <f t="shared" si="7"/>
        <v>10204</v>
      </c>
      <c r="H137" s="347">
        <v>3255</v>
      </c>
      <c r="I137" s="347">
        <v>0</v>
      </c>
      <c r="J137" s="347">
        <v>6949</v>
      </c>
      <c r="K137" s="347"/>
      <c r="L137" s="347">
        <f t="shared" si="5"/>
        <v>39637</v>
      </c>
      <c r="M137" s="351">
        <v>19840</v>
      </c>
      <c r="N137" s="347"/>
      <c r="O137" s="347">
        <v>13052</v>
      </c>
      <c r="P137" s="347"/>
      <c r="Q137" s="347">
        <v>0</v>
      </c>
      <c r="R137" s="347">
        <v>6745</v>
      </c>
      <c r="S137" s="348"/>
    </row>
    <row r="138" spans="1:19" x14ac:dyDescent="0.25">
      <c r="A138" s="344">
        <v>126</v>
      </c>
      <c r="B138" s="344" t="s">
        <v>837</v>
      </c>
      <c r="C138" s="344" t="s">
        <v>809</v>
      </c>
      <c r="D138" s="344" t="s">
        <v>21</v>
      </c>
      <c r="E138" s="346" t="s">
        <v>68</v>
      </c>
      <c r="F138" s="344">
        <f t="shared" si="6"/>
        <v>30000</v>
      </c>
      <c r="G138" s="347">
        <f t="shared" si="7"/>
        <v>7482</v>
      </c>
      <c r="H138" s="347">
        <v>7482</v>
      </c>
      <c r="I138" s="347">
        <v>0</v>
      </c>
      <c r="J138" s="347">
        <v>0</v>
      </c>
      <c r="K138" s="347"/>
      <c r="L138" s="347">
        <f t="shared" si="5"/>
        <v>22518</v>
      </c>
      <c r="M138" s="347"/>
      <c r="N138" s="347"/>
      <c r="O138" s="347">
        <v>22518</v>
      </c>
      <c r="P138" s="347">
        <v>0</v>
      </c>
      <c r="Q138" s="347">
        <v>0</v>
      </c>
      <c r="R138" s="347">
        <v>0</v>
      </c>
      <c r="S138" s="348"/>
    </row>
    <row r="139" spans="1:19" x14ac:dyDescent="0.25">
      <c r="A139" s="344">
        <v>127</v>
      </c>
      <c r="B139" s="344" t="s">
        <v>838</v>
      </c>
      <c r="C139" s="344" t="s">
        <v>809</v>
      </c>
      <c r="D139" s="344" t="s">
        <v>25</v>
      </c>
      <c r="E139" s="346" t="s">
        <v>11</v>
      </c>
      <c r="F139" s="344">
        <f t="shared" si="6"/>
        <v>4000</v>
      </c>
      <c r="G139" s="347">
        <f t="shared" si="7"/>
        <v>998</v>
      </c>
      <c r="H139" s="347">
        <v>998</v>
      </c>
      <c r="I139" s="347">
        <v>0</v>
      </c>
      <c r="J139" s="347">
        <v>0</v>
      </c>
      <c r="K139" s="347"/>
      <c r="L139" s="347">
        <f t="shared" ref="L139" si="8">M139+N139+O139+P139+Q139+R139</f>
        <v>3002</v>
      </c>
      <c r="M139" s="347"/>
      <c r="N139" s="347"/>
      <c r="O139" s="347"/>
      <c r="P139" s="347">
        <v>3002</v>
      </c>
      <c r="Q139" s="347">
        <v>0</v>
      </c>
      <c r="R139" s="347">
        <v>0</v>
      </c>
      <c r="S139" s="348"/>
    </row>
    <row r="140" spans="1:19" x14ac:dyDescent="0.25">
      <c r="A140" s="344"/>
      <c r="B140" s="344" t="s">
        <v>839</v>
      </c>
      <c r="C140" s="344" t="s">
        <v>839</v>
      </c>
      <c r="D140" s="344"/>
      <c r="E140" s="346" t="s">
        <v>78</v>
      </c>
      <c r="F140" s="344">
        <v>9178</v>
      </c>
      <c r="G140" s="347">
        <v>0</v>
      </c>
      <c r="H140" s="347">
        <v>0</v>
      </c>
      <c r="I140" s="347">
        <v>0</v>
      </c>
      <c r="J140" s="347">
        <v>0</v>
      </c>
      <c r="K140" s="347"/>
      <c r="L140" s="347"/>
      <c r="M140" s="347"/>
      <c r="N140" s="347"/>
      <c r="O140" s="347"/>
      <c r="P140" s="347"/>
      <c r="Q140" s="347">
        <v>0</v>
      </c>
      <c r="R140" s="347">
        <v>0</v>
      </c>
      <c r="S140" s="348"/>
    </row>
    <row r="141" spans="1:19" s="355" customFormat="1" ht="19.5" x14ac:dyDescent="0.25">
      <c r="A141" s="352"/>
      <c r="B141" s="352"/>
      <c r="C141" s="352"/>
      <c r="D141" s="352"/>
      <c r="E141" s="353" t="s">
        <v>8</v>
      </c>
      <c r="F141" s="354">
        <f>SUM(F10:F140)</f>
        <v>2175000</v>
      </c>
      <c r="G141" s="354">
        <f t="shared" ref="G141:R141" si="9">SUM(G10:G140)</f>
        <v>538864</v>
      </c>
      <c r="H141" s="354">
        <f t="shared" si="9"/>
        <v>496671</v>
      </c>
      <c r="I141" s="354">
        <f t="shared" si="9"/>
        <v>47995</v>
      </c>
      <c r="J141" s="354">
        <f t="shared" si="9"/>
        <v>35392</v>
      </c>
      <c r="K141" s="354">
        <f t="shared" si="9"/>
        <v>6801</v>
      </c>
      <c r="L141" s="354">
        <f t="shared" si="9"/>
        <v>1626958</v>
      </c>
      <c r="M141" s="354">
        <f t="shared" si="9"/>
        <v>114518</v>
      </c>
      <c r="N141" s="354">
        <f t="shared" si="9"/>
        <v>20347</v>
      </c>
      <c r="O141" s="354">
        <f t="shared" si="9"/>
        <v>53570</v>
      </c>
      <c r="P141" s="354">
        <f t="shared" si="9"/>
        <v>35723</v>
      </c>
      <c r="Q141" s="354">
        <f t="shared" si="9"/>
        <v>124142</v>
      </c>
      <c r="R141" s="354">
        <f t="shared" si="9"/>
        <v>1278658</v>
      </c>
      <c r="S141" s="348"/>
    </row>
    <row r="142" spans="1:19" ht="54" customHeight="1" x14ac:dyDescent="0.25"/>
    <row r="143" spans="1:19" ht="54" customHeight="1" x14ac:dyDescent="0.25"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</row>
    <row r="144" spans="1:19" ht="54" customHeight="1" x14ac:dyDescent="0.25"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</row>
    <row r="145" ht="54" customHeight="1" x14ac:dyDescent="0.25"/>
    <row r="146" ht="54" customHeight="1" x14ac:dyDescent="0.25"/>
    <row r="147" ht="54" customHeight="1" x14ac:dyDescent="0.25"/>
    <row r="148" ht="54" customHeight="1" x14ac:dyDescent="0.25"/>
    <row r="149" ht="54" customHeight="1" x14ac:dyDescent="0.25"/>
    <row r="150" ht="54" customHeight="1" x14ac:dyDescent="0.25"/>
    <row r="151" ht="54" customHeight="1" x14ac:dyDescent="0.25"/>
    <row r="152" ht="54" customHeight="1" x14ac:dyDescent="0.25"/>
    <row r="153" ht="54" customHeight="1" x14ac:dyDescent="0.25"/>
    <row r="154" ht="54" customHeight="1" x14ac:dyDescent="0.25"/>
  </sheetData>
  <mergeCells count="25">
    <mergeCell ref="A2:R2"/>
    <mergeCell ref="A4:A8"/>
    <mergeCell ref="D4:D8"/>
    <mergeCell ref="E4:E8"/>
    <mergeCell ref="F4:F8"/>
    <mergeCell ref="G4:K4"/>
    <mergeCell ref="L4:R4"/>
    <mergeCell ref="B5:B8"/>
    <mergeCell ref="C5:C8"/>
    <mergeCell ref="G5:G8"/>
    <mergeCell ref="H5:K5"/>
    <mergeCell ref="L5:L8"/>
    <mergeCell ref="M5:R5"/>
    <mergeCell ref="H6:H8"/>
    <mergeCell ref="J6:K7"/>
    <mergeCell ref="M6:P6"/>
    <mergeCell ref="A93:A94"/>
    <mergeCell ref="A114:A115"/>
    <mergeCell ref="Q6:R6"/>
    <mergeCell ref="I7:I8"/>
    <mergeCell ref="M7:N7"/>
    <mergeCell ref="O7:O8"/>
    <mergeCell ref="P7:P8"/>
    <mergeCell ref="Q7:Q8"/>
    <mergeCell ref="R7:R8"/>
  </mergeCells>
  <conditionalFormatting sqref="E1:F1 E9 E167:F1048576 E141:F165 E4 G141:R141 G143:R144">
    <cfRule type="containsText" dxfId="2" priority="3" operator="containsText" text="агид">
      <formula>NOT(ISERROR(SEARCH("агид",E1)))</formula>
    </cfRule>
  </conditionalFormatting>
  <conditionalFormatting sqref="E3:F3">
    <cfRule type="containsText" dxfId="1" priority="2" operator="containsText" text="агид">
      <formula>NOT(ISERROR(SEARCH("агид",E3)))</formula>
    </cfRule>
  </conditionalFormatting>
  <conditionalFormatting sqref="F9:R9">
    <cfRule type="containsText" dxfId="0" priority="1" operator="containsText" text="агид">
      <formula>NOT(ISERROR(SEARCH("агид",F9)))</formula>
    </cfRule>
  </conditionalFormatting>
  <pageMargins left="0.11811023622047245" right="0.11811023622047245" top="0.15748031496062992" bottom="0.15748031496062992" header="0.31496062992125984" footer="0.31496062992125984"/>
  <pageSetup paperSize="9" scale="5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72" sqref="D172"/>
    </sheetView>
  </sheetViews>
  <sheetFormatPr defaultRowHeight="15" x14ac:dyDescent="0.25"/>
  <cols>
    <col min="1" max="1" width="5" customWidth="1"/>
    <col min="2" max="2" width="7.28515625" customWidth="1"/>
    <col min="3" max="3" width="34.42578125" customWidth="1"/>
    <col min="4" max="4" width="15.85546875" bestFit="1" customWidth="1"/>
    <col min="5" max="5" width="10.140625" bestFit="1" customWidth="1"/>
    <col min="6" max="8" width="9.42578125" bestFit="1" customWidth="1"/>
    <col min="9" max="9" width="13" customWidth="1"/>
    <col min="10" max="13" width="9.42578125" bestFit="1" customWidth="1"/>
    <col min="14" max="14" width="10.85546875" bestFit="1" customWidth="1"/>
  </cols>
  <sheetData>
    <row r="1" spans="1:17" ht="41.25" customHeight="1" x14ac:dyDescent="0.25">
      <c r="C1" s="563" t="s">
        <v>840</v>
      </c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</row>
    <row r="3" spans="1:17" x14ac:dyDescent="0.25">
      <c r="A3" s="589" t="s">
        <v>194</v>
      </c>
      <c r="B3" s="591" t="s">
        <v>13</v>
      </c>
      <c r="C3" s="589" t="s">
        <v>446</v>
      </c>
      <c r="D3" s="589" t="s">
        <v>841</v>
      </c>
      <c r="E3" s="589" t="s">
        <v>2</v>
      </c>
      <c r="F3" s="589"/>
      <c r="G3" s="589"/>
      <c r="H3" s="589"/>
      <c r="I3" s="589"/>
      <c r="J3" s="589"/>
      <c r="K3" s="589"/>
      <c r="L3" s="589"/>
      <c r="M3" s="589"/>
      <c r="N3" s="589"/>
      <c r="O3" s="356"/>
    </row>
    <row r="4" spans="1:17" ht="24" customHeight="1" x14ac:dyDescent="0.25">
      <c r="A4" s="589"/>
      <c r="B4" s="592"/>
      <c r="C4" s="589"/>
      <c r="D4" s="589"/>
      <c r="E4" s="589" t="s">
        <v>842</v>
      </c>
      <c r="F4" s="589"/>
      <c r="G4" s="589"/>
      <c r="H4" s="589"/>
      <c r="I4" s="589"/>
      <c r="J4" s="589" t="s">
        <v>843</v>
      </c>
      <c r="K4" s="589"/>
      <c r="L4" s="589"/>
      <c r="M4" s="589"/>
      <c r="N4" s="589" t="s">
        <v>844</v>
      </c>
      <c r="O4" s="356"/>
    </row>
    <row r="5" spans="1:17" ht="41.25" customHeight="1" x14ac:dyDescent="0.25">
      <c r="A5" s="589"/>
      <c r="B5" s="592"/>
      <c r="C5" s="589"/>
      <c r="D5" s="589"/>
      <c r="E5" s="589" t="s">
        <v>29</v>
      </c>
      <c r="F5" s="589" t="s">
        <v>2</v>
      </c>
      <c r="G5" s="589"/>
      <c r="H5" s="589"/>
      <c r="I5" s="589"/>
      <c r="J5" s="589" t="s">
        <v>29</v>
      </c>
      <c r="K5" s="589" t="s">
        <v>190</v>
      </c>
      <c r="L5" s="589"/>
      <c r="M5" s="589"/>
      <c r="N5" s="589"/>
      <c r="O5" s="356"/>
    </row>
    <row r="6" spans="1:17" ht="56.25" customHeight="1" x14ac:dyDescent="0.25">
      <c r="A6" s="589"/>
      <c r="B6" s="592"/>
      <c r="C6" s="589"/>
      <c r="D6" s="589"/>
      <c r="E6" s="589"/>
      <c r="F6" s="594" t="s">
        <v>845</v>
      </c>
      <c r="G6" s="594"/>
      <c r="H6" s="589" t="s">
        <v>846</v>
      </c>
      <c r="I6" s="589"/>
      <c r="J6" s="589"/>
      <c r="K6" s="589" t="s">
        <v>847</v>
      </c>
      <c r="L6" s="589"/>
      <c r="M6" s="591" t="s">
        <v>848</v>
      </c>
      <c r="N6" s="589"/>
      <c r="O6" s="356"/>
    </row>
    <row r="7" spans="1:17" x14ac:dyDescent="0.25">
      <c r="A7" s="589"/>
      <c r="B7" s="592"/>
      <c r="C7" s="589"/>
      <c r="D7" s="589"/>
      <c r="E7" s="589"/>
      <c r="F7" s="594"/>
      <c r="G7" s="594"/>
      <c r="H7" s="589"/>
      <c r="I7" s="589"/>
      <c r="J7" s="589"/>
      <c r="K7" s="589" t="s">
        <v>849</v>
      </c>
      <c r="L7" s="589"/>
      <c r="M7" s="592"/>
      <c r="N7" s="589"/>
      <c r="O7" s="356"/>
    </row>
    <row r="8" spans="1:17" ht="60" x14ac:dyDescent="0.25">
      <c r="A8" s="589"/>
      <c r="B8" s="593"/>
      <c r="C8" s="589"/>
      <c r="D8" s="589"/>
      <c r="E8" s="589"/>
      <c r="F8" s="357" t="s">
        <v>850</v>
      </c>
      <c r="G8" s="357" t="s">
        <v>555</v>
      </c>
      <c r="H8" s="357" t="s">
        <v>850</v>
      </c>
      <c r="I8" s="357" t="s">
        <v>555</v>
      </c>
      <c r="J8" s="589"/>
      <c r="K8" s="357" t="s">
        <v>850</v>
      </c>
      <c r="L8" s="357" t="s">
        <v>555</v>
      </c>
      <c r="M8" s="593"/>
      <c r="N8" s="589"/>
      <c r="O8" s="356"/>
      <c r="Q8" s="356"/>
    </row>
    <row r="9" spans="1:17" x14ac:dyDescent="0.25">
      <c r="A9" s="358">
        <v>1</v>
      </c>
      <c r="B9" s="358">
        <v>2</v>
      </c>
      <c r="C9" s="358">
        <v>3</v>
      </c>
      <c r="D9" s="358">
        <v>4</v>
      </c>
      <c r="E9" s="358">
        <v>5</v>
      </c>
      <c r="F9" s="358">
        <v>6</v>
      </c>
      <c r="G9" s="358">
        <v>7</v>
      </c>
      <c r="H9" s="358">
        <v>8</v>
      </c>
      <c r="I9" s="358">
        <v>9</v>
      </c>
      <c r="J9" s="358">
        <v>10</v>
      </c>
      <c r="K9" s="358">
        <v>11</v>
      </c>
      <c r="L9" s="358">
        <v>12</v>
      </c>
      <c r="M9" s="358">
        <v>13</v>
      </c>
      <c r="N9" s="358">
        <v>14</v>
      </c>
      <c r="O9" s="356"/>
    </row>
    <row r="10" spans="1:17" ht="20.25" customHeight="1" x14ac:dyDescent="0.25">
      <c r="A10" s="359">
        <v>1</v>
      </c>
      <c r="B10" s="359" t="s">
        <v>225</v>
      </c>
      <c r="C10" s="360" t="s">
        <v>110</v>
      </c>
      <c r="D10" s="361">
        <f t="shared" ref="D10:D36" si="0">E10+J10+N10</f>
        <v>156509</v>
      </c>
      <c r="E10" s="361">
        <f>F10+G10+H10+I10</f>
        <v>12868</v>
      </c>
      <c r="F10" s="362">
        <v>627</v>
      </c>
      <c r="G10" s="361">
        <v>1328</v>
      </c>
      <c r="H10" s="361">
        <v>6147</v>
      </c>
      <c r="I10" s="361">
        <v>4766</v>
      </c>
      <c r="J10" s="361">
        <f>K10+L10+M10</f>
        <v>8846</v>
      </c>
      <c r="K10" s="361">
        <v>2656</v>
      </c>
      <c r="L10" s="361">
        <v>5686</v>
      </c>
      <c r="M10" s="362">
        <v>504</v>
      </c>
      <c r="N10" s="361">
        <f>'[5]Проф.с иными целями Пр.118'!D10</f>
        <v>134795</v>
      </c>
      <c r="O10" s="363"/>
      <c r="P10" s="364"/>
      <c r="Q10" s="364"/>
    </row>
    <row r="11" spans="1:17" ht="39.75" customHeight="1" x14ac:dyDescent="0.25">
      <c r="A11" s="359">
        <v>2</v>
      </c>
      <c r="B11" s="359" t="s">
        <v>556</v>
      </c>
      <c r="C11" s="360" t="s">
        <v>557</v>
      </c>
      <c r="D11" s="361">
        <f t="shared" si="0"/>
        <v>1403</v>
      </c>
      <c r="E11" s="361">
        <f t="shared" ref="E11:E74" si="1">F11+G11+H11+I11</f>
        <v>0</v>
      </c>
      <c r="F11" s="362">
        <v>0</v>
      </c>
      <c r="G11" s="362">
        <v>0</v>
      </c>
      <c r="H11" s="362">
        <v>0</v>
      </c>
      <c r="I11" s="362">
        <v>0</v>
      </c>
      <c r="J11" s="361">
        <f t="shared" ref="J11:J74" si="2">K11+L11+M11</f>
        <v>0</v>
      </c>
      <c r="K11" s="362">
        <v>0</v>
      </c>
      <c r="L11" s="362">
        <v>0</v>
      </c>
      <c r="M11" s="362">
        <v>0</v>
      </c>
      <c r="N11" s="361">
        <f>'[5]Проф.с иными целями Пр.118'!D11</f>
        <v>1403</v>
      </c>
      <c r="O11" s="363"/>
      <c r="P11" s="364"/>
      <c r="Q11" s="364"/>
    </row>
    <row r="12" spans="1:17" ht="21.75" customHeight="1" x14ac:dyDescent="0.25">
      <c r="A12" s="359">
        <v>3</v>
      </c>
      <c r="B12" s="359" t="s">
        <v>251</v>
      </c>
      <c r="C12" s="360" t="s">
        <v>108</v>
      </c>
      <c r="D12" s="361">
        <f t="shared" si="0"/>
        <v>155063</v>
      </c>
      <c r="E12" s="361">
        <f t="shared" si="1"/>
        <v>12053</v>
      </c>
      <c r="F12" s="362">
        <v>748</v>
      </c>
      <c r="G12" s="361">
        <v>1245</v>
      </c>
      <c r="H12" s="361">
        <v>5239</v>
      </c>
      <c r="I12" s="361">
        <v>4821</v>
      </c>
      <c r="J12" s="361">
        <f t="shared" si="2"/>
        <v>8671</v>
      </c>
      <c r="K12" s="361">
        <v>2178</v>
      </c>
      <c r="L12" s="361">
        <v>6325</v>
      </c>
      <c r="M12" s="362">
        <v>168</v>
      </c>
      <c r="N12" s="361">
        <f>'[5]Проф.с иными целями Пр.118'!D12</f>
        <v>134339</v>
      </c>
      <c r="O12" s="363"/>
      <c r="P12" s="364"/>
      <c r="Q12" s="364"/>
    </row>
    <row r="13" spans="1:17" ht="28.5" customHeight="1" x14ac:dyDescent="0.25">
      <c r="A13" s="359">
        <v>4</v>
      </c>
      <c r="B13" s="359" t="s">
        <v>558</v>
      </c>
      <c r="C13" s="360" t="s">
        <v>559</v>
      </c>
      <c r="D13" s="361">
        <f t="shared" si="0"/>
        <v>1297</v>
      </c>
      <c r="E13" s="361">
        <f t="shared" si="1"/>
        <v>0</v>
      </c>
      <c r="F13" s="362">
        <v>0</v>
      </c>
      <c r="G13" s="362">
        <v>0</v>
      </c>
      <c r="H13" s="362">
        <v>0</v>
      </c>
      <c r="I13" s="362">
        <v>0</v>
      </c>
      <c r="J13" s="361">
        <f t="shared" si="2"/>
        <v>0</v>
      </c>
      <c r="K13" s="362">
        <v>0</v>
      </c>
      <c r="L13" s="362">
        <v>0</v>
      </c>
      <c r="M13" s="362">
        <v>0</v>
      </c>
      <c r="N13" s="361">
        <f>'[5]Проф.с иными целями Пр.118'!D13</f>
        <v>1297</v>
      </c>
      <c r="O13" s="363"/>
      <c r="P13" s="364"/>
      <c r="Q13" s="364"/>
    </row>
    <row r="14" spans="1:17" x14ac:dyDescent="0.25">
      <c r="A14" s="590">
        <v>5</v>
      </c>
      <c r="B14" s="359" t="s">
        <v>19</v>
      </c>
      <c r="C14" s="360" t="s">
        <v>3</v>
      </c>
      <c r="D14" s="361">
        <f t="shared" si="0"/>
        <v>365702</v>
      </c>
      <c r="E14" s="361">
        <f t="shared" si="1"/>
        <v>30606</v>
      </c>
      <c r="F14" s="361">
        <v>1593</v>
      </c>
      <c r="G14" s="361">
        <v>3044</v>
      </c>
      <c r="H14" s="361">
        <v>11737</v>
      </c>
      <c r="I14" s="361">
        <v>14232</v>
      </c>
      <c r="J14" s="361">
        <f t="shared" si="2"/>
        <v>19951</v>
      </c>
      <c r="K14" s="361">
        <v>6441</v>
      </c>
      <c r="L14" s="361">
        <v>13345</v>
      </c>
      <c r="M14" s="362">
        <v>165</v>
      </c>
      <c r="N14" s="361">
        <f>'[5]Проф.с иными целями Пр.118'!D14</f>
        <v>315145</v>
      </c>
      <c r="O14" s="363"/>
      <c r="P14" s="364"/>
      <c r="Q14" s="364"/>
    </row>
    <row r="15" spans="1:17" ht="36" x14ac:dyDescent="0.25">
      <c r="A15" s="590"/>
      <c r="B15" s="359" t="s">
        <v>283</v>
      </c>
      <c r="C15" s="365" t="s">
        <v>560</v>
      </c>
      <c r="D15" s="361">
        <f t="shared" si="0"/>
        <v>46505</v>
      </c>
      <c r="E15" s="361">
        <f t="shared" si="1"/>
        <v>2859</v>
      </c>
      <c r="F15" s="362">
        <v>220</v>
      </c>
      <c r="G15" s="362">
        <v>422</v>
      </c>
      <c r="H15" s="362">
        <v>952</v>
      </c>
      <c r="I15" s="361">
        <v>1265</v>
      </c>
      <c r="J15" s="361">
        <f t="shared" si="2"/>
        <v>2762</v>
      </c>
      <c r="K15" s="362">
        <v>862</v>
      </c>
      <c r="L15" s="361">
        <v>1875</v>
      </c>
      <c r="M15" s="362">
        <v>25</v>
      </c>
      <c r="N15" s="361">
        <f>'[5]Проф.с иными целями Пр.118'!D15</f>
        <v>40884</v>
      </c>
      <c r="O15" s="363"/>
      <c r="P15" s="364"/>
      <c r="Q15" s="364"/>
    </row>
    <row r="16" spans="1:17" x14ac:dyDescent="0.25">
      <c r="A16" s="359">
        <v>6</v>
      </c>
      <c r="B16" s="359" t="s">
        <v>282</v>
      </c>
      <c r="C16" s="360" t="s">
        <v>143</v>
      </c>
      <c r="D16" s="361">
        <f t="shared" si="0"/>
        <v>114501</v>
      </c>
      <c r="E16" s="361">
        <f t="shared" si="1"/>
        <v>9438</v>
      </c>
      <c r="F16" s="362">
        <v>454</v>
      </c>
      <c r="G16" s="361">
        <v>1069</v>
      </c>
      <c r="H16" s="361">
        <v>3114</v>
      </c>
      <c r="I16" s="361">
        <v>4801</v>
      </c>
      <c r="J16" s="361">
        <f t="shared" si="2"/>
        <v>6740</v>
      </c>
      <c r="K16" s="361">
        <v>2005</v>
      </c>
      <c r="L16" s="361">
        <v>4494</v>
      </c>
      <c r="M16" s="362">
        <v>241</v>
      </c>
      <c r="N16" s="361">
        <f>'[5]Проф.с иными целями Пр.118'!D16</f>
        <v>98323</v>
      </c>
      <c r="O16" s="363"/>
      <c r="P16" s="364"/>
      <c r="Q16" s="364"/>
    </row>
    <row r="17" spans="1:17" x14ac:dyDescent="0.25">
      <c r="A17" s="359">
        <v>7</v>
      </c>
      <c r="B17" s="359" t="s">
        <v>218</v>
      </c>
      <c r="C17" s="360" t="s">
        <v>181</v>
      </c>
      <c r="D17" s="361">
        <f t="shared" si="0"/>
        <v>49179</v>
      </c>
      <c r="E17" s="361">
        <f t="shared" si="1"/>
        <v>4344</v>
      </c>
      <c r="F17" s="362">
        <v>198</v>
      </c>
      <c r="G17" s="362">
        <v>464</v>
      </c>
      <c r="H17" s="361">
        <v>1109</v>
      </c>
      <c r="I17" s="361">
        <v>2573</v>
      </c>
      <c r="J17" s="361">
        <f t="shared" si="2"/>
        <v>2904</v>
      </c>
      <c r="K17" s="362">
        <v>524</v>
      </c>
      <c r="L17" s="361">
        <v>2300</v>
      </c>
      <c r="M17" s="362">
        <v>80</v>
      </c>
      <c r="N17" s="361">
        <f>'[5]Проф.с иными целями Пр.118'!D17</f>
        <v>41931</v>
      </c>
      <c r="O17" s="363"/>
      <c r="P17" s="364"/>
      <c r="Q17" s="364"/>
    </row>
    <row r="18" spans="1:17" x14ac:dyDescent="0.25">
      <c r="A18" s="359">
        <v>8</v>
      </c>
      <c r="B18" s="359" t="s">
        <v>221</v>
      </c>
      <c r="C18" s="360" t="s">
        <v>178</v>
      </c>
      <c r="D18" s="361">
        <f t="shared" si="0"/>
        <v>51080</v>
      </c>
      <c r="E18" s="361">
        <f t="shared" si="1"/>
        <v>4055</v>
      </c>
      <c r="F18" s="362">
        <v>249</v>
      </c>
      <c r="G18" s="362">
        <v>438</v>
      </c>
      <c r="H18" s="361">
        <v>1403</v>
      </c>
      <c r="I18" s="361">
        <v>1965</v>
      </c>
      <c r="J18" s="361">
        <f t="shared" si="2"/>
        <v>3054</v>
      </c>
      <c r="K18" s="362">
        <v>857</v>
      </c>
      <c r="L18" s="361">
        <v>2077</v>
      </c>
      <c r="M18" s="362">
        <v>120</v>
      </c>
      <c r="N18" s="361">
        <f>'[5]Проф.с иными целями Пр.118'!D18</f>
        <v>43971</v>
      </c>
      <c r="O18" s="363"/>
      <c r="P18" s="364"/>
      <c r="Q18" s="364"/>
    </row>
    <row r="19" spans="1:17" x14ac:dyDescent="0.25">
      <c r="A19" s="359">
        <v>9</v>
      </c>
      <c r="B19" s="359" t="s">
        <v>229</v>
      </c>
      <c r="C19" s="360" t="s">
        <v>172</v>
      </c>
      <c r="D19" s="361">
        <f t="shared" si="0"/>
        <v>55158</v>
      </c>
      <c r="E19" s="361">
        <f t="shared" si="1"/>
        <v>4127</v>
      </c>
      <c r="F19" s="362">
        <v>264</v>
      </c>
      <c r="G19" s="362">
        <v>521</v>
      </c>
      <c r="H19" s="361">
        <v>1179</v>
      </c>
      <c r="I19" s="361">
        <v>2163</v>
      </c>
      <c r="J19" s="361">
        <f t="shared" si="2"/>
        <v>3412</v>
      </c>
      <c r="K19" s="361">
        <v>1029</v>
      </c>
      <c r="L19" s="361">
        <v>2320</v>
      </c>
      <c r="M19" s="362">
        <v>63</v>
      </c>
      <c r="N19" s="361">
        <f>'[5]Проф.с иными целями Пр.118'!D19</f>
        <v>47619</v>
      </c>
      <c r="O19" s="363"/>
      <c r="P19" s="364"/>
      <c r="Q19" s="364"/>
    </row>
    <row r="20" spans="1:17" x14ac:dyDescent="0.25">
      <c r="A20" s="359">
        <v>10</v>
      </c>
      <c r="B20" s="359" t="s">
        <v>231</v>
      </c>
      <c r="C20" s="360" t="s">
        <v>170</v>
      </c>
      <c r="D20" s="361">
        <f t="shared" si="0"/>
        <v>59441</v>
      </c>
      <c r="E20" s="361">
        <f t="shared" si="1"/>
        <v>5008</v>
      </c>
      <c r="F20" s="362">
        <v>248</v>
      </c>
      <c r="G20" s="362">
        <v>555</v>
      </c>
      <c r="H20" s="361">
        <v>1471</v>
      </c>
      <c r="I20" s="361">
        <v>2734</v>
      </c>
      <c r="J20" s="361">
        <f t="shared" si="2"/>
        <v>3504</v>
      </c>
      <c r="K20" s="361">
        <v>1113</v>
      </c>
      <c r="L20" s="361">
        <v>2313</v>
      </c>
      <c r="M20" s="362">
        <v>78</v>
      </c>
      <c r="N20" s="361">
        <f>'[5]Проф.с иными целями Пр.118'!D20</f>
        <v>50929</v>
      </c>
      <c r="O20" s="363"/>
      <c r="P20" s="364"/>
      <c r="Q20" s="364"/>
    </row>
    <row r="21" spans="1:17" x14ac:dyDescent="0.25">
      <c r="A21" s="359">
        <v>11</v>
      </c>
      <c r="B21" s="359" t="s">
        <v>257</v>
      </c>
      <c r="C21" s="360" t="s">
        <v>163</v>
      </c>
      <c r="D21" s="361">
        <f t="shared" si="0"/>
        <v>62053</v>
      </c>
      <c r="E21" s="361">
        <f t="shared" si="1"/>
        <v>5372</v>
      </c>
      <c r="F21" s="362">
        <v>352</v>
      </c>
      <c r="G21" s="362">
        <v>480</v>
      </c>
      <c r="H21" s="361">
        <v>1204</v>
      </c>
      <c r="I21" s="361">
        <v>3336</v>
      </c>
      <c r="J21" s="361">
        <f t="shared" si="2"/>
        <v>3711</v>
      </c>
      <c r="K21" s="361">
        <v>1117</v>
      </c>
      <c r="L21" s="361">
        <v>2435</v>
      </c>
      <c r="M21" s="362">
        <v>159</v>
      </c>
      <c r="N21" s="361">
        <f>'[5]Проф.с иными целями Пр.118'!D21</f>
        <v>52970</v>
      </c>
      <c r="O21" s="363"/>
      <c r="P21" s="364"/>
      <c r="Q21" s="364"/>
    </row>
    <row r="22" spans="1:17" x14ac:dyDescent="0.25">
      <c r="A22" s="359">
        <v>12</v>
      </c>
      <c r="B22" s="359" t="s">
        <v>258</v>
      </c>
      <c r="C22" s="360" t="s">
        <v>162</v>
      </c>
      <c r="D22" s="361">
        <f t="shared" si="0"/>
        <v>57955</v>
      </c>
      <c r="E22" s="361">
        <f t="shared" si="1"/>
        <v>4594</v>
      </c>
      <c r="F22" s="362">
        <v>522</v>
      </c>
      <c r="G22" s="362">
        <v>260</v>
      </c>
      <c r="H22" s="361">
        <v>1589</v>
      </c>
      <c r="I22" s="361">
        <v>2223</v>
      </c>
      <c r="J22" s="361">
        <f t="shared" si="2"/>
        <v>3391</v>
      </c>
      <c r="K22" s="361">
        <v>1434</v>
      </c>
      <c r="L22" s="361">
        <v>1903</v>
      </c>
      <c r="M22" s="362">
        <v>54</v>
      </c>
      <c r="N22" s="361">
        <f>'[5]Проф.с иными целями Пр.118'!D22</f>
        <v>49970</v>
      </c>
      <c r="O22" s="363"/>
      <c r="P22" s="364"/>
      <c r="Q22" s="364"/>
    </row>
    <row r="23" spans="1:17" x14ac:dyDescent="0.25">
      <c r="A23" s="359">
        <v>13</v>
      </c>
      <c r="B23" s="359" t="s">
        <v>261</v>
      </c>
      <c r="C23" s="360" t="s">
        <v>159</v>
      </c>
      <c r="D23" s="361">
        <f t="shared" si="0"/>
        <v>68763</v>
      </c>
      <c r="E23" s="361">
        <f t="shared" si="1"/>
        <v>5224</v>
      </c>
      <c r="F23" s="362">
        <v>452</v>
      </c>
      <c r="G23" s="362">
        <v>505</v>
      </c>
      <c r="H23" s="361">
        <v>1723</v>
      </c>
      <c r="I23" s="361">
        <v>2544</v>
      </c>
      <c r="J23" s="361">
        <f t="shared" si="2"/>
        <v>4142</v>
      </c>
      <c r="K23" s="361">
        <v>1266</v>
      </c>
      <c r="L23" s="361">
        <v>2816</v>
      </c>
      <c r="M23" s="362">
        <v>60</v>
      </c>
      <c r="N23" s="361">
        <f>'[5]Проф.с иными целями Пр.118'!D23</f>
        <v>59397</v>
      </c>
      <c r="O23" s="363"/>
      <c r="P23" s="364"/>
      <c r="Q23" s="364"/>
    </row>
    <row r="24" spans="1:17" x14ac:dyDescent="0.25">
      <c r="A24" s="359">
        <v>14</v>
      </c>
      <c r="B24" s="359" t="s">
        <v>267</v>
      </c>
      <c r="C24" s="360" t="s">
        <v>155</v>
      </c>
      <c r="D24" s="361">
        <f t="shared" si="0"/>
        <v>56259</v>
      </c>
      <c r="E24" s="361">
        <f t="shared" si="1"/>
        <v>5214</v>
      </c>
      <c r="F24" s="362">
        <v>233</v>
      </c>
      <c r="G24" s="362">
        <v>509</v>
      </c>
      <c r="H24" s="361">
        <v>1244</v>
      </c>
      <c r="I24" s="361">
        <v>3228</v>
      </c>
      <c r="J24" s="361">
        <f t="shared" si="2"/>
        <v>3263</v>
      </c>
      <c r="K24" s="362">
        <v>940</v>
      </c>
      <c r="L24" s="361">
        <v>2227</v>
      </c>
      <c r="M24" s="362">
        <v>96</v>
      </c>
      <c r="N24" s="361">
        <f>'[5]Проф.с иными целями Пр.118'!D24</f>
        <v>47782</v>
      </c>
      <c r="O24" s="363"/>
      <c r="P24" s="364"/>
      <c r="Q24" s="364"/>
    </row>
    <row r="25" spans="1:17" x14ac:dyDescent="0.25">
      <c r="A25" s="359">
        <v>15</v>
      </c>
      <c r="B25" s="359" t="s">
        <v>569</v>
      </c>
      <c r="C25" s="360" t="s">
        <v>570</v>
      </c>
      <c r="D25" s="361">
        <f t="shared" si="0"/>
        <v>6</v>
      </c>
      <c r="E25" s="361">
        <f t="shared" si="1"/>
        <v>0</v>
      </c>
      <c r="F25" s="362">
        <v>0</v>
      </c>
      <c r="G25" s="362">
        <v>0</v>
      </c>
      <c r="H25" s="362">
        <v>0</v>
      </c>
      <c r="I25" s="362">
        <v>0</v>
      </c>
      <c r="J25" s="361">
        <f t="shared" si="2"/>
        <v>0</v>
      </c>
      <c r="K25" s="362">
        <v>0</v>
      </c>
      <c r="L25" s="362">
        <v>0</v>
      </c>
      <c r="M25" s="362">
        <v>0</v>
      </c>
      <c r="N25" s="361">
        <f>'[5]Проф.с иными целями Пр.118'!D25</f>
        <v>6</v>
      </c>
      <c r="O25" s="363"/>
      <c r="P25" s="364"/>
      <c r="Q25" s="364"/>
    </row>
    <row r="26" spans="1:17" x14ac:dyDescent="0.25">
      <c r="A26" s="359">
        <v>16</v>
      </c>
      <c r="B26" s="359" t="s">
        <v>277</v>
      </c>
      <c r="C26" s="360" t="s">
        <v>104</v>
      </c>
      <c r="D26" s="361">
        <f t="shared" si="0"/>
        <v>165572</v>
      </c>
      <c r="E26" s="361">
        <f t="shared" si="1"/>
        <v>14829</v>
      </c>
      <c r="F26" s="362">
        <v>647</v>
      </c>
      <c r="G26" s="361">
        <v>1384</v>
      </c>
      <c r="H26" s="361">
        <v>4046</v>
      </c>
      <c r="I26" s="361">
        <v>8752</v>
      </c>
      <c r="J26" s="361">
        <f t="shared" si="2"/>
        <v>8870</v>
      </c>
      <c r="K26" s="361">
        <v>2476</v>
      </c>
      <c r="L26" s="361">
        <v>6189</v>
      </c>
      <c r="M26" s="362">
        <v>205</v>
      </c>
      <c r="N26" s="361">
        <f>'[5]Проф.с иными целями Пр.118'!D26</f>
        <v>141873</v>
      </c>
      <c r="O26" s="363"/>
      <c r="P26" s="364"/>
      <c r="Q26" s="364"/>
    </row>
    <row r="27" spans="1:17" ht="24" x14ac:dyDescent="0.25">
      <c r="A27" s="359">
        <v>17</v>
      </c>
      <c r="B27" s="359" t="s">
        <v>578</v>
      </c>
      <c r="C27" s="360" t="s">
        <v>579</v>
      </c>
      <c r="D27" s="361">
        <f t="shared" si="0"/>
        <v>2391</v>
      </c>
      <c r="E27" s="361">
        <f t="shared" si="1"/>
        <v>0</v>
      </c>
      <c r="F27" s="362">
        <v>0</v>
      </c>
      <c r="G27" s="362">
        <v>0</v>
      </c>
      <c r="H27" s="362">
        <v>0</v>
      </c>
      <c r="I27" s="362">
        <v>0</v>
      </c>
      <c r="J27" s="361">
        <f t="shared" si="2"/>
        <v>0</v>
      </c>
      <c r="K27" s="362">
        <v>0</v>
      </c>
      <c r="L27" s="362">
        <v>0</v>
      </c>
      <c r="M27" s="362">
        <v>0</v>
      </c>
      <c r="N27" s="361">
        <f>'[5]Проф.с иными целями Пр.118'!D27</f>
        <v>2391</v>
      </c>
      <c r="O27" s="363"/>
      <c r="P27" s="364"/>
      <c r="Q27" s="364"/>
    </row>
    <row r="28" spans="1:17" x14ac:dyDescent="0.25">
      <c r="A28" s="359">
        <v>18</v>
      </c>
      <c r="B28" s="359" t="s">
        <v>219</v>
      </c>
      <c r="C28" s="360" t="s">
        <v>180</v>
      </c>
      <c r="D28" s="361">
        <f t="shared" si="0"/>
        <v>139899</v>
      </c>
      <c r="E28" s="361">
        <f t="shared" si="1"/>
        <v>12874</v>
      </c>
      <c r="F28" s="362">
        <v>881</v>
      </c>
      <c r="G28" s="362">
        <v>886</v>
      </c>
      <c r="H28" s="361">
        <v>5332</v>
      </c>
      <c r="I28" s="361">
        <v>5775</v>
      </c>
      <c r="J28" s="361">
        <f t="shared" si="2"/>
        <v>7665</v>
      </c>
      <c r="K28" s="361">
        <v>2429</v>
      </c>
      <c r="L28" s="361">
        <v>5113</v>
      </c>
      <c r="M28" s="362">
        <v>123</v>
      </c>
      <c r="N28" s="361">
        <f>'[5]Проф.с иными целями Пр.118'!D28</f>
        <v>119360</v>
      </c>
      <c r="O28" s="363"/>
      <c r="P28" s="364"/>
      <c r="Q28" s="364"/>
    </row>
    <row r="29" spans="1:17" x14ac:dyDescent="0.25">
      <c r="A29" s="359">
        <v>19</v>
      </c>
      <c r="B29" s="359" t="s">
        <v>27</v>
      </c>
      <c r="C29" s="360" t="s">
        <v>4</v>
      </c>
      <c r="D29" s="361">
        <f t="shared" si="0"/>
        <v>272587</v>
      </c>
      <c r="E29" s="361">
        <f t="shared" si="1"/>
        <v>21419</v>
      </c>
      <c r="F29" s="361">
        <v>1377</v>
      </c>
      <c r="G29" s="361">
        <v>2060</v>
      </c>
      <c r="H29" s="361">
        <v>6455</v>
      </c>
      <c r="I29" s="361">
        <v>11527</v>
      </c>
      <c r="J29" s="361">
        <f t="shared" si="2"/>
        <v>15335</v>
      </c>
      <c r="K29" s="361">
        <v>4870</v>
      </c>
      <c r="L29" s="361">
        <v>9795</v>
      </c>
      <c r="M29" s="362">
        <v>670</v>
      </c>
      <c r="N29" s="361">
        <f>'[5]Проф.с иными целями Пр.118'!D29</f>
        <v>235833</v>
      </c>
      <c r="O29" s="363"/>
      <c r="P29" s="364"/>
      <c r="Q29" s="364"/>
    </row>
    <row r="30" spans="1:17" x14ac:dyDescent="0.25">
      <c r="A30" s="359">
        <v>20</v>
      </c>
      <c r="B30" s="359" t="s">
        <v>275</v>
      </c>
      <c r="C30" s="360" t="s">
        <v>100</v>
      </c>
      <c r="D30" s="361">
        <f t="shared" si="0"/>
        <v>180004</v>
      </c>
      <c r="E30" s="361">
        <f t="shared" si="1"/>
        <v>13143</v>
      </c>
      <c r="F30" s="362">
        <v>912</v>
      </c>
      <c r="G30" s="361">
        <v>1479</v>
      </c>
      <c r="H30" s="361">
        <v>5937</v>
      </c>
      <c r="I30" s="361">
        <v>4815</v>
      </c>
      <c r="J30" s="361">
        <f t="shared" si="2"/>
        <v>10538</v>
      </c>
      <c r="K30" s="361">
        <v>3265</v>
      </c>
      <c r="L30" s="361">
        <v>6935</v>
      </c>
      <c r="M30" s="362">
        <v>338</v>
      </c>
      <c r="N30" s="361">
        <f>'[5]Проф.с иными целями Пр.118'!D30</f>
        <v>156323</v>
      </c>
      <c r="O30" s="363"/>
      <c r="P30" s="364"/>
      <c r="Q30" s="364"/>
    </row>
    <row r="31" spans="1:17" x14ac:dyDescent="0.25">
      <c r="A31" s="359">
        <v>21</v>
      </c>
      <c r="B31" s="359" t="s">
        <v>325</v>
      </c>
      <c r="C31" s="360" t="s">
        <v>580</v>
      </c>
      <c r="D31" s="361">
        <f t="shared" si="0"/>
        <v>40869</v>
      </c>
      <c r="E31" s="361">
        <f t="shared" si="1"/>
        <v>3150</v>
      </c>
      <c r="F31" s="362">
        <v>146</v>
      </c>
      <c r="G31" s="362">
        <v>336</v>
      </c>
      <c r="H31" s="362">
        <v>945</v>
      </c>
      <c r="I31" s="361">
        <v>1723</v>
      </c>
      <c r="J31" s="361">
        <f t="shared" si="2"/>
        <v>2107</v>
      </c>
      <c r="K31" s="362">
        <v>606</v>
      </c>
      <c r="L31" s="361">
        <v>1454</v>
      </c>
      <c r="M31" s="362">
        <v>47</v>
      </c>
      <c r="N31" s="361">
        <f>'[5]Проф.с иными целями Пр.118'!D31</f>
        <v>35612</v>
      </c>
      <c r="O31" s="363"/>
      <c r="P31" s="364"/>
      <c r="Q31" s="364"/>
    </row>
    <row r="32" spans="1:17" x14ac:dyDescent="0.25">
      <c r="A32" s="359">
        <v>22</v>
      </c>
      <c r="B32" s="359" t="s">
        <v>215</v>
      </c>
      <c r="C32" s="360" t="s">
        <v>184</v>
      </c>
      <c r="D32" s="361">
        <f t="shared" si="0"/>
        <v>75150</v>
      </c>
      <c r="E32" s="361">
        <f t="shared" si="1"/>
        <v>6704</v>
      </c>
      <c r="F32" s="362">
        <v>309</v>
      </c>
      <c r="G32" s="362">
        <v>666</v>
      </c>
      <c r="H32" s="361">
        <v>2169</v>
      </c>
      <c r="I32" s="361">
        <v>3560</v>
      </c>
      <c r="J32" s="361">
        <f t="shared" si="2"/>
        <v>4278</v>
      </c>
      <c r="K32" s="361">
        <v>1367</v>
      </c>
      <c r="L32" s="361">
        <v>2791</v>
      </c>
      <c r="M32" s="362">
        <v>120</v>
      </c>
      <c r="N32" s="361">
        <f>'[5]Проф.с иными целями Пр.118'!D32</f>
        <v>64168</v>
      </c>
      <c r="O32" s="363"/>
      <c r="P32" s="364"/>
      <c r="Q32" s="364"/>
    </row>
    <row r="33" spans="1:17" x14ac:dyDescent="0.25">
      <c r="A33" s="359">
        <v>23</v>
      </c>
      <c r="B33" s="359" t="s">
        <v>217</v>
      </c>
      <c r="C33" s="360" t="s">
        <v>182</v>
      </c>
      <c r="D33" s="361">
        <f t="shared" si="0"/>
        <v>101994</v>
      </c>
      <c r="E33" s="361">
        <f t="shared" si="1"/>
        <v>8972</v>
      </c>
      <c r="F33" s="362">
        <v>402</v>
      </c>
      <c r="G33" s="362">
        <v>887</v>
      </c>
      <c r="H33" s="361">
        <v>3760</v>
      </c>
      <c r="I33" s="361">
        <v>3923</v>
      </c>
      <c r="J33" s="361">
        <f t="shared" si="2"/>
        <v>5681</v>
      </c>
      <c r="K33" s="361">
        <v>1644</v>
      </c>
      <c r="L33" s="361">
        <v>3857</v>
      </c>
      <c r="M33" s="362">
        <v>180</v>
      </c>
      <c r="N33" s="361">
        <f>'[5]Проф.с иными целями Пр.118'!D33</f>
        <v>87341</v>
      </c>
      <c r="O33" s="363"/>
      <c r="P33" s="364"/>
      <c r="Q33" s="364"/>
    </row>
    <row r="34" spans="1:17" x14ac:dyDescent="0.25">
      <c r="A34" s="359">
        <v>24</v>
      </c>
      <c r="B34" s="359" t="s">
        <v>230</v>
      </c>
      <c r="C34" s="360" t="s">
        <v>171</v>
      </c>
      <c r="D34" s="361">
        <f t="shared" si="0"/>
        <v>42991</v>
      </c>
      <c r="E34" s="361">
        <f t="shared" si="1"/>
        <v>4829</v>
      </c>
      <c r="F34" s="362">
        <v>207</v>
      </c>
      <c r="G34" s="362">
        <v>310</v>
      </c>
      <c r="H34" s="361">
        <v>1200</v>
      </c>
      <c r="I34" s="361">
        <v>3112</v>
      </c>
      <c r="J34" s="361">
        <f t="shared" si="2"/>
        <v>2233</v>
      </c>
      <c r="K34" s="362">
        <v>688</v>
      </c>
      <c r="L34" s="361">
        <v>1515</v>
      </c>
      <c r="M34" s="362">
        <v>30</v>
      </c>
      <c r="N34" s="361">
        <f>'[5]Проф.с иными целями Пр.118'!D34</f>
        <v>35929</v>
      </c>
      <c r="O34" s="363"/>
      <c r="P34" s="364"/>
      <c r="Q34" s="364"/>
    </row>
    <row r="35" spans="1:17" x14ac:dyDescent="0.25">
      <c r="A35" s="359">
        <v>25</v>
      </c>
      <c r="B35" s="359" t="s">
        <v>253</v>
      </c>
      <c r="C35" s="360" t="s">
        <v>166</v>
      </c>
      <c r="D35" s="361">
        <f t="shared" si="0"/>
        <v>35722</v>
      </c>
      <c r="E35" s="361">
        <f t="shared" si="1"/>
        <v>3302</v>
      </c>
      <c r="F35" s="362">
        <v>229</v>
      </c>
      <c r="G35" s="362">
        <v>241</v>
      </c>
      <c r="H35" s="362">
        <v>580</v>
      </c>
      <c r="I35" s="361">
        <v>2252</v>
      </c>
      <c r="J35" s="361">
        <f t="shared" si="2"/>
        <v>2208</v>
      </c>
      <c r="K35" s="362">
        <v>615</v>
      </c>
      <c r="L35" s="361">
        <v>1389</v>
      </c>
      <c r="M35" s="362">
        <v>204</v>
      </c>
      <c r="N35" s="361">
        <f>'[5]Проф.с иными целями Пр.118'!D35</f>
        <v>30212</v>
      </c>
      <c r="O35" s="363"/>
      <c r="P35" s="364"/>
      <c r="Q35" s="364"/>
    </row>
    <row r="36" spans="1:17" x14ac:dyDescent="0.25">
      <c r="A36" s="590">
        <v>26</v>
      </c>
      <c r="B36" s="359" t="s">
        <v>236</v>
      </c>
      <c r="C36" s="360" t="s">
        <v>94</v>
      </c>
      <c r="D36" s="361">
        <f t="shared" si="0"/>
        <v>89319</v>
      </c>
      <c r="E36" s="361">
        <f t="shared" si="1"/>
        <v>2622</v>
      </c>
      <c r="F36" s="361">
        <v>1736</v>
      </c>
      <c r="G36" s="362">
        <v>886</v>
      </c>
      <c r="H36" s="362">
        <v>0</v>
      </c>
      <c r="I36" s="362">
        <v>0</v>
      </c>
      <c r="J36" s="361">
        <f t="shared" si="2"/>
        <v>11188</v>
      </c>
      <c r="K36" s="361">
        <v>4988</v>
      </c>
      <c r="L36" s="361">
        <v>6200</v>
      </c>
      <c r="M36" s="362">
        <v>0</v>
      </c>
      <c r="N36" s="361">
        <f>'[5]Проф.с иными целями Пр.118'!D36</f>
        <v>75509</v>
      </c>
      <c r="O36" s="363"/>
      <c r="P36" s="364"/>
      <c r="Q36" s="364"/>
    </row>
    <row r="37" spans="1:17" ht="36" x14ac:dyDescent="0.25">
      <c r="A37" s="590"/>
      <c r="B37" s="359" t="s">
        <v>238</v>
      </c>
      <c r="C37" s="360" t="s">
        <v>581</v>
      </c>
      <c r="D37" s="366">
        <f>E37+J37+N37</f>
        <v>96030</v>
      </c>
      <c r="E37" s="361">
        <f t="shared" si="1"/>
        <v>2122</v>
      </c>
      <c r="F37" s="367">
        <v>366</v>
      </c>
      <c r="G37" s="366">
        <v>1756</v>
      </c>
      <c r="H37" s="367">
        <v>0</v>
      </c>
      <c r="I37" s="367">
        <v>0</v>
      </c>
      <c r="J37" s="361">
        <f t="shared" si="2"/>
        <v>9640</v>
      </c>
      <c r="K37" s="367">
        <v>67</v>
      </c>
      <c r="L37" s="366">
        <v>9573</v>
      </c>
      <c r="M37" s="367">
        <v>0</v>
      </c>
      <c r="N37" s="361">
        <f>'[5]Проф.с иными целями Пр.118'!D37</f>
        <v>84268</v>
      </c>
      <c r="O37" s="363"/>
      <c r="P37" s="364"/>
      <c r="Q37" s="364"/>
    </row>
    <row r="38" spans="1:17" ht="24" x14ac:dyDescent="0.25">
      <c r="A38" s="359">
        <v>27</v>
      </c>
      <c r="B38" s="359">
        <v>16008</v>
      </c>
      <c r="C38" s="360" t="s">
        <v>103</v>
      </c>
      <c r="D38" s="366">
        <f t="shared" ref="D38:D101" si="3">E38+J38+N38</f>
        <v>16479</v>
      </c>
      <c r="E38" s="361">
        <f t="shared" si="1"/>
        <v>685</v>
      </c>
      <c r="F38" s="367">
        <v>685</v>
      </c>
      <c r="G38" s="367">
        <v>0</v>
      </c>
      <c r="H38" s="367">
        <v>0</v>
      </c>
      <c r="I38" s="367">
        <v>0</v>
      </c>
      <c r="J38" s="361">
        <f t="shared" si="2"/>
        <v>2337</v>
      </c>
      <c r="K38" s="366">
        <v>2337</v>
      </c>
      <c r="L38" s="367">
        <v>0</v>
      </c>
      <c r="M38" s="367">
        <v>0</v>
      </c>
      <c r="N38" s="361">
        <f>'[5]Проф.с иными целями Пр.118'!D38</f>
        <v>13457</v>
      </c>
      <c r="O38" s="363"/>
      <c r="P38" s="364"/>
      <c r="Q38" s="364"/>
    </row>
    <row r="39" spans="1:17" ht="24" x14ac:dyDescent="0.25">
      <c r="A39" s="359">
        <v>28</v>
      </c>
      <c r="B39" s="359" t="s">
        <v>24</v>
      </c>
      <c r="C39" s="360" t="s">
        <v>851</v>
      </c>
      <c r="D39" s="361">
        <f t="shared" si="3"/>
        <v>200330</v>
      </c>
      <c r="E39" s="361">
        <f t="shared" si="1"/>
        <v>14528</v>
      </c>
      <c r="F39" s="361">
        <v>1053</v>
      </c>
      <c r="G39" s="361">
        <v>2287</v>
      </c>
      <c r="H39" s="361">
        <v>2734</v>
      </c>
      <c r="I39" s="361">
        <v>8454</v>
      </c>
      <c r="J39" s="361">
        <f t="shared" si="2"/>
        <v>14302</v>
      </c>
      <c r="K39" s="361">
        <v>3474</v>
      </c>
      <c r="L39" s="361">
        <v>10795</v>
      </c>
      <c r="M39" s="362">
        <v>33</v>
      </c>
      <c r="N39" s="361">
        <f>'[5]Проф.с иными целями Пр.118'!D39</f>
        <v>171500</v>
      </c>
      <c r="O39" s="363"/>
      <c r="P39" s="364"/>
      <c r="Q39" s="364"/>
    </row>
    <row r="40" spans="1:17" ht="48" x14ac:dyDescent="0.25">
      <c r="A40" s="359"/>
      <c r="B40" s="359" t="s">
        <v>403</v>
      </c>
      <c r="C40" s="365" t="s">
        <v>852</v>
      </c>
      <c r="D40" s="361">
        <f t="shared" si="3"/>
        <v>90371</v>
      </c>
      <c r="E40" s="361">
        <f t="shared" si="1"/>
        <v>5550</v>
      </c>
      <c r="F40" s="362">
        <v>115</v>
      </c>
      <c r="G40" s="361">
        <v>1007</v>
      </c>
      <c r="H40" s="362">
        <v>26</v>
      </c>
      <c r="I40" s="361">
        <v>4402</v>
      </c>
      <c r="J40" s="361">
        <f t="shared" si="2"/>
        <v>4797</v>
      </c>
      <c r="K40" s="362">
        <v>282</v>
      </c>
      <c r="L40" s="361">
        <v>4501</v>
      </c>
      <c r="M40" s="362">
        <v>14</v>
      </c>
      <c r="N40" s="361">
        <f>'[5]Проф.с иными целями Пр.118'!D40</f>
        <v>80024</v>
      </c>
      <c r="O40" s="363"/>
      <c r="P40" s="364"/>
      <c r="Q40" s="364"/>
    </row>
    <row r="41" spans="1:17" ht="24" x14ac:dyDescent="0.25">
      <c r="A41" s="590">
        <v>29</v>
      </c>
      <c r="B41" s="359" t="s">
        <v>242</v>
      </c>
      <c r="C41" s="360" t="s">
        <v>102</v>
      </c>
      <c r="D41" s="361">
        <f t="shared" si="3"/>
        <v>19045</v>
      </c>
      <c r="E41" s="361">
        <f t="shared" si="1"/>
        <v>2465</v>
      </c>
      <c r="F41" s="362">
        <v>320</v>
      </c>
      <c r="G41" s="362">
        <v>0</v>
      </c>
      <c r="H41" s="361">
        <v>2145</v>
      </c>
      <c r="I41" s="362">
        <v>0</v>
      </c>
      <c r="J41" s="361">
        <f t="shared" si="2"/>
        <v>1350</v>
      </c>
      <c r="K41" s="361">
        <v>1348</v>
      </c>
      <c r="L41" s="362">
        <v>1</v>
      </c>
      <c r="M41" s="362">
        <v>1</v>
      </c>
      <c r="N41" s="361">
        <f>'[5]Проф.с иными целями Пр.118'!D41</f>
        <v>15230</v>
      </c>
      <c r="O41" s="363"/>
      <c r="P41" s="364"/>
      <c r="Q41" s="364"/>
    </row>
    <row r="42" spans="1:17" ht="48" x14ac:dyDescent="0.25">
      <c r="A42" s="590"/>
      <c r="B42" s="359" t="s">
        <v>291</v>
      </c>
      <c r="C42" s="365" t="s">
        <v>853</v>
      </c>
      <c r="D42" s="361">
        <f t="shared" si="3"/>
        <v>29676</v>
      </c>
      <c r="E42" s="361">
        <f t="shared" si="1"/>
        <v>3183</v>
      </c>
      <c r="F42" s="362">
        <v>476</v>
      </c>
      <c r="G42" s="362">
        <v>0</v>
      </c>
      <c r="H42" s="361">
        <v>2707</v>
      </c>
      <c r="I42" s="362">
        <v>0</v>
      </c>
      <c r="J42" s="361">
        <f t="shared" si="2"/>
        <v>2077</v>
      </c>
      <c r="K42" s="361">
        <v>2035</v>
      </c>
      <c r="L42" s="362">
        <v>0</v>
      </c>
      <c r="M42" s="362">
        <v>42</v>
      </c>
      <c r="N42" s="361">
        <f>'[5]Проф.с иными целями Пр.118'!D42</f>
        <v>24416</v>
      </c>
      <c r="O42" s="363"/>
      <c r="P42" s="364"/>
      <c r="Q42" s="364"/>
    </row>
    <row r="43" spans="1:17" ht="24" x14ac:dyDescent="0.25">
      <c r="A43" s="359">
        <v>30</v>
      </c>
      <c r="B43" s="359" t="s">
        <v>246</v>
      </c>
      <c r="C43" s="360" t="s">
        <v>126</v>
      </c>
      <c r="D43" s="361">
        <f t="shared" si="3"/>
        <v>479</v>
      </c>
      <c r="E43" s="361">
        <f t="shared" si="1"/>
        <v>0</v>
      </c>
      <c r="F43" s="362">
        <v>0</v>
      </c>
      <c r="G43" s="362">
        <v>0</v>
      </c>
      <c r="H43" s="362">
        <v>0</v>
      </c>
      <c r="I43" s="362">
        <v>0</v>
      </c>
      <c r="J43" s="361">
        <f t="shared" si="2"/>
        <v>0</v>
      </c>
      <c r="K43" s="362">
        <v>0</v>
      </c>
      <c r="L43" s="362">
        <v>0</v>
      </c>
      <c r="M43" s="362">
        <v>0</v>
      </c>
      <c r="N43" s="361">
        <f>'[5]Проф.с иными целями Пр.118'!D43</f>
        <v>479</v>
      </c>
      <c r="O43" s="363"/>
      <c r="P43" s="364"/>
      <c r="Q43" s="364"/>
    </row>
    <row r="44" spans="1:17" x14ac:dyDescent="0.25">
      <c r="A44" s="359">
        <v>31</v>
      </c>
      <c r="B44" s="359" t="s">
        <v>248</v>
      </c>
      <c r="C44" s="360" t="s">
        <v>129</v>
      </c>
      <c r="D44" s="361">
        <f t="shared" si="3"/>
        <v>280157</v>
      </c>
      <c r="E44" s="361">
        <f t="shared" si="1"/>
        <v>35637</v>
      </c>
      <c r="F44" s="362">
        <v>0</v>
      </c>
      <c r="G44" s="362">
        <v>0</v>
      </c>
      <c r="H44" s="361">
        <v>14496</v>
      </c>
      <c r="I44" s="361">
        <v>21141</v>
      </c>
      <c r="J44" s="361">
        <f t="shared" si="2"/>
        <v>285</v>
      </c>
      <c r="K44" s="362">
        <v>0</v>
      </c>
      <c r="L44" s="362">
        <v>0</v>
      </c>
      <c r="M44" s="362">
        <v>285</v>
      </c>
      <c r="N44" s="361">
        <f>'[5]Проф.с иными целями Пр.118'!D44</f>
        <v>244235</v>
      </c>
      <c r="O44" s="363"/>
      <c r="P44" s="364"/>
      <c r="Q44" s="364"/>
    </row>
    <row r="45" spans="1:17" ht="24" x14ac:dyDescent="0.25">
      <c r="A45" s="359">
        <v>32</v>
      </c>
      <c r="B45" s="359" t="s">
        <v>586</v>
      </c>
      <c r="C45" s="360" t="s">
        <v>587</v>
      </c>
      <c r="D45" s="361">
        <f t="shared" si="3"/>
        <v>12000</v>
      </c>
      <c r="E45" s="361">
        <f t="shared" si="1"/>
        <v>0</v>
      </c>
      <c r="F45" s="362">
        <v>0</v>
      </c>
      <c r="G45" s="362">
        <v>0</v>
      </c>
      <c r="H45" s="362">
        <v>0</v>
      </c>
      <c r="I45" s="362">
        <v>0</v>
      </c>
      <c r="J45" s="361">
        <f t="shared" si="2"/>
        <v>0</v>
      </c>
      <c r="K45" s="362">
        <v>0</v>
      </c>
      <c r="L45" s="362">
        <v>0</v>
      </c>
      <c r="M45" s="362">
        <v>0</v>
      </c>
      <c r="N45" s="361">
        <f>'[5]Проф.с иными целями Пр.118'!D45</f>
        <v>12000</v>
      </c>
      <c r="O45" s="363"/>
      <c r="P45" s="364"/>
      <c r="Q45" s="364"/>
    </row>
    <row r="46" spans="1:17" x14ac:dyDescent="0.25">
      <c r="A46" s="359">
        <v>33</v>
      </c>
      <c r="B46" s="359" t="s">
        <v>212</v>
      </c>
      <c r="C46" s="360" t="s">
        <v>185</v>
      </c>
      <c r="D46" s="361">
        <f t="shared" si="3"/>
        <v>10266</v>
      </c>
      <c r="E46" s="361">
        <f t="shared" si="1"/>
        <v>0</v>
      </c>
      <c r="F46" s="362">
        <v>0</v>
      </c>
      <c r="G46" s="362">
        <v>0</v>
      </c>
      <c r="H46" s="362">
        <v>0</v>
      </c>
      <c r="I46" s="362">
        <v>0</v>
      </c>
      <c r="J46" s="361">
        <f t="shared" si="2"/>
        <v>0</v>
      </c>
      <c r="K46" s="362">
        <v>0</v>
      </c>
      <c r="L46" s="362">
        <v>0</v>
      </c>
      <c r="M46" s="362">
        <v>0</v>
      </c>
      <c r="N46" s="361">
        <f>'[5]Проф.с иными целями Пр.118'!D46</f>
        <v>10266</v>
      </c>
      <c r="O46" s="363"/>
      <c r="P46" s="364"/>
      <c r="Q46" s="364"/>
    </row>
    <row r="47" spans="1:17" x14ac:dyDescent="0.25">
      <c r="A47" s="590">
        <v>34</v>
      </c>
      <c r="B47" s="359" t="s">
        <v>235</v>
      </c>
      <c r="C47" s="360" t="s">
        <v>95</v>
      </c>
      <c r="D47" s="361">
        <f t="shared" si="3"/>
        <v>168554</v>
      </c>
      <c r="E47" s="361">
        <f t="shared" si="1"/>
        <v>4162</v>
      </c>
      <c r="F47" s="361">
        <v>1159</v>
      </c>
      <c r="G47" s="361">
        <v>3003</v>
      </c>
      <c r="H47" s="362">
        <v>0</v>
      </c>
      <c r="I47" s="362">
        <v>0</v>
      </c>
      <c r="J47" s="361">
        <f t="shared" si="2"/>
        <v>17756</v>
      </c>
      <c r="K47" s="361">
        <v>5074</v>
      </c>
      <c r="L47" s="361">
        <v>12682</v>
      </c>
      <c r="M47" s="362">
        <v>0</v>
      </c>
      <c r="N47" s="361">
        <f>'[5]Проф.с иными целями Пр.118'!D47</f>
        <v>146636</v>
      </c>
      <c r="O47" s="363"/>
      <c r="P47" s="364"/>
      <c r="Q47" s="364"/>
    </row>
    <row r="48" spans="1:17" ht="48" x14ac:dyDescent="0.25">
      <c r="A48" s="590"/>
      <c r="B48" s="359" t="s">
        <v>287</v>
      </c>
      <c r="C48" s="365" t="s">
        <v>588</v>
      </c>
      <c r="D48" s="361">
        <f t="shared" si="3"/>
        <v>133352</v>
      </c>
      <c r="E48" s="361">
        <f t="shared" si="1"/>
        <v>21676</v>
      </c>
      <c r="F48" s="362">
        <v>0</v>
      </c>
      <c r="G48" s="362">
        <v>0</v>
      </c>
      <c r="H48" s="361">
        <v>6071</v>
      </c>
      <c r="I48" s="361">
        <v>15605</v>
      </c>
      <c r="J48" s="361">
        <f t="shared" si="2"/>
        <v>285</v>
      </c>
      <c r="K48" s="362">
        <v>0</v>
      </c>
      <c r="L48" s="362">
        <v>0</v>
      </c>
      <c r="M48" s="362">
        <v>285</v>
      </c>
      <c r="N48" s="361">
        <f>'[5]Проф.с иными целями Пр.118'!D48</f>
        <v>111391</v>
      </c>
      <c r="O48" s="363"/>
      <c r="P48" s="364"/>
      <c r="Q48" s="364"/>
    </row>
    <row r="49" spans="1:17" ht="36" x14ac:dyDescent="0.25">
      <c r="A49" s="590"/>
      <c r="B49" s="359" t="s">
        <v>289</v>
      </c>
      <c r="C49" s="365" t="s">
        <v>854</v>
      </c>
      <c r="D49" s="361">
        <f t="shared" si="3"/>
        <v>20800</v>
      </c>
      <c r="E49" s="361">
        <f t="shared" si="1"/>
        <v>0</v>
      </c>
      <c r="F49" s="362">
        <v>0</v>
      </c>
      <c r="G49" s="362">
        <v>0</v>
      </c>
      <c r="H49" s="362">
        <v>0</v>
      </c>
      <c r="I49" s="362">
        <v>0</v>
      </c>
      <c r="J49" s="361">
        <f t="shared" si="2"/>
        <v>0</v>
      </c>
      <c r="K49" s="362">
        <v>0</v>
      </c>
      <c r="L49" s="362">
        <v>0</v>
      </c>
      <c r="M49" s="362">
        <v>0</v>
      </c>
      <c r="N49" s="361">
        <f>'[5]Проф.с иными целями Пр.118'!D49</f>
        <v>20800</v>
      </c>
      <c r="O49" s="363"/>
      <c r="P49" s="364"/>
      <c r="Q49" s="364"/>
    </row>
    <row r="50" spans="1:17" ht="24" x14ac:dyDescent="0.25">
      <c r="A50" s="359">
        <v>35</v>
      </c>
      <c r="B50" s="359" t="s">
        <v>590</v>
      </c>
      <c r="C50" s="360" t="s">
        <v>591</v>
      </c>
      <c r="D50" s="361">
        <f t="shared" si="3"/>
        <v>4198</v>
      </c>
      <c r="E50" s="361">
        <f t="shared" si="1"/>
        <v>0</v>
      </c>
      <c r="F50" s="362">
        <v>0</v>
      </c>
      <c r="G50" s="362">
        <v>0</v>
      </c>
      <c r="H50" s="362">
        <v>0</v>
      </c>
      <c r="I50" s="362">
        <v>0</v>
      </c>
      <c r="J50" s="361">
        <f t="shared" si="2"/>
        <v>0</v>
      </c>
      <c r="K50" s="362">
        <v>0</v>
      </c>
      <c r="L50" s="362">
        <v>0</v>
      </c>
      <c r="M50" s="362">
        <v>0</v>
      </c>
      <c r="N50" s="361">
        <f>'[5]Проф.с иными целями Пр.118'!D50</f>
        <v>4198</v>
      </c>
      <c r="O50" s="363"/>
      <c r="P50" s="364"/>
      <c r="Q50" s="364"/>
    </row>
    <row r="51" spans="1:17" x14ac:dyDescent="0.25">
      <c r="A51" s="359">
        <v>36</v>
      </c>
      <c r="B51" s="359" t="s">
        <v>211</v>
      </c>
      <c r="C51" s="360" t="s">
        <v>186</v>
      </c>
      <c r="D51" s="361">
        <f t="shared" si="3"/>
        <v>11900</v>
      </c>
      <c r="E51" s="361">
        <f t="shared" si="1"/>
        <v>0</v>
      </c>
      <c r="F51" s="362">
        <v>0</v>
      </c>
      <c r="G51" s="362">
        <v>0</v>
      </c>
      <c r="H51" s="362">
        <v>0</v>
      </c>
      <c r="I51" s="362">
        <v>0</v>
      </c>
      <c r="J51" s="361">
        <f t="shared" si="2"/>
        <v>0</v>
      </c>
      <c r="K51" s="362">
        <v>0</v>
      </c>
      <c r="L51" s="362">
        <v>0</v>
      </c>
      <c r="M51" s="362">
        <v>0</v>
      </c>
      <c r="N51" s="361">
        <f>'[5]Проф.с иными целями Пр.118'!D51</f>
        <v>11900</v>
      </c>
      <c r="O51" s="363"/>
      <c r="P51" s="364"/>
      <c r="Q51" s="364"/>
    </row>
    <row r="52" spans="1:17" x14ac:dyDescent="0.25">
      <c r="A52" s="590">
        <v>37</v>
      </c>
      <c r="B52" s="359" t="s">
        <v>233</v>
      </c>
      <c r="C52" s="360" t="s">
        <v>96</v>
      </c>
      <c r="D52" s="361">
        <f t="shared" si="3"/>
        <v>162780</v>
      </c>
      <c r="E52" s="361">
        <f t="shared" si="1"/>
        <v>12277</v>
      </c>
      <c r="F52" s="362">
        <v>820</v>
      </c>
      <c r="G52" s="361">
        <v>1339</v>
      </c>
      <c r="H52" s="361">
        <v>3292</v>
      </c>
      <c r="I52" s="361">
        <v>6826</v>
      </c>
      <c r="J52" s="361">
        <f t="shared" si="2"/>
        <v>9453</v>
      </c>
      <c r="K52" s="361">
        <v>2863</v>
      </c>
      <c r="L52" s="361">
        <v>6349</v>
      </c>
      <c r="M52" s="362">
        <v>241</v>
      </c>
      <c r="N52" s="361">
        <f>'[5]Проф.с иными целями Пр.118'!D52</f>
        <v>141050</v>
      </c>
      <c r="O52" s="363"/>
      <c r="P52" s="364"/>
      <c r="Q52" s="364"/>
    </row>
    <row r="53" spans="1:17" ht="36" x14ac:dyDescent="0.25">
      <c r="A53" s="590"/>
      <c r="B53" s="359" t="s">
        <v>285</v>
      </c>
      <c r="C53" s="365" t="s">
        <v>592</v>
      </c>
      <c r="D53" s="361">
        <f t="shared" si="3"/>
        <v>60448</v>
      </c>
      <c r="E53" s="361">
        <f t="shared" si="1"/>
        <v>4699</v>
      </c>
      <c r="F53" s="362">
        <v>214</v>
      </c>
      <c r="G53" s="362">
        <v>568</v>
      </c>
      <c r="H53" s="362">
        <v>770</v>
      </c>
      <c r="I53" s="361">
        <v>3147</v>
      </c>
      <c r="J53" s="361">
        <f t="shared" si="2"/>
        <v>3471</v>
      </c>
      <c r="K53" s="362">
        <v>864</v>
      </c>
      <c r="L53" s="361">
        <v>2475</v>
      </c>
      <c r="M53" s="362">
        <v>132</v>
      </c>
      <c r="N53" s="361">
        <f>'[5]Проф.с иными целями Пр.118'!D53</f>
        <v>52278</v>
      </c>
      <c r="O53" s="363"/>
      <c r="P53" s="364"/>
      <c r="Q53" s="364"/>
    </row>
    <row r="54" spans="1:17" x14ac:dyDescent="0.25">
      <c r="A54" s="359">
        <v>38</v>
      </c>
      <c r="B54" s="359" t="s">
        <v>256</v>
      </c>
      <c r="C54" s="360" t="s">
        <v>107</v>
      </c>
      <c r="D54" s="361">
        <f t="shared" si="3"/>
        <v>218132</v>
      </c>
      <c r="E54" s="361">
        <f t="shared" si="1"/>
        <v>17815</v>
      </c>
      <c r="F54" s="362">
        <v>913</v>
      </c>
      <c r="G54" s="361">
        <v>1940</v>
      </c>
      <c r="H54" s="361">
        <v>4380</v>
      </c>
      <c r="I54" s="361">
        <v>10582</v>
      </c>
      <c r="J54" s="361">
        <f t="shared" si="2"/>
        <v>12544</v>
      </c>
      <c r="K54" s="361">
        <v>3725</v>
      </c>
      <c r="L54" s="361">
        <v>8448</v>
      </c>
      <c r="M54" s="362">
        <v>371</v>
      </c>
      <c r="N54" s="361">
        <f>'[5]Проф.с иными целями Пр.118'!D54</f>
        <v>187773</v>
      </c>
      <c r="O54" s="363"/>
      <c r="P54" s="364"/>
      <c r="Q54" s="364"/>
    </row>
    <row r="55" spans="1:17" x14ac:dyDescent="0.25">
      <c r="A55" s="359">
        <v>39</v>
      </c>
      <c r="B55" s="359" t="s">
        <v>265</v>
      </c>
      <c r="C55" s="360" t="s">
        <v>106</v>
      </c>
      <c r="D55" s="361">
        <f t="shared" si="3"/>
        <v>207300</v>
      </c>
      <c r="E55" s="361">
        <f t="shared" si="1"/>
        <v>17661</v>
      </c>
      <c r="F55" s="362">
        <v>888</v>
      </c>
      <c r="G55" s="361">
        <v>1842</v>
      </c>
      <c r="H55" s="361">
        <v>9536</v>
      </c>
      <c r="I55" s="361">
        <v>5395</v>
      </c>
      <c r="J55" s="361">
        <f t="shared" si="2"/>
        <v>12012</v>
      </c>
      <c r="K55" s="361">
        <v>3409</v>
      </c>
      <c r="L55" s="361">
        <v>8238</v>
      </c>
      <c r="M55" s="362">
        <v>365</v>
      </c>
      <c r="N55" s="361">
        <f>'[5]Проф.с иными целями Пр.118'!D55</f>
        <v>177627</v>
      </c>
      <c r="O55" s="363"/>
      <c r="P55" s="364"/>
      <c r="Q55" s="364"/>
    </row>
    <row r="56" spans="1:17" x14ac:dyDescent="0.25">
      <c r="A56" s="359">
        <v>40</v>
      </c>
      <c r="B56" s="359" t="s">
        <v>255</v>
      </c>
      <c r="C56" s="360" t="s">
        <v>164</v>
      </c>
      <c r="D56" s="361">
        <f t="shared" si="3"/>
        <v>64566</v>
      </c>
      <c r="E56" s="361">
        <f t="shared" si="1"/>
        <v>5992</v>
      </c>
      <c r="F56" s="362">
        <v>290</v>
      </c>
      <c r="G56" s="362">
        <v>550</v>
      </c>
      <c r="H56" s="361">
        <v>1487</v>
      </c>
      <c r="I56" s="361">
        <v>3665</v>
      </c>
      <c r="J56" s="361">
        <f t="shared" si="2"/>
        <v>3610</v>
      </c>
      <c r="K56" s="362">
        <v>612</v>
      </c>
      <c r="L56" s="361">
        <v>2973</v>
      </c>
      <c r="M56" s="362">
        <v>25</v>
      </c>
      <c r="N56" s="361">
        <f>'[5]Проф.с иными целями Пр.118'!D56</f>
        <v>54964</v>
      </c>
      <c r="O56" s="363"/>
      <c r="P56" s="364"/>
      <c r="Q56" s="364"/>
    </row>
    <row r="57" spans="1:17" x14ac:dyDescent="0.25">
      <c r="A57" s="359">
        <v>41</v>
      </c>
      <c r="B57" s="359" t="s">
        <v>262</v>
      </c>
      <c r="C57" s="360" t="s">
        <v>158</v>
      </c>
      <c r="D57" s="361">
        <f t="shared" si="3"/>
        <v>80103</v>
      </c>
      <c r="E57" s="361">
        <f t="shared" si="1"/>
        <v>7532</v>
      </c>
      <c r="F57" s="362">
        <v>718</v>
      </c>
      <c r="G57" s="362">
        <v>337</v>
      </c>
      <c r="H57" s="361">
        <v>2244</v>
      </c>
      <c r="I57" s="361">
        <v>4233</v>
      </c>
      <c r="J57" s="361">
        <f t="shared" si="2"/>
        <v>4587</v>
      </c>
      <c r="K57" s="361">
        <v>1387</v>
      </c>
      <c r="L57" s="361">
        <v>3115</v>
      </c>
      <c r="M57" s="362">
        <v>85</v>
      </c>
      <c r="N57" s="361">
        <f>'[5]Проф.с иными целями Пр.118'!D57</f>
        <v>67984</v>
      </c>
      <c r="O57" s="363"/>
      <c r="P57" s="364"/>
      <c r="Q57" s="364"/>
    </row>
    <row r="58" spans="1:17" x14ac:dyDescent="0.25">
      <c r="A58" s="359">
        <v>42</v>
      </c>
      <c r="B58" s="359" t="s">
        <v>269</v>
      </c>
      <c r="C58" s="360" t="s">
        <v>153</v>
      </c>
      <c r="D58" s="361">
        <f t="shared" si="3"/>
        <v>74606</v>
      </c>
      <c r="E58" s="361">
        <f t="shared" si="1"/>
        <v>6671</v>
      </c>
      <c r="F58" s="362">
        <v>206</v>
      </c>
      <c r="G58" s="362">
        <v>778</v>
      </c>
      <c r="H58" s="361">
        <v>2034</v>
      </c>
      <c r="I58" s="361">
        <v>3653</v>
      </c>
      <c r="J58" s="361">
        <f t="shared" si="2"/>
        <v>4253</v>
      </c>
      <c r="K58" s="361">
        <v>1097</v>
      </c>
      <c r="L58" s="361">
        <v>3103</v>
      </c>
      <c r="M58" s="362">
        <v>53</v>
      </c>
      <c r="N58" s="361">
        <f>'[5]Проф.с иными целями Пр.118'!D58</f>
        <v>63682</v>
      </c>
      <c r="O58" s="363"/>
      <c r="P58" s="364"/>
      <c r="Q58" s="364"/>
    </row>
    <row r="59" spans="1:17" x14ac:dyDescent="0.25">
      <c r="A59" s="359">
        <v>43</v>
      </c>
      <c r="B59" s="359" t="s">
        <v>272</v>
      </c>
      <c r="C59" s="360" t="s">
        <v>150</v>
      </c>
      <c r="D59" s="361">
        <f t="shared" si="3"/>
        <v>48211</v>
      </c>
      <c r="E59" s="361">
        <f t="shared" si="1"/>
        <v>3961</v>
      </c>
      <c r="F59" s="362">
        <v>218</v>
      </c>
      <c r="G59" s="362">
        <v>446</v>
      </c>
      <c r="H59" s="362">
        <v>970</v>
      </c>
      <c r="I59" s="361">
        <v>2327</v>
      </c>
      <c r="J59" s="361">
        <f t="shared" si="2"/>
        <v>2992</v>
      </c>
      <c r="K59" s="362">
        <v>944</v>
      </c>
      <c r="L59" s="361">
        <v>1890</v>
      </c>
      <c r="M59" s="362">
        <v>158</v>
      </c>
      <c r="N59" s="361">
        <f>'[5]Проф.с иными целями Пр.118'!D59</f>
        <v>41258</v>
      </c>
      <c r="O59" s="363"/>
      <c r="P59" s="364"/>
      <c r="Q59" s="364"/>
    </row>
    <row r="60" spans="1:17" x14ac:dyDescent="0.25">
      <c r="A60" s="359">
        <v>44</v>
      </c>
      <c r="B60" s="359" t="s">
        <v>273</v>
      </c>
      <c r="C60" s="360" t="s">
        <v>149</v>
      </c>
      <c r="D60" s="361">
        <f t="shared" si="3"/>
        <v>83177</v>
      </c>
      <c r="E60" s="361">
        <f t="shared" si="1"/>
        <v>6728</v>
      </c>
      <c r="F60" s="362">
        <v>374</v>
      </c>
      <c r="G60" s="362">
        <v>786</v>
      </c>
      <c r="H60" s="361">
        <v>1952</v>
      </c>
      <c r="I60" s="361">
        <v>3616</v>
      </c>
      <c r="J60" s="361">
        <f t="shared" si="2"/>
        <v>5060</v>
      </c>
      <c r="K60" s="361">
        <v>1531</v>
      </c>
      <c r="L60" s="361">
        <v>3418</v>
      </c>
      <c r="M60" s="362">
        <v>111</v>
      </c>
      <c r="N60" s="361">
        <f>'[5]Проф.с иными целями Пр.118'!D60</f>
        <v>71389</v>
      </c>
      <c r="O60" s="363"/>
      <c r="P60" s="364"/>
      <c r="Q60" s="364"/>
    </row>
    <row r="61" spans="1:17" x14ac:dyDescent="0.25">
      <c r="A61" s="359">
        <v>45</v>
      </c>
      <c r="B61" s="359" t="s">
        <v>276</v>
      </c>
      <c r="C61" s="360" t="s">
        <v>148</v>
      </c>
      <c r="D61" s="361">
        <f t="shared" si="3"/>
        <v>39240</v>
      </c>
      <c r="E61" s="361">
        <f t="shared" si="1"/>
        <v>2977</v>
      </c>
      <c r="F61" s="362">
        <v>166</v>
      </c>
      <c r="G61" s="362">
        <v>388</v>
      </c>
      <c r="H61" s="361">
        <v>1009</v>
      </c>
      <c r="I61" s="361">
        <v>1414</v>
      </c>
      <c r="J61" s="361">
        <f t="shared" si="2"/>
        <v>2429</v>
      </c>
      <c r="K61" s="362">
        <v>699</v>
      </c>
      <c r="L61" s="361">
        <v>1664</v>
      </c>
      <c r="M61" s="362">
        <v>66</v>
      </c>
      <c r="N61" s="361">
        <f>'[5]Проф.с иными целями Пр.118'!D61</f>
        <v>33834</v>
      </c>
      <c r="O61" s="363"/>
      <c r="P61" s="364"/>
      <c r="Q61" s="364"/>
    </row>
    <row r="62" spans="1:17" x14ac:dyDescent="0.25">
      <c r="A62" s="359">
        <v>46</v>
      </c>
      <c r="B62" s="359" t="s">
        <v>327</v>
      </c>
      <c r="C62" s="368" t="s">
        <v>523</v>
      </c>
      <c r="D62" s="361">
        <f t="shared" si="3"/>
        <v>12064</v>
      </c>
      <c r="E62" s="361">
        <f t="shared" si="1"/>
        <v>366</v>
      </c>
      <c r="F62" s="362">
        <v>110</v>
      </c>
      <c r="G62" s="362">
        <v>256</v>
      </c>
      <c r="H62" s="362">
        <v>0</v>
      </c>
      <c r="I62" s="362">
        <v>0</v>
      </c>
      <c r="J62" s="361">
        <f t="shared" si="2"/>
        <v>1560</v>
      </c>
      <c r="K62" s="362">
        <v>508</v>
      </c>
      <c r="L62" s="361">
        <v>1052</v>
      </c>
      <c r="M62" s="362">
        <v>0</v>
      </c>
      <c r="N62" s="361">
        <f>'[5]Проф.с иными целями Пр.118'!D62</f>
        <v>10138</v>
      </c>
      <c r="O62" s="363"/>
      <c r="P62" s="364"/>
      <c r="Q62" s="364"/>
    </row>
    <row r="63" spans="1:17" x14ac:dyDescent="0.25">
      <c r="A63" s="359">
        <v>47</v>
      </c>
      <c r="B63" s="359" t="s">
        <v>305</v>
      </c>
      <c r="C63" s="360" t="s">
        <v>90</v>
      </c>
      <c r="D63" s="361">
        <f t="shared" si="3"/>
        <v>23813</v>
      </c>
      <c r="E63" s="361">
        <f t="shared" si="1"/>
        <v>702</v>
      </c>
      <c r="F63" s="362">
        <v>184</v>
      </c>
      <c r="G63" s="362">
        <v>518</v>
      </c>
      <c r="H63" s="362">
        <v>0</v>
      </c>
      <c r="I63" s="362">
        <v>0</v>
      </c>
      <c r="J63" s="361">
        <f t="shared" si="2"/>
        <v>2995</v>
      </c>
      <c r="K63" s="362">
        <v>434</v>
      </c>
      <c r="L63" s="361">
        <v>2561</v>
      </c>
      <c r="M63" s="362">
        <v>0</v>
      </c>
      <c r="N63" s="361">
        <f>'[5]Проф.с иными целями Пр.118'!D63</f>
        <v>20116</v>
      </c>
      <c r="O63" s="363"/>
      <c r="P63" s="364"/>
      <c r="Q63" s="364"/>
    </row>
    <row r="64" spans="1:17" x14ac:dyDescent="0.25">
      <c r="A64" s="359">
        <v>48</v>
      </c>
      <c r="B64" s="359" t="s">
        <v>274</v>
      </c>
      <c r="C64" s="360" t="s">
        <v>101</v>
      </c>
      <c r="D64" s="361">
        <f t="shared" si="3"/>
        <v>335459</v>
      </c>
      <c r="E64" s="361">
        <f t="shared" si="1"/>
        <v>28560</v>
      </c>
      <c r="F64" s="361">
        <v>1250</v>
      </c>
      <c r="G64" s="361">
        <v>3123</v>
      </c>
      <c r="H64" s="361">
        <v>9196</v>
      </c>
      <c r="I64" s="361">
        <v>14991</v>
      </c>
      <c r="J64" s="361">
        <f t="shared" si="2"/>
        <v>19359</v>
      </c>
      <c r="K64" s="361">
        <v>4290</v>
      </c>
      <c r="L64" s="361">
        <v>14367</v>
      </c>
      <c r="M64" s="362">
        <v>702</v>
      </c>
      <c r="N64" s="361">
        <f>'[5]Проф.с иными целями Пр.118'!D64</f>
        <v>287540</v>
      </c>
      <c r="O64" s="363"/>
      <c r="P64" s="364"/>
      <c r="Q64" s="364"/>
    </row>
    <row r="65" spans="1:17" x14ac:dyDescent="0.25">
      <c r="A65" s="359">
        <v>49</v>
      </c>
      <c r="B65" s="359" t="s">
        <v>222</v>
      </c>
      <c r="C65" s="360" t="s">
        <v>111</v>
      </c>
      <c r="D65" s="361">
        <f t="shared" si="3"/>
        <v>232405</v>
      </c>
      <c r="E65" s="361">
        <f t="shared" si="1"/>
        <v>18080</v>
      </c>
      <c r="F65" s="362">
        <v>650</v>
      </c>
      <c r="G65" s="361">
        <v>2514</v>
      </c>
      <c r="H65" s="361">
        <v>6217</v>
      </c>
      <c r="I65" s="361">
        <v>8699</v>
      </c>
      <c r="J65" s="361">
        <f t="shared" si="2"/>
        <v>13655</v>
      </c>
      <c r="K65" s="361">
        <v>4082</v>
      </c>
      <c r="L65" s="361">
        <v>9417</v>
      </c>
      <c r="M65" s="362">
        <v>156</v>
      </c>
      <c r="N65" s="361">
        <f>'[5]Проф.с иными целями Пр.118'!D65</f>
        <v>200670</v>
      </c>
      <c r="O65" s="363"/>
      <c r="P65" s="364"/>
      <c r="Q65" s="364"/>
    </row>
    <row r="66" spans="1:17" x14ac:dyDescent="0.25">
      <c r="A66" s="359">
        <v>50</v>
      </c>
      <c r="B66" s="359" t="s">
        <v>244</v>
      </c>
      <c r="C66" s="360" t="s">
        <v>105</v>
      </c>
      <c r="D66" s="361">
        <f t="shared" si="3"/>
        <v>288871</v>
      </c>
      <c r="E66" s="361">
        <f t="shared" si="1"/>
        <v>22172</v>
      </c>
      <c r="F66" s="361">
        <v>1093</v>
      </c>
      <c r="G66" s="361">
        <v>2514</v>
      </c>
      <c r="H66" s="361">
        <v>5368</v>
      </c>
      <c r="I66" s="361">
        <v>13197</v>
      </c>
      <c r="J66" s="361">
        <f t="shared" si="2"/>
        <v>15728</v>
      </c>
      <c r="K66" s="361">
        <v>4053</v>
      </c>
      <c r="L66" s="361">
        <v>11332</v>
      </c>
      <c r="M66" s="362">
        <v>343</v>
      </c>
      <c r="N66" s="361">
        <f>'[5]Проф.с иными целями Пр.118'!D66</f>
        <v>250971</v>
      </c>
      <c r="O66" s="363"/>
      <c r="P66" s="364"/>
      <c r="Q66" s="364"/>
    </row>
    <row r="67" spans="1:17" ht="24" x14ac:dyDescent="0.25">
      <c r="A67" s="359">
        <v>51</v>
      </c>
      <c r="B67" s="359" t="s">
        <v>594</v>
      </c>
      <c r="C67" s="360" t="s">
        <v>595</v>
      </c>
      <c r="D67" s="361">
        <f t="shared" si="3"/>
        <v>2203</v>
      </c>
      <c r="E67" s="361">
        <f t="shared" si="1"/>
        <v>0</v>
      </c>
      <c r="F67" s="362">
        <v>0</v>
      </c>
      <c r="G67" s="362">
        <v>0</v>
      </c>
      <c r="H67" s="362">
        <v>0</v>
      </c>
      <c r="I67" s="362">
        <v>0</v>
      </c>
      <c r="J67" s="361">
        <f t="shared" si="2"/>
        <v>0</v>
      </c>
      <c r="K67" s="362">
        <v>0</v>
      </c>
      <c r="L67" s="362">
        <v>0</v>
      </c>
      <c r="M67" s="362">
        <v>0</v>
      </c>
      <c r="N67" s="361">
        <f>'[5]Проф.с иными целями Пр.118'!D67</f>
        <v>2203</v>
      </c>
      <c r="O67" s="363"/>
      <c r="P67" s="364"/>
      <c r="Q67" s="364"/>
    </row>
    <row r="68" spans="1:17" x14ac:dyDescent="0.25">
      <c r="A68" s="359">
        <v>52</v>
      </c>
      <c r="B68" s="359" t="s">
        <v>250</v>
      </c>
      <c r="C68" s="360" t="s">
        <v>168</v>
      </c>
      <c r="D68" s="361">
        <f t="shared" si="3"/>
        <v>95075</v>
      </c>
      <c r="E68" s="361">
        <f t="shared" si="1"/>
        <v>7930</v>
      </c>
      <c r="F68" s="362">
        <v>417</v>
      </c>
      <c r="G68" s="362">
        <v>855</v>
      </c>
      <c r="H68" s="361">
        <v>2919</v>
      </c>
      <c r="I68" s="361">
        <v>3739</v>
      </c>
      <c r="J68" s="361">
        <f t="shared" si="2"/>
        <v>5587</v>
      </c>
      <c r="K68" s="361">
        <v>1642</v>
      </c>
      <c r="L68" s="361">
        <v>3788</v>
      </c>
      <c r="M68" s="362">
        <v>157</v>
      </c>
      <c r="N68" s="361">
        <f>'[5]Проф.с иными целями Пр.118'!D68</f>
        <v>81558</v>
      </c>
      <c r="O68" s="363"/>
      <c r="P68" s="364"/>
      <c r="Q68" s="364"/>
    </row>
    <row r="69" spans="1:17" x14ac:dyDescent="0.25">
      <c r="A69" s="359">
        <v>53</v>
      </c>
      <c r="B69" s="359" t="s">
        <v>220</v>
      </c>
      <c r="C69" s="360" t="s">
        <v>179</v>
      </c>
      <c r="D69" s="361">
        <f t="shared" si="3"/>
        <v>68490</v>
      </c>
      <c r="E69" s="361">
        <f t="shared" si="1"/>
        <v>5601</v>
      </c>
      <c r="F69" s="362">
        <v>271</v>
      </c>
      <c r="G69" s="362">
        <v>661</v>
      </c>
      <c r="H69" s="361">
        <v>1234</v>
      </c>
      <c r="I69" s="361">
        <v>3435</v>
      </c>
      <c r="J69" s="361">
        <f t="shared" si="2"/>
        <v>4114</v>
      </c>
      <c r="K69" s="361">
        <v>1218</v>
      </c>
      <c r="L69" s="361">
        <v>2761</v>
      </c>
      <c r="M69" s="362">
        <v>135</v>
      </c>
      <c r="N69" s="361">
        <f>'[5]Проф.с иными целями Пр.118'!D69</f>
        <v>58775</v>
      </c>
      <c r="O69" s="363"/>
      <c r="P69" s="364"/>
      <c r="Q69" s="364"/>
    </row>
    <row r="70" spans="1:17" x14ac:dyDescent="0.25">
      <c r="A70" s="359">
        <v>54</v>
      </c>
      <c r="B70" s="359" t="s">
        <v>224</v>
      </c>
      <c r="C70" s="360" t="s">
        <v>176</v>
      </c>
      <c r="D70" s="361">
        <f t="shared" si="3"/>
        <v>52897</v>
      </c>
      <c r="E70" s="361">
        <f t="shared" si="1"/>
        <v>4505</v>
      </c>
      <c r="F70" s="362">
        <v>268</v>
      </c>
      <c r="G70" s="362">
        <v>453</v>
      </c>
      <c r="H70" s="361">
        <v>1404</v>
      </c>
      <c r="I70" s="361">
        <v>2380</v>
      </c>
      <c r="J70" s="361">
        <f t="shared" si="2"/>
        <v>3243</v>
      </c>
      <c r="K70" s="362">
        <v>974</v>
      </c>
      <c r="L70" s="361">
        <v>2103</v>
      </c>
      <c r="M70" s="362">
        <v>166</v>
      </c>
      <c r="N70" s="361">
        <f>'[5]Проф.с иными целями Пр.118'!D70</f>
        <v>45149</v>
      </c>
      <c r="O70" s="363"/>
      <c r="P70" s="364"/>
      <c r="Q70" s="364"/>
    </row>
    <row r="71" spans="1:17" x14ac:dyDescent="0.25">
      <c r="A71" s="359">
        <v>55</v>
      </c>
      <c r="B71" s="359" t="s">
        <v>232</v>
      </c>
      <c r="C71" s="360" t="s">
        <v>169</v>
      </c>
      <c r="D71" s="361">
        <f t="shared" si="3"/>
        <v>79754</v>
      </c>
      <c r="E71" s="361">
        <f t="shared" si="1"/>
        <v>6513</v>
      </c>
      <c r="F71" s="362">
        <v>334</v>
      </c>
      <c r="G71" s="362">
        <v>762</v>
      </c>
      <c r="H71" s="361">
        <v>1572</v>
      </c>
      <c r="I71" s="361">
        <v>3845</v>
      </c>
      <c r="J71" s="361">
        <f t="shared" si="2"/>
        <v>4814</v>
      </c>
      <c r="K71" s="361">
        <v>1396</v>
      </c>
      <c r="L71" s="361">
        <v>3281</v>
      </c>
      <c r="M71" s="362">
        <v>137</v>
      </c>
      <c r="N71" s="361">
        <f>'[5]Проф.с иными целями Пр.118'!D71</f>
        <v>68427</v>
      </c>
      <c r="O71" s="363"/>
      <c r="P71" s="364"/>
      <c r="Q71" s="364"/>
    </row>
    <row r="72" spans="1:17" x14ac:dyDescent="0.25">
      <c r="A72" s="359">
        <v>56</v>
      </c>
      <c r="B72" s="359" t="s">
        <v>307</v>
      </c>
      <c r="C72" s="360" t="s">
        <v>600</v>
      </c>
      <c r="D72" s="361">
        <f t="shared" si="3"/>
        <v>44</v>
      </c>
      <c r="E72" s="361">
        <f t="shared" si="1"/>
        <v>0</v>
      </c>
      <c r="F72" s="362">
        <v>0</v>
      </c>
      <c r="G72" s="362">
        <v>0</v>
      </c>
      <c r="H72" s="362">
        <v>0</v>
      </c>
      <c r="I72" s="362">
        <v>0</v>
      </c>
      <c r="J72" s="361">
        <f t="shared" si="2"/>
        <v>0</v>
      </c>
      <c r="K72" s="362">
        <v>0</v>
      </c>
      <c r="L72" s="362">
        <v>0</v>
      </c>
      <c r="M72" s="362">
        <v>0</v>
      </c>
      <c r="N72" s="361">
        <f>'[5]Проф.с иными целями Пр.118'!D72</f>
        <v>44</v>
      </c>
      <c r="O72" s="363"/>
      <c r="P72" s="364"/>
      <c r="Q72" s="364"/>
    </row>
    <row r="73" spans="1:17" x14ac:dyDescent="0.25">
      <c r="A73" s="359">
        <v>57</v>
      </c>
      <c r="B73" s="359" t="s">
        <v>252</v>
      </c>
      <c r="C73" s="360" t="s">
        <v>167</v>
      </c>
      <c r="D73" s="361">
        <f t="shared" si="3"/>
        <v>33398</v>
      </c>
      <c r="E73" s="361">
        <f t="shared" si="1"/>
        <v>2461</v>
      </c>
      <c r="F73" s="362">
        <v>163</v>
      </c>
      <c r="G73" s="362">
        <v>313</v>
      </c>
      <c r="H73" s="362">
        <v>681</v>
      </c>
      <c r="I73" s="361">
        <v>1304</v>
      </c>
      <c r="J73" s="361">
        <f t="shared" si="2"/>
        <v>2072</v>
      </c>
      <c r="K73" s="362">
        <v>556</v>
      </c>
      <c r="L73" s="361">
        <v>1476</v>
      </c>
      <c r="M73" s="362">
        <v>40</v>
      </c>
      <c r="N73" s="361">
        <f>'[5]Проф.с иными целями Пр.118'!D73</f>
        <v>28865</v>
      </c>
      <c r="O73" s="363"/>
      <c r="P73" s="364"/>
      <c r="Q73" s="364"/>
    </row>
    <row r="74" spans="1:17" x14ac:dyDescent="0.25">
      <c r="A74" s="359">
        <v>58</v>
      </c>
      <c r="B74" s="359" t="s">
        <v>268</v>
      </c>
      <c r="C74" s="360" t="s">
        <v>154</v>
      </c>
      <c r="D74" s="361">
        <f t="shared" si="3"/>
        <v>66917</v>
      </c>
      <c r="E74" s="361">
        <f t="shared" si="1"/>
        <v>5525</v>
      </c>
      <c r="F74" s="362">
        <v>368</v>
      </c>
      <c r="G74" s="362">
        <v>535</v>
      </c>
      <c r="H74" s="361">
        <v>1744</v>
      </c>
      <c r="I74" s="361">
        <v>2878</v>
      </c>
      <c r="J74" s="361">
        <f t="shared" si="2"/>
        <v>3874</v>
      </c>
      <c r="K74" s="361">
        <v>1352</v>
      </c>
      <c r="L74" s="361">
        <v>2502</v>
      </c>
      <c r="M74" s="362">
        <v>20</v>
      </c>
      <c r="N74" s="361">
        <f>'[5]Проф.с иными целями Пр.118'!D74</f>
        <v>57518</v>
      </c>
      <c r="O74" s="363"/>
      <c r="P74" s="364"/>
      <c r="Q74" s="364"/>
    </row>
    <row r="75" spans="1:17" x14ac:dyDescent="0.25">
      <c r="A75" s="359">
        <v>59</v>
      </c>
      <c r="B75" s="359" t="s">
        <v>271</v>
      </c>
      <c r="C75" s="360" t="s">
        <v>151</v>
      </c>
      <c r="D75" s="361">
        <f t="shared" si="3"/>
        <v>98172</v>
      </c>
      <c r="E75" s="361">
        <f t="shared" ref="E75:E138" si="4">F75+G75+H75+I75</f>
        <v>8333</v>
      </c>
      <c r="F75" s="362">
        <v>434</v>
      </c>
      <c r="G75" s="362">
        <v>898</v>
      </c>
      <c r="H75" s="361">
        <v>2521</v>
      </c>
      <c r="I75" s="361">
        <v>4480</v>
      </c>
      <c r="J75" s="361">
        <f t="shared" ref="J75:J138" si="5">K75+L75+M75</f>
        <v>5801</v>
      </c>
      <c r="K75" s="361">
        <v>2243</v>
      </c>
      <c r="L75" s="361">
        <v>3437</v>
      </c>
      <c r="M75" s="362">
        <v>121</v>
      </c>
      <c r="N75" s="361">
        <f>'[5]Проф.с иными целями Пр.118'!D75</f>
        <v>84038</v>
      </c>
      <c r="O75" s="363"/>
      <c r="P75" s="364"/>
      <c r="Q75" s="364"/>
    </row>
    <row r="76" spans="1:17" x14ac:dyDescent="0.25">
      <c r="A76" s="359">
        <v>60</v>
      </c>
      <c r="B76" s="359" t="s">
        <v>280</v>
      </c>
      <c r="C76" s="360" t="s">
        <v>145</v>
      </c>
      <c r="D76" s="361">
        <f t="shared" si="3"/>
        <v>53589</v>
      </c>
      <c r="E76" s="361">
        <f t="shared" si="4"/>
        <v>4626</v>
      </c>
      <c r="F76" s="362">
        <v>293</v>
      </c>
      <c r="G76" s="362">
        <v>437</v>
      </c>
      <c r="H76" s="361">
        <v>1176</v>
      </c>
      <c r="I76" s="361">
        <v>2720</v>
      </c>
      <c r="J76" s="361">
        <f t="shared" si="5"/>
        <v>3220</v>
      </c>
      <c r="K76" s="361">
        <v>1060</v>
      </c>
      <c r="L76" s="361">
        <v>2055</v>
      </c>
      <c r="M76" s="362">
        <v>105</v>
      </c>
      <c r="N76" s="361">
        <f>'[5]Проф.с иными целями Пр.118'!D76</f>
        <v>45743</v>
      </c>
      <c r="O76" s="363"/>
      <c r="P76" s="364"/>
      <c r="Q76" s="364"/>
    </row>
    <row r="77" spans="1:17" ht="24" x14ac:dyDescent="0.25">
      <c r="A77" s="359">
        <v>61</v>
      </c>
      <c r="B77" s="359" t="s">
        <v>596</v>
      </c>
      <c r="C77" s="360" t="s">
        <v>597</v>
      </c>
      <c r="D77" s="361">
        <f t="shared" si="3"/>
        <v>55</v>
      </c>
      <c r="E77" s="361">
        <f t="shared" si="4"/>
        <v>0</v>
      </c>
      <c r="F77" s="362">
        <v>0</v>
      </c>
      <c r="G77" s="362">
        <v>0</v>
      </c>
      <c r="H77" s="362">
        <v>0</v>
      </c>
      <c r="I77" s="362">
        <v>0</v>
      </c>
      <c r="J77" s="361">
        <f t="shared" si="5"/>
        <v>0</v>
      </c>
      <c r="K77" s="362">
        <v>0</v>
      </c>
      <c r="L77" s="362">
        <v>0</v>
      </c>
      <c r="M77" s="362">
        <v>0</v>
      </c>
      <c r="N77" s="361">
        <f>'[5]Проф.с иными целями Пр.118'!D77</f>
        <v>55</v>
      </c>
      <c r="O77" s="363"/>
      <c r="P77" s="364"/>
      <c r="Q77" s="364"/>
    </row>
    <row r="78" spans="1:17" x14ac:dyDescent="0.25">
      <c r="A78" s="359">
        <v>62</v>
      </c>
      <c r="B78" s="359" t="s">
        <v>598</v>
      </c>
      <c r="C78" s="360" t="s">
        <v>599</v>
      </c>
      <c r="D78" s="361">
        <f t="shared" si="3"/>
        <v>25</v>
      </c>
      <c r="E78" s="361">
        <f t="shared" si="4"/>
        <v>0</v>
      </c>
      <c r="F78" s="362">
        <v>0</v>
      </c>
      <c r="G78" s="362">
        <v>0</v>
      </c>
      <c r="H78" s="362">
        <v>0</v>
      </c>
      <c r="I78" s="362">
        <v>0</v>
      </c>
      <c r="J78" s="361">
        <f t="shared" si="5"/>
        <v>0</v>
      </c>
      <c r="K78" s="362">
        <v>0</v>
      </c>
      <c r="L78" s="362">
        <v>0</v>
      </c>
      <c r="M78" s="362">
        <v>0</v>
      </c>
      <c r="N78" s="361">
        <f>'[5]Проф.с иными целями Пр.118'!D78</f>
        <v>25</v>
      </c>
      <c r="O78" s="363"/>
      <c r="P78" s="364"/>
      <c r="Q78" s="364"/>
    </row>
    <row r="79" spans="1:17" ht="24" x14ac:dyDescent="0.25">
      <c r="A79" s="359">
        <v>63</v>
      </c>
      <c r="B79" s="359" t="s">
        <v>603</v>
      </c>
      <c r="C79" s="360" t="s">
        <v>604</v>
      </c>
      <c r="D79" s="361">
        <f t="shared" si="3"/>
        <v>22</v>
      </c>
      <c r="E79" s="361">
        <f t="shared" si="4"/>
        <v>0</v>
      </c>
      <c r="F79" s="362">
        <v>0</v>
      </c>
      <c r="G79" s="362">
        <v>0</v>
      </c>
      <c r="H79" s="362">
        <v>0</v>
      </c>
      <c r="I79" s="362">
        <v>0</v>
      </c>
      <c r="J79" s="361">
        <f t="shared" si="5"/>
        <v>0</v>
      </c>
      <c r="K79" s="362">
        <v>0</v>
      </c>
      <c r="L79" s="362">
        <v>0</v>
      </c>
      <c r="M79" s="362">
        <v>0</v>
      </c>
      <c r="N79" s="361">
        <f>'[5]Проф.с иными целями Пр.118'!D79</f>
        <v>22</v>
      </c>
      <c r="O79" s="363"/>
      <c r="P79" s="364"/>
      <c r="Q79" s="364"/>
    </row>
    <row r="80" spans="1:17" x14ac:dyDescent="0.25">
      <c r="A80" s="359">
        <v>64</v>
      </c>
      <c r="B80" s="359" t="s">
        <v>330</v>
      </c>
      <c r="C80" s="360" t="s">
        <v>607</v>
      </c>
      <c r="D80" s="361">
        <f t="shared" si="3"/>
        <v>226489</v>
      </c>
      <c r="E80" s="361">
        <f t="shared" si="4"/>
        <v>30348</v>
      </c>
      <c r="F80" s="362">
        <v>0</v>
      </c>
      <c r="G80" s="362">
        <v>0</v>
      </c>
      <c r="H80" s="361">
        <v>18447</v>
      </c>
      <c r="I80" s="361">
        <v>11901</v>
      </c>
      <c r="J80" s="361">
        <f t="shared" si="5"/>
        <v>270</v>
      </c>
      <c r="K80" s="362">
        <v>0</v>
      </c>
      <c r="L80" s="362">
        <v>0</v>
      </c>
      <c r="M80" s="362">
        <v>270</v>
      </c>
      <c r="N80" s="361">
        <f>'[5]Проф.с иными целями Пр.118'!D80</f>
        <v>195871</v>
      </c>
      <c r="O80" s="363"/>
      <c r="P80" s="364"/>
      <c r="Q80" s="364"/>
    </row>
    <row r="81" spans="1:17" x14ac:dyDescent="0.25">
      <c r="A81" s="359">
        <v>65</v>
      </c>
      <c r="B81" s="359" t="s">
        <v>332</v>
      </c>
      <c r="C81" s="360" t="s">
        <v>608</v>
      </c>
      <c r="D81" s="361">
        <f t="shared" si="3"/>
        <v>195701</v>
      </c>
      <c r="E81" s="361">
        <f t="shared" si="4"/>
        <v>26067</v>
      </c>
      <c r="F81" s="362">
        <v>0</v>
      </c>
      <c r="G81" s="362">
        <v>0</v>
      </c>
      <c r="H81" s="361">
        <v>10347</v>
      </c>
      <c r="I81" s="361">
        <v>15720</v>
      </c>
      <c r="J81" s="361">
        <f t="shared" si="5"/>
        <v>418</v>
      </c>
      <c r="K81" s="362">
        <v>0</v>
      </c>
      <c r="L81" s="362">
        <v>0</v>
      </c>
      <c r="M81" s="362">
        <v>418</v>
      </c>
      <c r="N81" s="361">
        <f>'[5]Проф.с иными целями Пр.118'!D81</f>
        <v>169216</v>
      </c>
      <c r="O81" s="363"/>
      <c r="P81" s="364"/>
      <c r="Q81" s="364"/>
    </row>
    <row r="82" spans="1:17" x14ac:dyDescent="0.25">
      <c r="A82" s="359">
        <v>66</v>
      </c>
      <c r="B82" s="359" t="s">
        <v>334</v>
      </c>
      <c r="C82" s="360" t="s">
        <v>609</v>
      </c>
      <c r="D82" s="361">
        <f t="shared" si="3"/>
        <v>267996</v>
      </c>
      <c r="E82" s="361">
        <f t="shared" si="4"/>
        <v>34032</v>
      </c>
      <c r="F82" s="362">
        <v>0</v>
      </c>
      <c r="G82" s="362">
        <v>0</v>
      </c>
      <c r="H82" s="361">
        <v>11828</v>
      </c>
      <c r="I82" s="361">
        <v>22204</v>
      </c>
      <c r="J82" s="361">
        <f t="shared" si="5"/>
        <v>90</v>
      </c>
      <c r="K82" s="362">
        <v>0</v>
      </c>
      <c r="L82" s="362">
        <v>0</v>
      </c>
      <c r="M82" s="362">
        <v>90</v>
      </c>
      <c r="N82" s="361">
        <f>'[5]Проф.с иными целями Пр.118'!D82</f>
        <v>233874</v>
      </c>
      <c r="O82" s="363"/>
      <c r="P82" s="364"/>
      <c r="Q82" s="364"/>
    </row>
    <row r="83" spans="1:17" x14ac:dyDescent="0.25">
      <c r="A83" s="359">
        <v>67</v>
      </c>
      <c r="B83" s="359" t="s">
        <v>336</v>
      </c>
      <c r="C83" s="360" t="s">
        <v>610</v>
      </c>
      <c r="D83" s="361">
        <f t="shared" si="3"/>
        <v>334174</v>
      </c>
      <c r="E83" s="361">
        <f t="shared" si="4"/>
        <v>42137</v>
      </c>
      <c r="F83" s="362">
        <v>0</v>
      </c>
      <c r="G83" s="362">
        <v>0</v>
      </c>
      <c r="H83" s="361">
        <v>20211</v>
      </c>
      <c r="I83" s="361">
        <v>21926</v>
      </c>
      <c r="J83" s="361">
        <f t="shared" si="5"/>
        <v>278</v>
      </c>
      <c r="K83" s="362">
        <v>0</v>
      </c>
      <c r="L83" s="362">
        <v>0</v>
      </c>
      <c r="M83" s="362">
        <v>278</v>
      </c>
      <c r="N83" s="361">
        <f>'[5]Проф.с иными целями Пр.118'!D83</f>
        <v>291759</v>
      </c>
      <c r="O83" s="363"/>
      <c r="P83" s="364"/>
      <c r="Q83" s="364"/>
    </row>
    <row r="84" spans="1:17" x14ac:dyDescent="0.25">
      <c r="A84" s="359">
        <v>68</v>
      </c>
      <c r="B84" s="359" t="s">
        <v>338</v>
      </c>
      <c r="C84" s="360" t="s">
        <v>611</v>
      </c>
      <c r="D84" s="361">
        <f t="shared" si="3"/>
        <v>123172</v>
      </c>
      <c r="E84" s="361">
        <f t="shared" si="4"/>
        <v>17540</v>
      </c>
      <c r="F84" s="362">
        <v>0</v>
      </c>
      <c r="G84" s="362">
        <v>0</v>
      </c>
      <c r="H84" s="361">
        <v>7442</v>
      </c>
      <c r="I84" s="361">
        <v>10098</v>
      </c>
      <c r="J84" s="361">
        <f t="shared" si="5"/>
        <v>92</v>
      </c>
      <c r="K84" s="362">
        <v>0</v>
      </c>
      <c r="L84" s="362">
        <v>0</v>
      </c>
      <c r="M84" s="362">
        <v>92</v>
      </c>
      <c r="N84" s="361">
        <f>'[5]Проф.с иными целями Пр.118'!D84</f>
        <v>105540</v>
      </c>
      <c r="O84" s="363"/>
      <c r="P84" s="364"/>
      <c r="Q84" s="364"/>
    </row>
    <row r="85" spans="1:17" ht="24" x14ac:dyDescent="0.25">
      <c r="A85" s="359">
        <v>69</v>
      </c>
      <c r="B85" s="359" t="s">
        <v>612</v>
      </c>
      <c r="C85" s="360" t="s">
        <v>613</v>
      </c>
      <c r="D85" s="361">
        <f t="shared" si="3"/>
        <v>29476</v>
      </c>
      <c r="E85" s="361">
        <f t="shared" si="4"/>
        <v>0</v>
      </c>
      <c r="F85" s="362">
        <v>0</v>
      </c>
      <c r="G85" s="362">
        <v>0</v>
      </c>
      <c r="H85" s="362">
        <v>0</v>
      </c>
      <c r="I85" s="362">
        <v>0</v>
      </c>
      <c r="J85" s="361">
        <f t="shared" si="5"/>
        <v>0</v>
      </c>
      <c r="K85" s="362">
        <v>0</v>
      </c>
      <c r="L85" s="362">
        <v>0</v>
      </c>
      <c r="M85" s="362">
        <v>0</v>
      </c>
      <c r="N85" s="361">
        <f>'[5]Проф.с иными целями Пр.118'!D85</f>
        <v>29476</v>
      </c>
      <c r="O85" s="363"/>
      <c r="P85" s="364"/>
      <c r="Q85" s="364"/>
    </row>
    <row r="86" spans="1:17" ht="24" x14ac:dyDescent="0.25">
      <c r="A86" s="359">
        <v>70</v>
      </c>
      <c r="B86" s="359" t="s">
        <v>614</v>
      </c>
      <c r="C86" s="360" t="s">
        <v>615</v>
      </c>
      <c r="D86" s="361">
        <f t="shared" si="3"/>
        <v>31433</v>
      </c>
      <c r="E86" s="361">
        <f t="shared" si="4"/>
        <v>0</v>
      </c>
      <c r="F86" s="362">
        <v>0</v>
      </c>
      <c r="G86" s="362">
        <v>0</v>
      </c>
      <c r="H86" s="362">
        <v>0</v>
      </c>
      <c r="I86" s="362">
        <v>0</v>
      </c>
      <c r="J86" s="361">
        <f t="shared" si="5"/>
        <v>0</v>
      </c>
      <c r="K86" s="362">
        <v>0</v>
      </c>
      <c r="L86" s="362">
        <v>0</v>
      </c>
      <c r="M86" s="362">
        <v>0</v>
      </c>
      <c r="N86" s="361">
        <f>'[5]Проф.с иными целями Пр.118'!D86</f>
        <v>31433</v>
      </c>
      <c r="O86" s="363"/>
      <c r="P86" s="364"/>
      <c r="Q86" s="364"/>
    </row>
    <row r="87" spans="1:17" x14ac:dyDescent="0.25">
      <c r="A87" s="359">
        <v>71</v>
      </c>
      <c r="B87" s="359" t="s">
        <v>340</v>
      </c>
      <c r="C87" s="360" t="s">
        <v>616</v>
      </c>
      <c r="D87" s="361">
        <f t="shared" si="3"/>
        <v>99004</v>
      </c>
      <c r="E87" s="361">
        <f t="shared" si="4"/>
        <v>5584</v>
      </c>
      <c r="F87" s="362">
        <v>947</v>
      </c>
      <c r="G87" s="361">
        <v>2115</v>
      </c>
      <c r="H87" s="362">
        <v>868</v>
      </c>
      <c r="I87" s="361">
        <v>1654</v>
      </c>
      <c r="J87" s="361">
        <f t="shared" si="5"/>
        <v>13066</v>
      </c>
      <c r="K87" s="361">
        <v>4976</v>
      </c>
      <c r="L87" s="361">
        <v>8090</v>
      </c>
      <c r="M87" s="362">
        <v>0</v>
      </c>
      <c r="N87" s="361">
        <f>'[5]Проф.с иными целями Пр.118'!D87</f>
        <v>80354</v>
      </c>
      <c r="O87" s="363"/>
      <c r="P87" s="364"/>
      <c r="Q87" s="364"/>
    </row>
    <row r="88" spans="1:17" x14ac:dyDescent="0.25">
      <c r="A88" s="359">
        <v>72</v>
      </c>
      <c r="B88" s="359" t="s">
        <v>342</v>
      </c>
      <c r="C88" s="360" t="s">
        <v>617</v>
      </c>
      <c r="D88" s="361">
        <f t="shared" si="3"/>
        <v>66561</v>
      </c>
      <c r="E88" s="361">
        <f t="shared" si="4"/>
        <v>1979</v>
      </c>
      <c r="F88" s="362">
        <v>660</v>
      </c>
      <c r="G88" s="361">
        <v>1319</v>
      </c>
      <c r="H88" s="362">
        <v>0</v>
      </c>
      <c r="I88" s="362">
        <v>0</v>
      </c>
      <c r="J88" s="361">
        <f t="shared" si="5"/>
        <v>8444</v>
      </c>
      <c r="K88" s="361">
        <v>2458</v>
      </c>
      <c r="L88" s="361">
        <v>5986</v>
      </c>
      <c r="M88" s="362">
        <v>0</v>
      </c>
      <c r="N88" s="361">
        <f>'[5]Проф.с иными целями Пр.118'!D88</f>
        <v>56138</v>
      </c>
      <c r="O88" s="363"/>
      <c r="P88" s="364"/>
      <c r="Q88" s="364"/>
    </row>
    <row r="89" spans="1:17" x14ac:dyDescent="0.25">
      <c r="A89" s="359">
        <v>73</v>
      </c>
      <c r="B89" s="359" t="s">
        <v>344</v>
      </c>
      <c r="C89" s="360" t="s">
        <v>618</v>
      </c>
      <c r="D89" s="361">
        <f t="shared" si="3"/>
        <v>56276</v>
      </c>
      <c r="E89" s="361">
        <f t="shared" si="4"/>
        <v>1907</v>
      </c>
      <c r="F89" s="362">
        <v>604</v>
      </c>
      <c r="G89" s="361">
        <v>1303</v>
      </c>
      <c r="H89" s="362">
        <v>0</v>
      </c>
      <c r="I89" s="362">
        <v>0</v>
      </c>
      <c r="J89" s="361">
        <f t="shared" si="5"/>
        <v>8136</v>
      </c>
      <c r="K89" s="361">
        <v>2511</v>
      </c>
      <c r="L89" s="361">
        <v>5625</v>
      </c>
      <c r="M89" s="362">
        <v>0</v>
      </c>
      <c r="N89" s="361">
        <f>'[5]Проф.с иными целями Пр.118'!D89</f>
        <v>46233</v>
      </c>
      <c r="O89" s="363"/>
      <c r="P89" s="364"/>
      <c r="Q89" s="364"/>
    </row>
    <row r="90" spans="1:17" x14ac:dyDescent="0.25">
      <c r="A90" s="359">
        <v>74</v>
      </c>
      <c r="B90" s="359" t="s">
        <v>346</v>
      </c>
      <c r="C90" s="360" t="s">
        <v>619</v>
      </c>
      <c r="D90" s="361">
        <f t="shared" si="3"/>
        <v>55260</v>
      </c>
      <c r="E90" s="361">
        <f t="shared" si="4"/>
        <v>1440</v>
      </c>
      <c r="F90" s="362">
        <v>482</v>
      </c>
      <c r="G90" s="362">
        <v>958</v>
      </c>
      <c r="H90" s="362">
        <v>0</v>
      </c>
      <c r="I90" s="362">
        <v>0</v>
      </c>
      <c r="J90" s="361">
        <f t="shared" si="5"/>
        <v>6142</v>
      </c>
      <c r="K90" s="361">
        <v>1760</v>
      </c>
      <c r="L90" s="361">
        <v>4382</v>
      </c>
      <c r="M90" s="362">
        <v>0</v>
      </c>
      <c r="N90" s="361">
        <f>'[5]Проф.с иными целями Пр.118'!D90</f>
        <v>47678</v>
      </c>
      <c r="O90" s="363"/>
      <c r="P90" s="364"/>
      <c r="Q90" s="364"/>
    </row>
    <row r="91" spans="1:17" x14ac:dyDescent="0.25">
      <c r="A91" s="359">
        <v>75</v>
      </c>
      <c r="B91" s="359" t="s">
        <v>348</v>
      </c>
      <c r="C91" s="360" t="s">
        <v>620</v>
      </c>
      <c r="D91" s="361">
        <f t="shared" si="3"/>
        <v>135567</v>
      </c>
      <c r="E91" s="361">
        <f t="shared" si="4"/>
        <v>3753</v>
      </c>
      <c r="F91" s="361">
        <v>1126</v>
      </c>
      <c r="G91" s="361">
        <v>2627</v>
      </c>
      <c r="H91" s="362">
        <v>0</v>
      </c>
      <c r="I91" s="362">
        <v>0</v>
      </c>
      <c r="J91" s="361">
        <f t="shared" si="5"/>
        <v>15996</v>
      </c>
      <c r="K91" s="361">
        <v>4782</v>
      </c>
      <c r="L91" s="361">
        <v>11214</v>
      </c>
      <c r="M91" s="362">
        <v>0</v>
      </c>
      <c r="N91" s="361">
        <f>'[5]Проф.с иными целями Пр.118'!D91</f>
        <v>115818</v>
      </c>
      <c r="O91" s="363"/>
      <c r="P91" s="364"/>
      <c r="Q91" s="364"/>
    </row>
    <row r="92" spans="1:17" x14ac:dyDescent="0.25">
      <c r="A92" s="359">
        <v>76</v>
      </c>
      <c r="B92" s="359" t="s">
        <v>350</v>
      </c>
      <c r="C92" s="360" t="s">
        <v>621</v>
      </c>
      <c r="D92" s="361">
        <f t="shared" si="3"/>
        <v>69120</v>
      </c>
      <c r="E92" s="361">
        <f t="shared" si="4"/>
        <v>1911</v>
      </c>
      <c r="F92" s="362">
        <v>878</v>
      </c>
      <c r="G92" s="361">
        <v>1033</v>
      </c>
      <c r="H92" s="362">
        <v>0</v>
      </c>
      <c r="I92" s="362">
        <v>0</v>
      </c>
      <c r="J92" s="361">
        <f t="shared" si="5"/>
        <v>8153</v>
      </c>
      <c r="K92" s="361">
        <v>2495</v>
      </c>
      <c r="L92" s="361">
        <v>5658</v>
      </c>
      <c r="M92" s="362">
        <v>0</v>
      </c>
      <c r="N92" s="361">
        <f>'[5]Проф.с иными целями Пр.118'!D92</f>
        <v>59056</v>
      </c>
      <c r="O92" s="363"/>
      <c r="P92" s="364"/>
      <c r="Q92" s="364"/>
    </row>
    <row r="93" spans="1:17" x14ac:dyDescent="0.25">
      <c r="A93" s="359">
        <v>77</v>
      </c>
      <c r="B93" s="359" t="s">
        <v>352</v>
      </c>
      <c r="C93" s="360" t="s">
        <v>489</v>
      </c>
      <c r="D93" s="361">
        <f t="shared" si="3"/>
        <v>73117</v>
      </c>
      <c r="E93" s="361">
        <f t="shared" si="4"/>
        <v>2161</v>
      </c>
      <c r="F93" s="362">
        <v>833</v>
      </c>
      <c r="G93" s="361">
        <v>1328</v>
      </c>
      <c r="H93" s="362">
        <v>0</v>
      </c>
      <c r="I93" s="362">
        <v>0</v>
      </c>
      <c r="J93" s="361">
        <f t="shared" si="5"/>
        <v>9218</v>
      </c>
      <c r="K93" s="361">
        <v>2814</v>
      </c>
      <c r="L93" s="361">
        <v>6404</v>
      </c>
      <c r="M93" s="362">
        <v>0</v>
      </c>
      <c r="N93" s="361">
        <f>'[5]Проф.с иными целями Пр.118'!D93</f>
        <v>61738</v>
      </c>
      <c r="O93" s="363"/>
      <c r="P93" s="364"/>
      <c r="Q93" s="364"/>
    </row>
    <row r="94" spans="1:17" x14ac:dyDescent="0.25">
      <c r="A94" s="359">
        <v>78</v>
      </c>
      <c r="B94" s="359" t="s">
        <v>354</v>
      </c>
      <c r="C94" s="360" t="s">
        <v>622</v>
      </c>
      <c r="D94" s="361">
        <f t="shared" si="3"/>
        <v>36510</v>
      </c>
      <c r="E94" s="361">
        <f t="shared" si="4"/>
        <v>1286</v>
      </c>
      <c r="F94" s="362">
        <v>467</v>
      </c>
      <c r="G94" s="362">
        <v>819</v>
      </c>
      <c r="H94" s="362">
        <v>0</v>
      </c>
      <c r="I94" s="362">
        <v>0</v>
      </c>
      <c r="J94" s="361">
        <f t="shared" si="5"/>
        <v>5486</v>
      </c>
      <c r="K94" s="361">
        <v>1678</v>
      </c>
      <c r="L94" s="361">
        <v>3808</v>
      </c>
      <c r="M94" s="362">
        <v>0</v>
      </c>
      <c r="N94" s="361">
        <f>'[5]Проф.с иными целями Пр.118'!D94</f>
        <v>29738</v>
      </c>
      <c r="O94" s="363"/>
      <c r="P94" s="364"/>
      <c r="Q94" s="364"/>
    </row>
    <row r="95" spans="1:17" x14ac:dyDescent="0.25">
      <c r="A95" s="359">
        <v>79</v>
      </c>
      <c r="B95" s="359" t="s">
        <v>356</v>
      </c>
      <c r="C95" s="360" t="s">
        <v>623</v>
      </c>
      <c r="D95" s="361">
        <f t="shared" si="3"/>
        <v>137398</v>
      </c>
      <c r="E95" s="361">
        <f t="shared" si="4"/>
        <v>3660</v>
      </c>
      <c r="F95" s="361">
        <v>1289</v>
      </c>
      <c r="G95" s="361">
        <v>2371</v>
      </c>
      <c r="H95" s="362">
        <v>0</v>
      </c>
      <c r="I95" s="362">
        <v>0</v>
      </c>
      <c r="J95" s="361">
        <f t="shared" si="5"/>
        <v>15614</v>
      </c>
      <c r="K95" s="361">
        <v>5018</v>
      </c>
      <c r="L95" s="361">
        <v>10596</v>
      </c>
      <c r="M95" s="362">
        <v>0</v>
      </c>
      <c r="N95" s="361">
        <f>'[5]Проф.с иными целями Пр.118'!D95</f>
        <v>118124</v>
      </c>
      <c r="O95" s="363"/>
      <c r="P95" s="364"/>
      <c r="Q95" s="364"/>
    </row>
    <row r="96" spans="1:17" x14ac:dyDescent="0.25">
      <c r="A96" s="359">
        <v>80</v>
      </c>
      <c r="B96" s="359" t="s">
        <v>358</v>
      </c>
      <c r="C96" s="360" t="s">
        <v>624</v>
      </c>
      <c r="D96" s="361">
        <f t="shared" si="3"/>
        <v>48366</v>
      </c>
      <c r="E96" s="361">
        <f t="shared" si="4"/>
        <v>1687</v>
      </c>
      <c r="F96" s="362">
        <v>920</v>
      </c>
      <c r="G96" s="362">
        <v>767</v>
      </c>
      <c r="H96" s="362">
        <v>0</v>
      </c>
      <c r="I96" s="362">
        <v>0</v>
      </c>
      <c r="J96" s="361">
        <f t="shared" si="5"/>
        <v>7196</v>
      </c>
      <c r="K96" s="361">
        <v>2095</v>
      </c>
      <c r="L96" s="361">
        <v>5101</v>
      </c>
      <c r="M96" s="362">
        <v>0</v>
      </c>
      <c r="N96" s="361">
        <f>'[5]Проф.с иными целями Пр.118'!D96</f>
        <v>39483</v>
      </c>
      <c r="O96" s="363"/>
      <c r="P96" s="364"/>
      <c r="Q96" s="364"/>
    </row>
    <row r="97" spans="1:17" x14ac:dyDescent="0.25">
      <c r="A97" s="359">
        <v>81</v>
      </c>
      <c r="B97" s="359" t="s">
        <v>360</v>
      </c>
      <c r="C97" s="360" t="s">
        <v>625</v>
      </c>
      <c r="D97" s="361">
        <f t="shared" si="3"/>
        <v>47313</v>
      </c>
      <c r="E97" s="361">
        <f t="shared" si="4"/>
        <v>1639</v>
      </c>
      <c r="F97" s="362">
        <v>671</v>
      </c>
      <c r="G97" s="362">
        <v>968</v>
      </c>
      <c r="H97" s="362">
        <v>0</v>
      </c>
      <c r="I97" s="362">
        <v>0</v>
      </c>
      <c r="J97" s="361">
        <f t="shared" si="5"/>
        <v>6995</v>
      </c>
      <c r="K97" s="361">
        <v>2095</v>
      </c>
      <c r="L97" s="361">
        <v>4900</v>
      </c>
      <c r="M97" s="362">
        <v>0</v>
      </c>
      <c r="N97" s="361">
        <f>'[5]Проф.с иными целями Пр.118'!D97</f>
        <v>38679</v>
      </c>
      <c r="O97" s="363"/>
      <c r="P97" s="364"/>
      <c r="Q97" s="364"/>
    </row>
    <row r="98" spans="1:17" ht="24" x14ac:dyDescent="0.25">
      <c r="A98" s="359">
        <v>82</v>
      </c>
      <c r="B98" s="359" t="s">
        <v>626</v>
      </c>
      <c r="C98" s="360" t="s">
        <v>627</v>
      </c>
      <c r="D98" s="361">
        <f t="shared" si="3"/>
        <v>3111</v>
      </c>
      <c r="E98" s="361">
        <f t="shared" si="4"/>
        <v>0</v>
      </c>
      <c r="F98" s="362">
        <v>0</v>
      </c>
      <c r="G98" s="362">
        <v>0</v>
      </c>
      <c r="H98" s="362">
        <v>0</v>
      </c>
      <c r="I98" s="362">
        <v>0</v>
      </c>
      <c r="J98" s="361">
        <f t="shared" si="5"/>
        <v>0</v>
      </c>
      <c r="K98" s="362">
        <v>0</v>
      </c>
      <c r="L98" s="362">
        <v>0</v>
      </c>
      <c r="M98" s="362">
        <v>0</v>
      </c>
      <c r="N98" s="361">
        <f>'[5]Проф.с иными целями Пр.118'!D98</f>
        <v>3111</v>
      </c>
      <c r="O98" s="363"/>
      <c r="P98" s="364"/>
      <c r="Q98" s="364"/>
    </row>
    <row r="99" spans="1:17" ht="24" x14ac:dyDescent="0.25">
      <c r="A99" s="359">
        <v>83</v>
      </c>
      <c r="B99" s="359" t="s">
        <v>628</v>
      </c>
      <c r="C99" s="360" t="s">
        <v>629</v>
      </c>
      <c r="D99" s="361">
        <f t="shared" si="3"/>
        <v>3578</v>
      </c>
      <c r="E99" s="361">
        <f t="shared" si="4"/>
        <v>0</v>
      </c>
      <c r="F99" s="362">
        <v>0</v>
      </c>
      <c r="G99" s="362">
        <v>0</v>
      </c>
      <c r="H99" s="362">
        <v>0</v>
      </c>
      <c r="I99" s="362">
        <v>0</v>
      </c>
      <c r="J99" s="361">
        <f t="shared" si="5"/>
        <v>0</v>
      </c>
      <c r="K99" s="362">
        <v>0</v>
      </c>
      <c r="L99" s="362">
        <v>0</v>
      </c>
      <c r="M99" s="362">
        <v>0</v>
      </c>
      <c r="N99" s="361">
        <f>'[5]Проф.с иными целями Пр.118'!D99</f>
        <v>3578</v>
      </c>
      <c r="O99" s="363"/>
      <c r="P99" s="364"/>
      <c r="Q99" s="364"/>
    </row>
    <row r="100" spans="1:17" ht="24" x14ac:dyDescent="0.25">
      <c r="A100" s="359">
        <v>84</v>
      </c>
      <c r="B100" s="359" t="s">
        <v>630</v>
      </c>
      <c r="C100" s="360" t="s">
        <v>631</v>
      </c>
      <c r="D100" s="361">
        <f t="shared" si="3"/>
        <v>4126</v>
      </c>
      <c r="E100" s="361">
        <f t="shared" si="4"/>
        <v>0</v>
      </c>
      <c r="F100" s="362">
        <v>0</v>
      </c>
      <c r="G100" s="362">
        <v>0</v>
      </c>
      <c r="H100" s="362">
        <v>0</v>
      </c>
      <c r="I100" s="362">
        <v>0</v>
      </c>
      <c r="J100" s="361">
        <f t="shared" si="5"/>
        <v>0</v>
      </c>
      <c r="K100" s="362">
        <v>0</v>
      </c>
      <c r="L100" s="362">
        <v>0</v>
      </c>
      <c r="M100" s="362">
        <v>0</v>
      </c>
      <c r="N100" s="361">
        <f>'[5]Проф.с иными целями Пр.118'!D100</f>
        <v>4126</v>
      </c>
      <c r="O100" s="363"/>
      <c r="P100" s="364"/>
      <c r="Q100" s="364"/>
    </row>
    <row r="101" spans="1:17" ht="24" x14ac:dyDescent="0.25">
      <c r="A101" s="359">
        <v>85</v>
      </c>
      <c r="B101" s="359" t="s">
        <v>632</v>
      </c>
      <c r="C101" s="360" t="s">
        <v>633</v>
      </c>
      <c r="D101" s="361">
        <f t="shared" si="3"/>
        <v>3480</v>
      </c>
      <c r="E101" s="361">
        <f t="shared" si="4"/>
        <v>0</v>
      </c>
      <c r="F101" s="362">
        <v>0</v>
      </c>
      <c r="G101" s="362">
        <v>0</v>
      </c>
      <c r="H101" s="362">
        <v>0</v>
      </c>
      <c r="I101" s="362">
        <v>0</v>
      </c>
      <c r="J101" s="361">
        <f t="shared" si="5"/>
        <v>0</v>
      </c>
      <c r="K101" s="362">
        <v>0</v>
      </c>
      <c r="L101" s="362">
        <v>0</v>
      </c>
      <c r="M101" s="362">
        <v>0</v>
      </c>
      <c r="N101" s="361">
        <f>'[5]Проф.с иными целями Пр.118'!D101</f>
        <v>3480</v>
      </c>
      <c r="O101" s="363"/>
      <c r="P101" s="364"/>
      <c r="Q101" s="364"/>
    </row>
    <row r="102" spans="1:17" ht="24" x14ac:dyDescent="0.25">
      <c r="A102" s="359">
        <v>86</v>
      </c>
      <c r="B102" s="359" t="s">
        <v>634</v>
      </c>
      <c r="C102" s="360" t="s">
        <v>635</v>
      </c>
      <c r="D102" s="361">
        <f t="shared" ref="D102:D165" si="6">E102+J102+N102</f>
        <v>13472</v>
      </c>
      <c r="E102" s="361">
        <f t="shared" si="4"/>
        <v>0</v>
      </c>
      <c r="F102" s="362">
        <v>0</v>
      </c>
      <c r="G102" s="362">
        <v>0</v>
      </c>
      <c r="H102" s="362">
        <v>0</v>
      </c>
      <c r="I102" s="362">
        <v>0</v>
      </c>
      <c r="J102" s="361">
        <f t="shared" si="5"/>
        <v>0</v>
      </c>
      <c r="K102" s="362">
        <v>0</v>
      </c>
      <c r="L102" s="362">
        <v>0</v>
      </c>
      <c r="M102" s="362">
        <v>0</v>
      </c>
      <c r="N102" s="361">
        <f>'[5]Проф.с иными целями Пр.118'!D102</f>
        <v>13472</v>
      </c>
      <c r="O102" s="363"/>
      <c r="P102" s="364"/>
      <c r="Q102" s="364"/>
    </row>
    <row r="103" spans="1:17" ht="24" x14ac:dyDescent="0.25">
      <c r="A103" s="359">
        <v>87</v>
      </c>
      <c r="B103" s="359" t="s">
        <v>636</v>
      </c>
      <c r="C103" s="360" t="s">
        <v>855</v>
      </c>
      <c r="D103" s="361">
        <f t="shared" si="6"/>
        <v>3172</v>
      </c>
      <c r="E103" s="361">
        <f t="shared" si="4"/>
        <v>0</v>
      </c>
      <c r="F103" s="362">
        <v>0</v>
      </c>
      <c r="G103" s="362">
        <v>0</v>
      </c>
      <c r="H103" s="362">
        <v>0</v>
      </c>
      <c r="I103" s="362">
        <v>0</v>
      </c>
      <c r="J103" s="361">
        <f t="shared" si="5"/>
        <v>0</v>
      </c>
      <c r="K103" s="362">
        <v>0</v>
      </c>
      <c r="L103" s="362">
        <v>0</v>
      </c>
      <c r="M103" s="362">
        <v>0</v>
      </c>
      <c r="N103" s="361">
        <f>'[5]Проф.с иными целями Пр.118'!D103</f>
        <v>3172</v>
      </c>
      <c r="O103" s="363"/>
      <c r="P103" s="364"/>
      <c r="Q103" s="364"/>
    </row>
    <row r="104" spans="1:17" ht="24" x14ac:dyDescent="0.25">
      <c r="A104" s="359">
        <v>88</v>
      </c>
      <c r="B104" s="359" t="s">
        <v>638</v>
      </c>
      <c r="C104" s="360" t="s">
        <v>856</v>
      </c>
      <c r="D104" s="361">
        <f t="shared" si="6"/>
        <v>2676</v>
      </c>
      <c r="E104" s="361">
        <f t="shared" si="4"/>
        <v>0</v>
      </c>
      <c r="F104" s="362">
        <v>0</v>
      </c>
      <c r="G104" s="362">
        <v>0</v>
      </c>
      <c r="H104" s="362">
        <v>0</v>
      </c>
      <c r="I104" s="362">
        <v>0</v>
      </c>
      <c r="J104" s="361">
        <f t="shared" si="5"/>
        <v>0</v>
      </c>
      <c r="K104" s="362">
        <v>0</v>
      </c>
      <c r="L104" s="362">
        <v>0</v>
      </c>
      <c r="M104" s="362">
        <v>0</v>
      </c>
      <c r="N104" s="361">
        <f>'[5]Проф.с иными целями Пр.118'!D104</f>
        <v>2676</v>
      </c>
      <c r="O104" s="363"/>
      <c r="P104" s="364"/>
      <c r="Q104" s="364"/>
    </row>
    <row r="105" spans="1:17" x14ac:dyDescent="0.25">
      <c r="A105" s="359">
        <v>89</v>
      </c>
      <c r="B105" s="359" t="s">
        <v>362</v>
      </c>
      <c r="C105" s="360" t="s">
        <v>640</v>
      </c>
      <c r="D105" s="361">
        <f t="shared" si="6"/>
        <v>209171</v>
      </c>
      <c r="E105" s="361">
        <f t="shared" si="4"/>
        <v>18106</v>
      </c>
      <c r="F105" s="362">
        <v>759</v>
      </c>
      <c r="G105" s="361">
        <v>1439</v>
      </c>
      <c r="H105" s="361">
        <v>5178</v>
      </c>
      <c r="I105" s="361">
        <v>10730</v>
      </c>
      <c r="J105" s="361">
        <f t="shared" si="5"/>
        <v>9556</v>
      </c>
      <c r="K105" s="361">
        <v>2676</v>
      </c>
      <c r="L105" s="361">
        <v>6702</v>
      </c>
      <c r="M105" s="362">
        <v>178</v>
      </c>
      <c r="N105" s="361">
        <f>'[5]Проф.с иными целями Пр.118'!D105</f>
        <v>181509</v>
      </c>
      <c r="O105" s="363"/>
      <c r="P105" s="364"/>
      <c r="Q105" s="364"/>
    </row>
    <row r="106" spans="1:17" x14ac:dyDescent="0.25">
      <c r="A106" s="359">
        <v>90</v>
      </c>
      <c r="B106" s="359" t="s">
        <v>364</v>
      </c>
      <c r="C106" s="360" t="s">
        <v>130</v>
      </c>
      <c r="D106" s="361">
        <f t="shared" si="6"/>
        <v>88348</v>
      </c>
      <c r="E106" s="361">
        <f t="shared" si="4"/>
        <v>2115</v>
      </c>
      <c r="F106" s="362">
        <v>823</v>
      </c>
      <c r="G106" s="361">
        <v>1292</v>
      </c>
      <c r="H106" s="362">
        <v>0</v>
      </c>
      <c r="I106" s="362">
        <v>0</v>
      </c>
      <c r="J106" s="361">
        <f t="shared" si="5"/>
        <v>9022</v>
      </c>
      <c r="K106" s="361">
        <v>2796</v>
      </c>
      <c r="L106" s="361">
        <v>6226</v>
      </c>
      <c r="M106" s="362">
        <v>0</v>
      </c>
      <c r="N106" s="361">
        <f>'[5]Проф.с иными целями Пр.118'!D106</f>
        <v>77211</v>
      </c>
      <c r="O106" s="363"/>
      <c r="P106" s="364"/>
      <c r="Q106" s="364"/>
    </row>
    <row r="107" spans="1:17" x14ac:dyDescent="0.25">
      <c r="A107" s="359">
        <v>91</v>
      </c>
      <c r="B107" s="359" t="s">
        <v>366</v>
      </c>
      <c r="C107" s="360" t="s">
        <v>112</v>
      </c>
      <c r="D107" s="361">
        <f t="shared" si="6"/>
        <v>69585</v>
      </c>
      <c r="E107" s="361">
        <f t="shared" si="4"/>
        <v>1837</v>
      </c>
      <c r="F107" s="362">
        <v>612</v>
      </c>
      <c r="G107" s="361">
        <v>1225</v>
      </c>
      <c r="H107" s="362">
        <v>0</v>
      </c>
      <c r="I107" s="362">
        <v>0</v>
      </c>
      <c r="J107" s="361">
        <f t="shared" si="5"/>
        <v>7837</v>
      </c>
      <c r="K107" s="361">
        <v>2296</v>
      </c>
      <c r="L107" s="361">
        <v>5541</v>
      </c>
      <c r="M107" s="362">
        <v>0</v>
      </c>
      <c r="N107" s="361">
        <f>'[5]Проф.с иными целями Пр.118'!D107</f>
        <v>59911</v>
      </c>
      <c r="O107" s="363"/>
      <c r="P107" s="364"/>
      <c r="Q107" s="364"/>
    </row>
    <row r="108" spans="1:17" x14ac:dyDescent="0.25">
      <c r="A108" s="359">
        <v>92</v>
      </c>
      <c r="B108" s="359" t="s">
        <v>368</v>
      </c>
      <c r="C108" s="360" t="s">
        <v>142</v>
      </c>
      <c r="D108" s="361">
        <f t="shared" si="6"/>
        <v>38344</v>
      </c>
      <c r="E108" s="361">
        <f t="shared" si="4"/>
        <v>1052</v>
      </c>
      <c r="F108" s="362">
        <v>376</v>
      </c>
      <c r="G108" s="362">
        <v>676</v>
      </c>
      <c r="H108" s="362">
        <v>0</v>
      </c>
      <c r="I108" s="362">
        <v>0</v>
      </c>
      <c r="J108" s="361">
        <f t="shared" si="5"/>
        <v>4490</v>
      </c>
      <c r="K108" s="361">
        <v>1296</v>
      </c>
      <c r="L108" s="361">
        <v>3194</v>
      </c>
      <c r="M108" s="362">
        <v>0</v>
      </c>
      <c r="N108" s="361">
        <f>'[5]Проф.с иными целями Пр.118'!D108</f>
        <v>32802</v>
      </c>
      <c r="O108" s="363"/>
      <c r="P108" s="364"/>
      <c r="Q108" s="364"/>
    </row>
    <row r="109" spans="1:17" x14ac:dyDescent="0.25">
      <c r="A109" s="359">
        <v>93</v>
      </c>
      <c r="B109" s="359" t="s">
        <v>370</v>
      </c>
      <c r="C109" s="360" t="s">
        <v>93</v>
      </c>
      <c r="D109" s="361">
        <f t="shared" si="6"/>
        <v>24000</v>
      </c>
      <c r="E109" s="361">
        <f t="shared" si="4"/>
        <v>487</v>
      </c>
      <c r="F109" s="362">
        <v>146</v>
      </c>
      <c r="G109" s="362">
        <v>341</v>
      </c>
      <c r="H109" s="362">
        <v>0</v>
      </c>
      <c r="I109" s="362">
        <v>0</v>
      </c>
      <c r="J109" s="361">
        <f t="shared" si="5"/>
        <v>2081</v>
      </c>
      <c r="K109" s="362">
        <v>613</v>
      </c>
      <c r="L109" s="361">
        <v>1468</v>
      </c>
      <c r="M109" s="362">
        <v>0</v>
      </c>
      <c r="N109" s="361">
        <f>'[5]Проф.с иными целями Пр.118'!D109</f>
        <v>21432</v>
      </c>
      <c r="O109" s="363"/>
      <c r="P109" s="364"/>
      <c r="Q109" s="364"/>
    </row>
    <row r="110" spans="1:17" x14ac:dyDescent="0.25">
      <c r="A110" s="359">
        <v>94</v>
      </c>
      <c r="B110" s="359" t="s">
        <v>372</v>
      </c>
      <c r="C110" s="360" t="s">
        <v>141</v>
      </c>
      <c r="D110" s="361">
        <f t="shared" si="6"/>
        <v>3259</v>
      </c>
      <c r="E110" s="361">
        <f t="shared" si="4"/>
        <v>74</v>
      </c>
      <c r="F110" s="362">
        <v>74</v>
      </c>
      <c r="G110" s="362">
        <v>0</v>
      </c>
      <c r="H110" s="362">
        <v>0</v>
      </c>
      <c r="I110" s="362">
        <v>0</v>
      </c>
      <c r="J110" s="361">
        <f t="shared" si="5"/>
        <v>192</v>
      </c>
      <c r="K110" s="362">
        <v>192</v>
      </c>
      <c r="L110" s="362">
        <v>0</v>
      </c>
      <c r="M110" s="362">
        <v>0</v>
      </c>
      <c r="N110" s="361">
        <f>'[5]Проф.с иными целями Пр.118'!D110</f>
        <v>2993</v>
      </c>
      <c r="O110" s="363"/>
      <c r="P110" s="364"/>
      <c r="Q110" s="364"/>
    </row>
    <row r="111" spans="1:17" ht="36" x14ac:dyDescent="0.25">
      <c r="A111" s="590">
        <v>95</v>
      </c>
      <c r="B111" s="359" t="s">
        <v>374</v>
      </c>
      <c r="C111" s="360" t="s">
        <v>375</v>
      </c>
      <c r="D111" s="361">
        <f t="shared" si="6"/>
        <v>28411</v>
      </c>
      <c r="E111" s="361">
        <f t="shared" si="4"/>
        <v>806</v>
      </c>
      <c r="F111" s="362">
        <v>81</v>
      </c>
      <c r="G111" s="362">
        <v>725</v>
      </c>
      <c r="H111" s="362">
        <v>0</v>
      </c>
      <c r="I111" s="362">
        <v>0</v>
      </c>
      <c r="J111" s="361">
        <f t="shared" si="5"/>
        <v>3560</v>
      </c>
      <c r="K111" s="362">
        <v>360</v>
      </c>
      <c r="L111" s="361">
        <v>3200</v>
      </c>
      <c r="M111" s="362">
        <v>0</v>
      </c>
      <c r="N111" s="361">
        <f>'[5]Проф.с иными целями Пр.118'!D111</f>
        <v>24045</v>
      </c>
      <c r="O111" s="363"/>
      <c r="P111" s="364"/>
      <c r="Q111" s="364"/>
    </row>
    <row r="112" spans="1:17" x14ac:dyDescent="0.25">
      <c r="A112" s="590"/>
      <c r="B112" s="359" t="s">
        <v>376</v>
      </c>
      <c r="C112" s="360" t="s">
        <v>92</v>
      </c>
      <c r="D112" s="361">
        <f t="shared" si="6"/>
        <v>219247</v>
      </c>
      <c r="E112" s="361">
        <f t="shared" si="4"/>
        <v>5565</v>
      </c>
      <c r="F112" s="361">
        <v>1385</v>
      </c>
      <c r="G112" s="361">
        <v>4180</v>
      </c>
      <c r="H112" s="362">
        <v>0</v>
      </c>
      <c r="I112" s="362">
        <v>0</v>
      </c>
      <c r="J112" s="361">
        <f t="shared" si="5"/>
        <v>23741</v>
      </c>
      <c r="K112" s="361">
        <v>6256</v>
      </c>
      <c r="L112" s="361">
        <v>17485</v>
      </c>
      <c r="M112" s="362">
        <v>0</v>
      </c>
      <c r="N112" s="361">
        <f>'[5]Проф.с иными целями Пр.118'!D112</f>
        <v>189941</v>
      </c>
      <c r="O112" s="363"/>
      <c r="P112" s="364"/>
      <c r="Q112" s="364"/>
    </row>
    <row r="113" spans="1:17" x14ac:dyDescent="0.25">
      <c r="A113" s="359">
        <v>96</v>
      </c>
      <c r="B113" s="359" t="s">
        <v>378</v>
      </c>
      <c r="C113" s="360" t="s">
        <v>86</v>
      </c>
      <c r="D113" s="361">
        <f t="shared" si="6"/>
        <v>200810</v>
      </c>
      <c r="E113" s="361">
        <f t="shared" si="4"/>
        <v>26100</v>
      </c>
      <c r="F113" s="362">
        <v>0</v>
      </c>
      <c r="G113" s="362">
        <v>0</v>
      </c>
      <c r="H113" s="361">
        <v>11155</v>
      </c>
      <c r="I113" s="361">
        <v>14945</v>
      </c>
      <c r="J113" s="361">
        <f t="shared" si="5"/>
        <v>501</v>
      </c>
      <c r="K113" s="362">
        <v>0</v>
      </c>
      <c r="L113" s="362">
        <v>0</v>
      </c>
      <c r="M113" s="362">
        <v>501</v>
      </c>
      <c r="N113" s="361">
        <f>'[5]Проф.с иными целями Пр.118'!D113</f>
        <v>174209</v>
      </c>
      <c r="O113" s="363"/>
      <c r="P113" s="364"/>
      <c r="Q113" s="364"/>
    </row>
    <row r="114" spans="1:17" x14ac:dyDescent="0.25">
      <c r="A114" s="359">
        <v>97</v>
      </c>
      <c r="B114" s="359" t="s">
        <v>380</v>
      </c>
      <c r="C114" s="360" t="s">
        <v>85</v>
      </c>
      <c r="D114" s="361">
        <f t="shared" si="6"/>
        <v>86096</v>
      </c>
      <c r="E114" s="361">
        <f t="shared" si="4"/>
        <v>2082</v>
      </c>
      <c r="F114" s="362">
        <v>822</v>
      </c>
      <c r="G114" s="361">
        <v>1260</v>
      </c>
      <c r="H114" s="362">
        <v>0</v>
      </c>
      <c r="I114" s="362">
        <v>0</v>
      </c>
      <c r="J114" s="361">
        <f t="shared" si="5"/>
        <v>8885</v>
      </c>
      <c r="K114" s="361">
        <v>2680</v>
      </c>
      <c r="L114" s="361">
        <v>6205</v>
      </c>
      <c r="M114" s="362">
        <v>0</v>
      </c>
      <c r="N114" s="361">
        <f>'[5]Проф.с иными целями Пр.118'!D114</f>
        <v>75129</v>
      </c>
      <c r="O114" s="363"/>
      <c r="P114" s="364"/>
      <c r="Q114" s="364"/>
    </row>
    <row r="115" spans="1:17" x14ac:dyDescent="0.25">
      <c r="A115" s="359">
        <v>98</v>
      </c>
      <c r="B115" s="359" t="s">
        <v>382</v>
      </c>
      <c r="C115" s="360" t="s">
        <v>91</v>
      </c>
      <c r="D115" s="361">
        <f t="shared" si="6"/>
        <v>45026</v>
      </c>
      <c r="E115" s="361">
        <f t="shared" si="4"/>
        <v>0</v>
      </c>
      <c r="F115" s="362">
        <v>0</v>
      </c>
      <c r="G115" s="362">
        <v>0</v>
      </c>
      <c r="H115" s="362">
        <v>0</v>
      </c>
      <c r="I115" s="362">
        <v>0</v>
      </c>
      <c r="J115" s="361">
        <f t="shared" si="5"/>
        <v>0</v>
      </c>
      <c r="K115" s="362">
        <v>0</v>
      </c>
      <c r="L115" s="362">
        <v>0</v>
      </c>
      <c r="M115" s="362">
        <v>0</v>
      </c>
      <c r="N115" s="361">
        <f>'[5]Проф.с иными целями Пр.118'!D115</f>
        <v>45026</v>
      </c>
      <c r="O115" s="363"/>
      <c r="P115" s="364"/>
      <c r="Q115" s="364"/>
    </row>
    <row r="116" spans="1:17" x14ac:dyDescent="0.25">
      <c r="A116" s="590">
        <v>99</v>
      </c>
      <c r="B116" s="359" t="s">
        <v>384</v>
      </c>
      <c r="C116" s="360" t="s">
        <v>79</v>
      </c>
      <c r="D116" s="361">
        <f t="shared" si="6"/>
        <v>27099</v>
      </c>
      <c r="E116" s="361">
        <f t="shared" si="4"/>
        <v>335</v>
      </c>
      <c r="F116" s="362">
        <v>128</v>
      </c>
      <c r="G116" s="362">
        <v>207</v>
      </c>
      <c r="H116" s="362">
        <v>0</v>
      </c>
      <c r="I116" s="362">
        <v>0</v>
      </c>
      <c r="J116" s="361">
        <f t="shared" si="5"/>
        <v>1430</v>
      </c>
      <c r="K116" s="362">
        <v>740</v>
      </c>
      <c r="L116" s="362">
        <v>690</v>
      </c>
      <c r="M116" s="362">
        <v>0</v>
      </c>
      <c r="N116" s="361">
        <f>'[5]Проф.с иными целями Пр.118'!D116</f>
        <v>25334</v>
      </c>
      <c r="O116" s="363"/>
      <c r="P116" s="364"/>
      <c r="Q116" s="364"/>
    </row>
    <row r="117" spans="1:17" ht="24" x14ac:dyDescent="0.25">
      <c r="A117" s="590"/>
      <c r="B117" s="359" t="s">
        <v>641</v>
      </c>
      <c r="C117" s="360" t="s">
        <v>642</v>
      </c>
      <c r="D117" s="361">
        <f t="shared" si="6"/>
        <v>3600</v>
      </c>
      <c r="E117" s="361">
        <f t="shared" si="4"/>
        <v>0</v>
      </c>
      <c r="F117" s="362">
        <v>0</v>
      </c>
      <c r="G117" s="362">
        <v>0</v>
      </c>
      <c r="H117" s="362">
        <v>0</v>
      </c>
      <c r="I117" s="362">
        <v>0</v>
      </c>
      <c r="J117" s="361">
        <f t="shared" si="5"/>
        <v>0</v>
      </c>
      <c r="K117" s="362">
        <v>0</v>
      </c>
      <c r="L117" s="362">
        <v>0</v>
      </c>
      <c r="M117" s="362">
        <v>0</v>
      </c>
      <c r="N117" s="361">
        <f>'[5]Проф.с иными целями Пр.118'!D117</f>
        <v>3600</v>
      </c>
      <c r="O117" s="363"/>
      <c r="P117" s="364"/>
      <c r="Q117" s="364"/>
    </row>
    <row r="118" spans="1:17" ht="24" x14ac:dyDescent="0.25">
      <c r="A118" s="359">
        <v>100</v>
      </c>
      <c r="B118" s="359" t="s">
        <v>437</v>
      </c>
      <c r="C118" s="360" t="s">
        <v>134</v>
      </c>
      <c r="D118" s="361">
        <f t="shared" si="6"/>
        <v>8400</v>
      </c>
      <c r="E118" s="361">
        <f t="shared" si="4"/>
        <v>0</v>
      </c>
      <c r="F118" s="362">
        <v>0</v>
      </c>
      <c r="G118" s="362">
        <v>0</v>
      </c>
      <c r="H118" s="362">
        <v>0</v>
      </c>
      <c r="I118" s="362">
        <v>0</v>
      </c>
      <c r="J118" s="361">
        <f t="shared" si="5"/>
        <v>0</v>
      </c>
      <c r="K118" s="362">
        <v>0</v>
      </c>
      <c r="L118" s="362">
        <v>0</v>
      </c>
      <c r="M118" s="362">
        <v>0</v>
      </c>
      <c r="N118" s="361">
        <f>'[5]Проф.с иными целями Пр.118'!D118</f>
        <v>8400</v>
      </c>
      <c r="O118" s="363"/>
      <c r="P118" s="364"/>
      <c r="Q118" s="364"/>
    </row>
    <row r="119" spans="1:17" x14ac:dyDescent="0.25">
      <c r="A119" s="359">
        <v>101</v>
      </c>
      <c r="B119" s="359" t="s">
        <v>323</v>
      </c>
      <c r="C119" s="360" t="s">
        <v>643</v>
      </c>
      <c r="D119" s="361">
        <f t="shared" si="6"/>
        <v>8188</v>
      </c>
      <c r="E119" s="361">
        <f t="shared" si="4"/>
        <v>293</v>
      </c>
      <c r="F119" s="362">
        <v>123</v>
      </c>
      <c r="G119" s="362">
        <v>170</v>
      </c>
      <c r="H119" s="362">
        <v>0</v>
      </c>
      <c r="I119" s="362">
        <v>0</v>
      </c>
      <c r="J119" s="361">
        <f t="shared" si="5"/>
        <v>1251</v>
      </c>
      <c r="K119" s="362">
        <v>511</v>
      </c>
      <c r="L119" s="362">
        <v>740</v>
      </c>
      <c r="M119" s="362">
        <v>0</v>
      </c>
      <c r="N119" s="361">
        <f>'[5]Проф.с иными целями Пр.118'!D119</f>
        <v>6644</v>
      </c>
      <c r="O119" s="363"/>
      <c r="P119" s="364"/>
      <c r="Q119" s="364"/>
    </row>
    <row r="120" spans="1:17" x14ac:dyDescent="0.25">
      <c r="A120" s="359">
        <v>102</v>
      </c>
      <c r="B120" s="359" t="s">
        <v>216</v>
      </c>
      <c r="C120" s="360" t="s">
        <v>183</v>
      </c>
      <c r="D120" s="361">
        <f t="shared" si="6"/>
        <v>44247</v>
      </c>
      <c r="E120" s="361">
        <f t="shared" si="4"/>
        <v>3938</v>
      </c>
      <c r="F120" s="362">
        <v>197</v>
      </c>
      <c r="G120" s="362">
        <v>394</v>
      </c>
      <c r="H120" s="361">
        <v>1107</v>
      </c>
      <c r="I120" s="361">
        <v>2240</v>
      </c>
      <c r="J120" s="361">
        <f t="shared" si="5"/>
        <v>2632</v>
      </c>
      <c r="K120" s="362">
        <v>779</v>
      </c>
      <c r="L120" s="361">
        <v>1742</v>
      </c>
      <c r="M120" s="362">
        <v>111</v>
      </c>
      <c r="N120" s="361">
        <f>'[5]Проф.с иными целями Пр.118'!D120</f>
        <v>37677</v>
      </c>
      <c r="O120" s="363"/>
      <c r="P120" s="364"/>
      <c r="Q120" s="364"/>
    </row>
    <row r="121" spans="1:17" x14ac:dyDescent="0.25">
      <c r="A121" s="359">
        <v>103</v>
      </c>
      <c r="B121" s="359" t="s">
        <v>223</v>
      </c>
      <c r="C121" s="360" t="s">
        <v>177</v>
      </c>
      <c r="D121" s="361">
        <f t="shared" si="6"/>
        <v>45954</v>
      </c>
      <c r="E121" s="361">
        <f t="shared" si="4"/>
        <v>4398</v>
      </c>
      <c r="F121" s="362">
        <v>251</v>
      </c>
      <c r="G121" s="362">
        <v>351</v>
      </c>
      <c r="H121" s="362">
        <v>947</v>
      </c>
      <c r="I121" s="361">
        <v>2849</v>
      </c>
      <c r="J121" s="361">
        <f t="shared" si="5"/>
        <v>2585</v>
      </c>
      <c r="K121" s="362">
        <v>809</v>
      </c>
      <c r="L121" s="361">
        <v>1760</v>
      </c>
      <c r="M121" s="362">
        <v>16</v>
      </c>
      <c r="N121" s="361">
        <f>'[5]Проф.с иными целями Пр.118'!D121</f>
        <v>38971</v>
      </c>
      <c r="O121" s="363"/>
      <c r="P121" s="364"/>
      <c r="Q121" s="364"/>
    </row>
    <row r="122" spans="1:17" x14ac:dyDescent="0.25">
      <c r="A122" s="359">
        <v>104</v>
      </c>
      <c r="B122" s="359" t="s">
        <v>226</v>
      </c>
      <c r="C122" s="360" t="s">
        <v>175</v>
      </c>
      <c r="D122" s="361">
        <f t="shared" si="6"/>
        <v>123452</v>
      </c>
      <c r="E122" s="361">
        <f t="shared" si="4"/>
        <v>11431</v>
      </c>
      <c r="F122" s="362">
        <v>28</v>
      </c>
      <c r="G122" s="361">
        <v>1565</v>
      </c>
      <c r="H122" s="361">
        <v>2925</v>
      </c>
      <c r="I122" s="361">
        <v>6913</v>
      </c>
      <c r="J122" s="361">
        <f t="shared" si="5"/>
        <v>6976</v>
      </c>
      <c r="K122" s="361">
        <v>1659</v>
      </c>
      <c r="L122" s="361">
        <v>5137</v>
      </c>
      <c r="M122" s="362">
        <v>180</v>
      </c>
      <c r="N122" s="361">
        <f>'[5]Проф.с иными целями Пр.118'!D122</f>
        <v>105045</v>
      </c>
      <c r="O122" s="363"/>
      <c r="P122" s="364"/>
      <c r="Q122" s="364"/>
    </row>
    <row r="123" spans="1:17" x14ac:dyDescent="0.25">
      <c r="A123" s="359">
        <v>105</v>
      </c>
      <c r="B123" s="359" t="s">
        <v>227</v>
      </c>
      <c r="C123" s="360" t="s">
        <v>174</v>
      </c>
      <c r="D123" s="361">
        <f t="shared" si="6"/>
        <v>55575</v>
      </c>
      <c r="E123" s="361">
        <f t="shared" si="4"/>
        <v>5009</v>
      </c>
      <c r="F123" s="362">
        <v>259</v>
      </c>
      <c r="G123" s="362">
        <v>477</v>
      </c>
      <c r="H123" s="361">
        <v>1691</v>
      </c>
      <c r="I123" s="361">
        <v>2582</v>
      </c>
      <c r="J123" s="361">
        <f t="shared" si="5"/>
        <v>3191</v>
      </c>
      <c r="K123" s="362">
        <v>932</v>
      </c>
      <c r="L123" s="361">
        <v>2207</v>
      </c>
      <c r="M123" s="362">
        <v>52</v>
      </c>
      <c r="N123" s="361">
        <f>'[5]Проф.с иными целями Пр.118'!D123</f>
        <v>47375</v>
      </c>
      <c r="O123" s="363"/>
      <c r="P123" s="364"/>
      <c r="Q123" s="364"/>
    </row>
    <row r="124" spans="1:17" x14ac:dyDescent="0.25">
      <c r="A124" s="359">
        <v>106</v>
      </c>
      <c r="B124" s="359" t="s">
        <v>228</v>
      </c>
      <c r="C124" s="360" t="s">
        <v>173</v>
      </c>
      <c r="D124" s="361">
        <f t="shared" si="6"/>
        <v>69034</v>
      </c>
      <c r="E124" s="361">
        <f t="shared" si="4"/>
        <v>5220</v>
      </c>
      <c r="F124" s="362">
        <v>426</v>
      </c>
      <c r="G124" s="362">
        <v>522</v>
      </c>
      <c r="H124" s="361">
        <v>1968</v>
      </c>
      <c r="I124" s="361">
        <v>2304</v>
      </c>
      <c r="J124" s="361">
        <f t="shared" si="5"/>
        <v>4116</v>
      </c>
      <c r="K124" s="361">
        <v>1522</v>
      </c>
      <c r="L124" s="361">
        <v>2525</v>
      </c>
      <c r="M124" s="362">
        <v>69</v>
      </c>
      <c r="N124" s="361">
        <f>'[5]Проф.с иными целями Пр.118'!D124</f>
        <v>59698</v>
      </c>
      <c r="O124" s="363"/>
      <c r="P124" s="364"/>
      <c r="Q124" s="364"/>
    </row>
    <row r="125" spans="1:17" ht="24" x14ac:dyDescent="0.25">
      <c r="A125" s="359">
        <v>107</v>
      </c>
      <c r="B125" s="359"/>
      <c r="C125" s="360" t="s">
        <v>645</v>
      </c>
      <c r="D125" s="361">
        <f t="shared" si="6"/>
        <v>28</v>
      </c>
      <c r="E125" s="361">
        <f t="shared" si="4"/>
        <v>0</v>
      </c>
      <c r="F125" s="362">
        <v>0</v>
      </c>
      <c r="G125" s="362">
        <v>0</v>
      </c>
      <c r="H125" s="362">
        <v>0</v>
      </c>
      <c r="I125" s="362">
        <v>0</v>
      </c>
      <c r="J125" s="361">
        <f t="shared" si="5"/>
        <v>0</v>
      </c>
      <c r="K125" s="362">
        <v>0</v>
      </c>
      <c r="L125" s="362">
        <v>0</v>
      </c>
      <c r="M125" s="362">
        <v>0</v>
      </c>
      <c r="N125" s="361">
        <f>'[5]Проф.с иными целями Пр.118'!D125</f>
        <v>28</v>
      </c>
      <c r="O125" s="363"/>
      <c r="P125" s="364"/>
      <c r="Q125" s="364"/>
    </row>
    <row r="126" spans="1:17" x14ac:dyDescent="0.25">
      <c r="A126" s="359">
        <v>108</v>
      </c>
      <c r="B126" s="359" t="s">
        <v>254</v>
      </c>
      <c r="C126" s="360" t="s">
        <v>165</v>
      </c>
      <c r="D126" s="361">
        <f t="shared" si="6"/>
        <v>132139</v>
      </c>
      <c r="E126" s="361">
        <f t="shared" si="4"/>
        <v>13087</v>
      </c>
      <c r="F126" s="362">
        <v>496</v>
      </c>
      <c r="G126" s="361">
        <v>1181</v>
      </c>
      <c r="H126" s="361">
        <v>4219</v>
      </c>
      <c r="I126" s="361">
        <v>7191</v>
      </c>
      <c r="J126" s="361">
        <f t="shared" si="5"/>
        <v>7407</v>
      </c>
      <c r="K126" s="361">
        <v>2431</v>
      </c>
      <c r="L126" s="361">
        <v>4721</v>
      </c>
      <c r="M126" s="362">
        <v>255</v>
      </c>
      <c r="N126" s="361">
        <f>'[5]Проф.с иными целями Пр.118'!D126</f>
        <v>111645</v>
      </c>
      <c r="O126" s="363"/>
      <c r="P126" s="364"/>
      <c r="Q126" s="364"/>
    </row>
    <row r="127" spans="1:17" x14ac:dyDescent="0.25">
      <c r="A127" s="359">
        <v>109</v>
      </c>
      <c r="B127" s="359" t="s">
        <v>259</v>
      </c>
      <c r="C127" s="360" t="s">
        <v>161</v>
      </c>
      <c r="D127" s="361">
        <f t="shared" si="6"/>
        <v>118565</v>
      </c>
      <c r="E127" s="361">
        <f t="shared" si="4"/>
        <v>10218</v>
      </c>
      <c r="F127" s="362">
        <v>653</v>
      </c>
      <c r="G127" s="362">
        <v>885</v>
      </c>
      <c r="H127" s="361">
        <v>4114</v>
      </c>
      <c r="I127" s="361">
        <v>4566</v>
      </c>
      <c r="J127" s="361">
        <f t="shared" si="5"/>
        <v>6681</v>
      </c>
      <c r="K127" s="361">
        <v>1924</v>
      </c>
      <c r="L127" s="361">
        <v>4637</v>
      </c>
      <c r="M127" s="362">
        <v>120</v>
      </c>
      <c r="N127" s="361">
        <f>'[5]Проф.с иными целями Пр.118'!D127</f>
        <v>101666</v>
      </c>
      <c r="O127" s="363"/>
      <c r="P127" s="364"/>
      <c r="Q127" s="364"/>
    </row>
    <row r="128" spans="1:17" x14ac:dyDescent="0.25">
      <c r="A128" s="359">
        <v>110</v>
      </c>
      <c r="B128" s="359" t="s">
        <v>260</v>
      </c>
      <c r="C128" s="360" t="s">
        <v>160</v>
      </c>
      <c r="D128" s="361">
        <f t="shared" si="6"/>
        <v>41383</v>
      </c>
      <c r="E128" s="361">
        <f t="shared" si="4"/>
        <v>3860</v>
      </c>
      <c r="F128" s="362">
        <v>312</v>
      </c>
      <c r="G128" s="362">
        <v>234</v>
      </c>
      <c r="H128" s="361">
        <v>1015</v>
      </c>
      <c r="I128" s="361">
        <v>2299</v>
      </c>
      <c r="J128" s="361">
        <f t="shared" si="5"/>
        <v>2374</v>
      </c>
      <c r="K128" s="361">
        <v>1002</v>
      </c>
      <c r="L128" s="361">
        <v>1327</v>
      </c>
      <c r="M128" s="362">
        <v>45</v>
      </c>
      <c r="N128" s="361">
        <f>'[5]Проф.с иными целями Пр.118'!D128</f>
        <v>35149</v>
      </c>
      <c r="O128" s="363"/>
      <c r="P128" s="364"/>
      <c r="Q128" s="364"/>
    </row>
    <row r="129" spans="1:17" x14ac:dyDescent="0.25">
      <c r="A129" s="359">
        <v>111</v>
      </c>
      <c r="B129" s="359" t="s">
        <v>263</v>
      </c>
      <c r="C129" s="360" t="s">
        <v>157</v>
      </c>
      <c r="D129" s="361">
        <f t="shared" si="6"/>
        <v>65015</v>
      </c>
      <c r="E129" s="361">
        <f t="shared" si="4"/>
        <v>5504</v>
      </c>
      <c r="F129" s="362">
        <v>325</v>
      </c>
      <c r="G129" s="362">
        <v>556</v>
      </c>
      <c r="H129" s="361">
        <v>1431</v>
      </c>
      <c r="I129" s="361">
        <v>3192</v>
      </c>
      <c r="J129" s="361">
        <f t="shared" si="5"/>
        <v>3824</v>
      </c>
      <c r="K129" s="361">
        <v>1152</v>
      </c>
      <c r="L129" s="361">
        <v>2607</v>
      </c>
      <c r="M129" s="362">
        <v>65</v>
      </c>
      <c r="N129" s="361">
        <f>'[5]Проф.с иными целями Пр.118'!D129</f>
        <v>55687</v>
      </c>
      <c r="O129" s="363"/>
      <c r="P129" s="364"/>
      <c r="Q129" s="364"/>
    </row>
    <row r="130" spans="1:17" x14ac:dyDescent="0.25">
      <c r="A130" s="359">
        <v>112</v>
      </c>
      <c r="B130" s="359" t="s">
        <v>264</v>
      </c>
      <c r="C130" s="360" t="s">
        <v>156</v>
      </c>
      <c r="D130" s="361">
        <f t="shared" si="6"/>
        <v>63346</v>
      </c>
      <c r="E130" s="361">
        <f t="shared" si="4"/>
        <v>6036</v>
      </c>
      <c r="F130" s="362">
        <v>326</v>
      </c>
      <c r="G130" s="362">
        <v>490</v>
      </c>
      <c r="H130" s="361">
        <v>1320</v>
      </c>
      <c r="I130" s="361">
        <v>3900</v>
      </c>
      <c r="J130" s="361">
        <f t="shared" si="5"/>
        <v>3571</v>
      </c>
      <c r="K130" s="361">
        <v>1387</v>
      </c>
      <c r="L130" s="361">
        <v>2094</v>
      </c>
      <c r="M130" s="362">
        <v>90</v>
      </c>
      <c r="N130" s="361">
        <f>'[5]Проф.с иными целями Пр.118'!D130</f>
        <v>53739</v>
      </c>
      <c r="O130" s="363"/>
      <c r="P130" s="364"/>
      <c r="Q130" s="364"/>
    </row>
    <row r="131" spans="1:17" x14ac:dyDescent="0.25">
      <c r="A131" s="359">
        <v>113</v>
      </c>
      <c r="B131" s="359" t="s">
        <v>266</v>
      </c>
      <c r="C131" s="360" t="s">
        <v>59</v>
      </c>
      <c r="D131" s="361">
        <f t="shared" si="6"/>
        <v>79618</v>
      </c>
      <c r="E131" s="361">
        <f t="shared" si="4"/>
        <v>7196</v>
      </c>
      <c r="F131" s="362">
        <v>393</v>
      </c>
      <c r="G131" s="362">
        <v>534</v>
      </c>
      <c r="H131" s="361">
        <v>2007</v>
      </c>
      <c r="I131" s="361">
        <v>4262</v>
      </c>
      <c r="J131" s="361">
        <f t="shared" si="5"/>
        <v>4013</v>
      </c>
      <c r="K131" s="361">
        <v>1478</v>
      </c>
      <c r="L131" s="361">
        <v>2479</v>
      </c>
      <c r="M131" s="362">
        <v>56</v>
      </c>
      <c r="N131" s="361">
        <f>'[5]Проф.с иными целями Пр.118'!D131</f>
        <v>68409</v>
      </c>
      <c r="O131" s="363"/>
      <c r="P131" s="364"/>
      <c r="Q131" s="364"/>
    </row>
    <row r="132" spans="1:17" x14ac:dyDescent="0.25">
      <c r="A132" s="359">
        <v>114</v>
      </c>
      <c r="B132" s="359" t="s">
        <v>270</v>
      </c>
      <c r="C132" s="360" t="s">
        <v>152</v>
      </c>
      <c r="D132" s="361">
        <f t="shared" si="6"/>
        <v>47994</v>
      </c>
      <c r="E132" s="361">
        <f t="shared" si="4"/>
        <v>4651</v>
      </c>
      <c r="F132" s="362">
        <v>213</v>
      </c>
      <c r="G132" s="362">
        <v>411</v>
      </c>
      <c r="H132" s="361">
        <v>1804</v>
      </c>
      <c r="I132" s="361">
        <v>2223</v>
      </c>
      <c r="J132" s="361">
        <f t="shared" si="5"/>
        <v>2782</v>
      </c>
      <c r="K132" s="361">
        <v>1062</v>
      </c>
      <c r="L132" s="361">
        <v>1602</v>
      </c>
      <c r="M132" s="362">
        <v>118</v>
      </c>
      <c r="N132" s="361">
        <f>'[5]Проф.с иными целями Пр.118'!D132</f>
        <v>40561</v>
      </c>
      <c r="O132" s="363"/>
      <c r="P132" s="364"/>
      <c r="Q132" s="364"/>
    </row>
    <row r="133" spans="1:17" x14ac:dyDescent="0.25">
      <c r="A133" s="359">
        <v>115</v>
      </c>
      <c r="B133" s="359" t="s">
        <v>278</v>
      </c>
      <c r="C133" s="360" t="s">
        <v>147</v>
      </c>
      <c r="D133" s="361">
        <f t="shared" si="6"/>
        <v>71813</v>
      </c>
      <c r="E133" s="361">
        <f t="shared" si="4"/>
        <v>6174</v>
      </c>
      <c r="F133" s="362">
        <v>396</v>
      </c>
      <c r="G133" s="362">
        <v>577</v>
      </c>
      <c r="H133" s="361">
        <v>1900</v>
      </c>
      <c r="I133" s="361">
        <v>3301</v>
      </c>
      <c r="J133" s="361">
        <f t="shared" si="5"/>
        <v>4227</v>
      </c>
      <c r="K133" s="361">
        <v>1657</v>
      </c>
      <c r="L133" s="361">
        <v>2495</v>
      </c>
      <c r="M133" s="362">
        <v>75</v>
      </c>
      <c r="N133" s="361">
        <f>'[5]Проф.с иными целями Пр.118'!D133</f>
        <v>61412</v>
      </c>
      <c r="O133" s="363"/>
      <c r="P133" s="364"/>
      <c r="Q133" s="364"/>
    </row>
    <row r="134" spans="1:17" x14ac:dyDescent="0.25">
      <c r="A134" s="359">
        <v>116</v>
      </c>
      <c r="B134" s="359" t="s">
        <v>279</v>
      </c>
      <c r="C134" s="360" t="s">
        <v>146</v>
      </c>
      <c r="D134" s="361">
        <f t="shared" si="6"/>
        <v>120000</v>
      </c>
      <c r="E134" s="361">
        <f t="shared" si="4"/>
        <v>9943</v>
      </c>
      <c r="F134" s="362">
        <v>636</v>
      </c>
      <c r="G134" s="362">
        <v>985</v>
      </c>
      <c r="H134" s="361">
        <v>2937</v>
      </c>
      <c r="I134" s="361">
        <v>5385</v>
      </c>
      <c r="J134" s="361">
        <f t="shared" si="5"/>
        <v>6998</v>
      </c>
      <c r="K134" s="361">
        <v>2252</v>
      </c>
      <c r="L134" s="361">
        <v>4662</v>
      </c>
      <c r="M134" s="362">
        <v>84</v>
      </c>
      <c r="N134" s="361">
        <f>'[5]Проф.с иными целями Пр.118'!D134</f>
        <v>103059</v>
      </c>
      <c r="O134" s="363"/>
      <c r="P134" s="364"/>
      <c r="Q134" s="364"/>
    </row>
    <row r="135" spans="1:17" x14ac:dyDescent="0.25">
      <c r="A135" s="359">
        <v>117</v>
      </c>
      <c r="B135" s="359" t="s">
        <v>281</v>
      </c>
      <c r="C135" s="360" t="s">
        <v>144</v>
      </c>
      <c r="D135" s="361">
        <f t="shared" si="6"/>
        <v>57005</v>
      </c>
      <c r="E135" s="361">
        <f t="shared" si="4"/>
        <v>5160</v>
      </c>
      <c r="F135" s="362">
        <v>253</v>
      </c>
      <c r="G135" s="362">
        <v>513</v>
      </c>
      <c r="H135" s="361">
        <v>1383</v>
      </c>
      <c r="I135" s="361">
        <v>3011</v>
      </c>
      <c r="J135" s="361">
        <f t="shared" si="5"/>
        <v>3350</v>
      </c>
      <c r="K135" s="361">
        <v>1087</v>
      </c>
      <c r="L135" s="361">
        <v>2179</v>
      </c>
      <c r="M135" s="362">
        <v>84</v>
      </c>
      <c r="N135" s="361">
        <f>'[5]Проф.с иными целями Пр.118'!D135</f>
        <v>48495</v>
      </c>
      <c r="O135" s="363"/>
      <c r="P135" s="364"/>
      <c r="Q135" s="364"/>
    </row>
    <row r="136" spans="1:17" x14ac:dyDescent="0.25">
      <c r="A136" s="359">
        <v>118</v>
      </c>
      <c r="B136" s="359" t="s">
        <v>329</v>
      </c>
      <c r="C136" s="368" t="s">
        <v>857</v>
      </c>
      <c r="D136" s="361">
        <f t="shared" si="6"/>
        <v>42896</v>
      </c>
      <c r="E136" s="361">
        <f t="shared" si="4"/>
        <v>950</v>
      </c>
      <c r="F136" s="362">
        <v>331</v>
      </c>
      <c r="G136" s="362">
        <v>619</v>
      </c>
      <c r="H136" s="362">
        <v>0</v>
      </c>
      <c r="I136" s="362">
        <v>0</v>
      </c>
      <c r="J136" s="361">
        <f t="shared" si="5"/>
        <v>4054</v>
      </c>
      <c r="K136" s="361">
        <v>1153</v>
      </c>
      <c r="L136" s="361">
        <v>2901</v>
      </c>
      <c r="M136" s="362">
        <v>0</v>
      </c>
      <c r="N136" s="361">
        <f>'[5]Проф.с иными целями Пр.118'!D136</f>
        <v>37892</v>
      </c>
      <c r="O136" s="363"/>
      <c r="P136" s="364"/>
      <c r="Q136" s="364"/>
    </row>
    <row r="137" spans="1:17" x14ac:dyDescent="0.25">
      <c r="A137" s="359">
        <v>119</v>
      </c>
      <c r="B137" s="359"/>
      <c r="C137" s="360" t="s">
        <v>654</v>
      </c>
      <c r="D137" s="361">
        <f t="shared" si="6"/>
        <v>0</v>
      </c>
      <c r="E137" s="361">
        <f t="shared" si="4"/>
        <v>0</v>
      </c>
      <c r="F137" s="362">
        <v>0</v>
      </c>
      <c r="G137" s="362">
        <v>0</v>
      </c>
      <c r="H137" s="362">
        <v>0</v>
      </c>
      <c r="I137" s="362">
        <v>0</v>
      </c>
      <c r="J137" s="361">
        <f t="shared" si="5"/>
        <v>0</v>
      </c>
      <c r="K137" s="362">
        <v>0</v>
      </c>
      <c r="L137" s="362">
        <v>0</v>
      </c>
      <c r="M137" s="362">
        <v>0</v>
      </c>
      <c r="N137" s="361">
        <f>'[5]Проф.с иными целями Пр.118'!D137</f>
        <v>0</v>
      </c>
      <c r="O137" s="363"/>
      <c r="P137" s="364"/>
      <c r="Q137" s="364"/>
    </row>
    <row r="138" spans="1:17" x14ac:dyDescent="0.25">
      <c r="A138" s="359">
        <v>120</v>
      </c>
      <c r="B138" s="359" t="s">
        <v>647</v>
      </c>
      <c r="C138" s="360" t="s">
        <v>648</v>
      </c>
      <c r="D138" s="361">
        <f t="shared" si="6"/>
        <v>25</v>
      </c>
      <c r="E138" s="361">
        <f t="shared" si="4"/>
        <v>0</v>
      </c>
      <c r="F138" s="362">
        <v>0</v>
      </c>
      <c r="G138" s="362">
        <v>0</v>
      </c>
      <c r="H138" s="362">
        <v>0</v>
      </c>
      <c r="I138" s="362">
        <v>0</v>
      </c>
      <c r="J138" s="361">
        <f t="shared" si="5"/>
        <v>0</v>
      </c>
      <c r="K138" s="362">
        <v>0</v>
      </c>
      <c r="L138" s="362">
        <v>0</v>
      </c>
      <c r="M138" s="362">
        <v>0</v>
      </c>
      <c r="N138" s="361">
        <f>'[5]Проф.с иными целями Пр.118'!D138</f>
        <v>25</v>
      </c>
      <c r="O138" s="363"/>
      <c r="P138" s="364"/>
      <c r="Q138" s="364"/>
    </row>
    <row r="139" spans="1:17" x14ac:dyDescent="0.25">
      <c r="A139" s="359">
        <v>121</v>
      </c>
      <c r="B139" s="359" t="s">
        <v>297</v>
      </c>
      <c r="C139" s="360" t="s">
        <v>649</v>
      </c>
      <c r="D139" s="361">
        <f t="shared" si="6"/>
        <v>66</v>
      </c>
      <c r="E139" s="361">
        <f t="shared" ref="E139:E165" si="7">F139+G139+H139+I139</f>
        <v>0</v>
      </c>
      <c r="F139" s="362">
        <v>0</v>
      </c>
      <c r="G139" s="362">
        <v>0</v>
      </c>
      <c r="H139" s="362">
        <v>0</v>
      </c>
      <c r="I139" s="362">
        <v>0</v>
      </c>
      <c r="J139" s="361">
        <f t="shared" ref="J139:J165" si="8">K139+L139+M139</f>
        <v>0</v>
      </c>
      <c r="K139" s="362">
        <v>0</v>
      </c>
      <c r="L139" s="362">
        <v>0</v>
      </c>
      <c r="M139" s="362">
        <v>0</v>
      </c>
      <c r="N139" s="361">
        <f>'[5]Проф.с иными целями Пр.118'!D139</f>
        <v>66</v>
      </c>
      <c r="O139" s="363"/>
      <c r="P139" s="364"/>
      <c r="Q139" s="364"/>
    </row>
    <row r="140" spans="1:17" x14ac:dyDescent="0.25">
      <c r="A140" s="359">
        <v>122</v>
      </c>
      <c r="B140" s="359" t="s">
        <v>313</v>
      </c>
      <c r="C140" s="360" t="s">
        <v>120</v>
      </c>
      <c r="D140" s="361">
        <f t="shared" si="6"/>
        <v>219</v>
      </c>
      <c r="E140" s="361">
        <f t="shared" si="7"/>
        <v>0</v>
      </c>
      <c r="F140" s="362">
        <v>0</v>
      </c>
      <c r="G140" s="362">
        <v>0</v>
      </c>
      <c r="H140" s="362">
        <v>0</v>
      </c>
      <c r="I140" s="362">
        <v>0</v>
      </c>
      <c r="J140" s="361">
        <f t="shared" si="8"/>
        <v>0</v>
      </c>
      <c r="K140" s="362">
        <v>0</v>
      </c>
      <c r="L140" s="362">
        <v>0</v>
      </c>
      <c r="M140" s="362">
        <v>0</v>
      </c>
      <c r="N140" s="361">
        <f>'[5]Проф.с иными целями Пр.118'!D140</f>
        <v>219</v>
      </c>
      <c r="O140" s="363"/>
      <c r="P140" s="364"/>
      <c r="Q140" s="364"/>
    </row>
    <row r="141" spans="1:17" x14ac:dyDescent="0.25">
      <c r="A141" s="359">
        <v>123</v>
      </c>
      <c r="B141" s="359"/>
      <c r="C141" s="360" t="s">
        <v>657</v>
      </c>
      <c r="D141" s="361">
        <f t="shared" si="6"/>
        <v>8</v>
      </c>
      <c r="E141" s="361">
        <f t="shared" si="7"/>
        <v>0</v>
      </c>
      <c r="F141" s="362">
        <v>0</v>
      </c>
      <c r="G141" s="362">
        <v>0</v>
      </c>
      <c r="H141" s="362">
        <v>0</v>
      </c>
      <c r="I141" s="362">
        <v>0</v>
      </c>
      <c r="J141" s="361">
        <f t="shared" si="8"/>
        <v>0</v>
      </c>
      <c r="K141" s="362">
        <v>0</v>
      </c>
      <c r="L141" s="362">
        <v>0</v>
      </c>
      <c r="M141" s="362">
        <v>0</v>
      </c>
      <c r="N141" s="361">
        <f>'[5]Проф.с иными целями Пр.118'!D141</f>
        <v>8</v>
      </c>
      <c r="O141" s="363"/>
      <c r="P141" s="364"/>
      <c r="Q141" s="364"/>
    </row>
    <row r="142" spans="1:17" ht="24" x14ac:dyDescent="0.25">
      <c r="A142" s="359">
        <v>124</v>
      </c>
      <c r="B142" s="359"/>
      <c r="C142" s="360" t="s">
        <v>658</v>
      </c>
      <c r="D142" s="361">
        <f t="shared" si="6"/>
        <v>8</v>
      </c>
      <c r="E142" s="361">
        <f t="shared" si="7"/>
        <v>0</v>
      </c>
      <c r="F142" s="362">
        <v>0</v>
      </c>
      <c r="G142" s="362">
        <v>0</v>
      </c>
      <c r="H142" s="362">
        <v>0</v>
      </c>
      <c r="I142" s="362">
        <v>0</v>
      </c>
      <c r="J142" s="361">
        <f t="shared" si="8"/>
        <v>0</v>
      </c>
      <c r="K142" s="362">
        <v>0</v>
      </c>
      <c r="L142" s="362">
        <v>0</v>
      </c>
      <c r="M142" s="362">
        <v>0</v>
      </c>
      <c r="N142" s="361">
        <f>'[5]Проф.с иными целями Пр.118'!D142</f>
        <v>8</v>
      </c>
      <c r="O142" s="363"/>
      <c r="P142" s="364"/>
      <c r="Q142" s="364"/>
    </row>
    <row r="143" spans="1:17" ht="24" x14ac:dyDescent="0.25">
      <c r="A143" s="359">
        <v>125</v>
      </c>
      <c r="B143" s="359"/>
      <c r="C143" s="360" t="s">
        <v>659</v>
      </c>
      <c r="D143" s="361">
        <f t="shared" si="6"/>
        <v>8</v>
      </c>
      <c r="E143" s="361">
        <f t="shared" si="7"/>
        <v>0</v>
      </c>
      <c r="F143" s="362">
        <v>0</v>
      </c>
      <c r="G143" s="362">
        <v>0</v>
      </c>
      <c r="H143" s="362">
        <v>0</v>
      </c>
      <c r="I143" s="362">
        <v>0</v>
      </c>
      <c r="J143" s="361">
        <f t="shared" si="8"/>
        <v>0</v>
      </c>
      <c r="K143" s="362">
        <v>0</v>
      </c>
      <c r="L143" s="362">
        <v>0</v>
      </c>
      <c r="M143" s="362">
        <v>0</v>
      </c>
      <c r="N143" s="361">
        <f>'[5]Проф.с иными целями Пр.118'!D143</f>
        <v>8</v>
      </c>
      <c r="O143" s="363"/>
      <c r="P143" s="364"/>
      <c r="Q143" s="364"/>
    </row>
    <row r="144" spans="1:17" x14ac:dyDescent="0.25">
      <c r="A144" s="359">
        <v>126</v>
      </c>
      <c r="B144" s="359" t="s">
        <v>28</v>
      </c>
      <c r="C144" s="360" t="s">
        <v>5</v>
      </c>
      <c r="D144" s="361">
        <f t="shared" si="6"/>
        <v>218498</v>
      </c>
      <c r="E144" s="361">
        <f t="shared" si="7"/>
        <v>0</v>
      </c>
      <c r="F144" s="362">
        <v>0</v>
      </c>
      <c r="G144" s="362">
        <v>0</v>
      </c>
      <c r="H144" s="362">
        <v>0</v>
      </c>
      <c r="I144" s="362">
        <v>0</v>
      </c>
      <c r="J144" s="361">
        <f t="shared" si="8"/>
        <v>0</v>
      </c>
      <c r="K144" s="362">
        <v>0</v>
      </c>
      <c r="L144" s="362">
        <v>0</v>
      </c>
      <c r="M144" s="362">
        <v>0</v>
      </c>
      <c r="N144" s="361">
        <f>'[5]Проф.с иными целями Пр.118'!D144</f>
        <v>218498</v>
      </c>
      <c r="O144" s="363"/>
      <c r="P144" s="364"/>
      <c r="Q144" s="364"/>
    </row>
    <row r="145" spans="1:17" x14ac:dyDescent="0.25">
      <c r="A145" s="359">
        <v>127</v>
      </c>
      <c r="B145" s="359" t="s">
        <v>26</v>
      </c>
      <c r="C145" s="360" t="s">
        <v>88</v>
      </c>
      <c r="D145" s="361">
        <f t="shared" si="6"/>
        <v>130000</v>
      </c>
      <c r="E145" s="361">
        <f t="shared" si="7"/>
        <v>0</v>
      </c>
      <c r="F145" s="362">
        <v>0</v>
      </c>
      <c r="G145" s="362">
        <v>0</v>
      </c>
      <c r="H145" s="362">
        <v>0</v>
      </c>
      <c r="I145" s="362">
        <v>0</v>
      </c>
      <c r="J145" s="361">
        <f t="shared" si="8"/>
        <v>0</v>
      </c>
      <c r="K145" s="362">
        <v>0</v>
      </c>
      <c r="L145" s="362">
        <v>0</v>
      </c>
      <c r="M145" s="362">
        <v>0</v>
      </c>
      <c r="N145" s="361">
        <f>'[5]Проф.с иными целями Пр.118'!D145</f>
        <v>130000</v>
      </c>
      <c r="O145" s="363"/>
      <c r="P145" s="364"/>
      <c r="Q145" s="364"/>
    </row>
    <row r="146" spans="1:17" x14ac:dyDescent="0.25">
      <c r="A146" s="359">
        <v>128</v>
      </c>
      <c r="B146" s="359" t="s">
        <v>387</v>
      </c>
      <c r="C146" s="360" t="s">
        <v>73</v>
      </c>
      <c r="D146" s="361">
        <f t="shared" si="6"/>
        <v>85000</v>
      </c>
      <c r="E146" s="361">
        <f t="shared" si="7"/>
        <v>0</v>
      </c>
      <c r="F146" s="362">
        <v>0</v>
      </c>
      <c r="G146" s="362">
        <v>0</v>
      </c>
      <c r="H146" s="362">
        <v>0</v>
      </c>
      <c r="I146" s="362">
        <v>0</v>
      </c>
      <c r="J146" s="361">
        <f t="shared" si="8"/>
        <v>0</v>
      </c>
      <c r="K146" s="362">
        <v>0</v>
      </c>
      <c r="L146" s="362">
        <v>0</v>
      </c>
      <c r="M146" s="362">
        <v>0</v>
      </c>
      <c r="N146" s="361">
        <f>'[5]Проф.с иными целями Пр.118'!D146</f>
        <v>85000</v>
      </c>
      <c r="O146" s="363"/>
      <c r="P146" s="364"/>
      <c r="Q146" s="364"/>
    </row>
    <row r="147" spans="1:17" x14ac:dyDescent="0.25">
      <c r="A147" s="359">
        <v>129</v>
      </c>
      <c r="B147" s="359" t="s">
        <v>385</v>
      </c>
      <c r="C147" s="360" t="s">
        <v>72</v>
      </c>
      <c r="D147" s="361">
        <f t="shared" si="6"/>
        <v>113400</v>
      </c>
      <c r="E147" s="361">
        <f t="shared" si="7"/>
        <v>0</v>
      </c>
      <c r="F147" s="362">
        <v>0</v>
      </c>
      <c r="G147" s="362">
        <v>0</v>
      </c>
      <c r="H147" s="362">
        <v>0</v>
      </c>
      <c r="I147" s="362">
        <v>0</v>
      </c>
      <c r="J147" s="361">
        <f t="shared" si="8"/>
        <v>0</v>
      </c>
      <c r="K147" s="362">
        <v>0</v>
      </c>
      <c r="L147" s="362">
        <v>0</v>
      </c>
      <c r="M147" s="362">
        <v>0</v>
      </c>
      <c r="N147" s="361">
        <f>'[5]Проф.с иными целями Пр.118'!D147</f>
        <v>113400</v>
      </c>
      <c r="O147" s="363"/>
      <c r="P147" s="364"/>
      <c r="Q147" s="364"/>
    </row>
    <row r="148" spans="1:17" x14ac:dyDescent="0.25">
      <c r="A148" s="359">
        <v>130</v>
      </c>
      <c r="B148" s="359" t="s">
        <v>388</v>
      </c>
      <c r="C148" s="360" t="s">
        <v>83</v>
      </c>
      <c r="D148" s="361">
        <f t="shared" si="6"/>
        <v>8000</v>
      </c>
      <c r="E148" s="361">
        <f t="shared" si="7"/>
        <v>0</v>
      </c>
      <c r="F148" s="362">
        <v>0</v>
      </c>
      <c r="G148" s="362">
        <v>0</v>
      </c>
      <c r="H148" s="362">
        <v>0</v>
      </c>
      <c r="I148" s="362">
        <v>0</v>
      </c>
      <c r="J148" s="361">
        <f t="shared" si="8"/>
        <v>0</v>
      </c>
      <c r="K148" s="362">
        <v>0</v>
      </c>
      <c r="L148" s="362">
        <v>0</v>
      </c>
      <c r="M148" s="362">
        <v>0</v>
      </c>
      <c r="N148" s="361">
        <f>'[5]Проф.с иными целями Пр.118'!D148</f>
        <v>8000</v>
      </c>
      <c r="O148" s="363"/>
      <c r="P148" s="364"/>
      <c r="Q148" s="364"/>
    </row>
    <row r="149" spans="1:17" x14ac:dyDescent="0.25">
      <c r="A149" s="359">
        <v>131</v>
      </c>
      <c r="B149" s="359" t="s">
        <v>18</v>
      </c>
      <c r="C149" s="360" t="s">
        <v>6</v>
      </c>
      <c r="D149" s="361">
        <f t="shared" si="6"/>
        <v>65356</v>
      </c>
      <c r="E149" s="361">
        <f t="shared" si="7"/>
        <v>0</v>
      </c>
      <c r="F149" s="362">
        <v>0</v>
      </c>
      <c r="G149" s="362">
        <v>0</v>
      </c>
      <c r="H149" s="362">
        <v>0</v>
      </c>
      <c r="I149" s="362">
        <v>0</v>
      </c>
      <c r="J149" s="361">
        <f t="shared" si="8"/>
        <v>0</v>
      </c>
      <c r="K149" s="362">
        <v>0</v>
      </c>
      <c r="L149" s="362">
        <v>0</v>
      </c>
      <c r="M149" s="362">
        <v>0</v>
      </c>
      <c r="N149" s="361">
        <f>'[5]Проф.с иными целями Пр.118'!D149</f>
        <v>65356</v>
      </c>
      <c r="O149" s="363"/>
      <c r="P149" s="364"/>
      <c r="Q149" s="364"/>
    </row>
    <row r="150" spans="1:17" x14ac:dyDescent="0.25">
      <c r="A150" s="359">
        <v>132</v>
      </c>
      <c r="B150" s="359" t="s">
        <v>389</v>
      </c>
      <c r="C150" s="360" t="s">
        <v>71</v>
      </c>
      <c r="D150" s="361">
        <f t="shared" si="6"/>
        <v>57642</v>
      </c>
      <c r="E150" s="361">
        <f t="shared" si="7"/>
        <v>0</v>
      </c>
      <c r="F150" s="362">
        <v>0</v>
      </c>
      <c r="G150" s="362">
        <v>0</v>
      </c>
      <c r="H150" s="362">
        <v>0</v>
      </c>
      <c r="I150" s="362">
        <v>0</v>
      </c>
      <c r="J150" s="361">
        <f t="shared" si="8"/>
        <v>0</v>
      </c>
      <c r="K150" s="362">
        <v>0</v>
      </c>
      <c r="L150" s="362">
        <v>0</v>
      </c>
      <c r="M150" s="362">
        <v>0</v>
      </c>
      <c r="N150" s="361">
        <f>'[5]Проф.с иными целями Пр.118'!D150</f>
        <v>57642</v>
      </c>
      <c r="O150" s="363"/>
      <c r="P150" s="364"/>
      <c r="Q150" s="364"/>
    </row>
    <row r="151" spans="1:17" x14ac:dyDescent="0.25">
      <c r="A151" s="359">
        <v>133</v>
      </c>
      <c r="B151" s="359" t="s">
        <v>17</v>
      </c>
      <c r="C151" s="360" t="s">
        <v>7</v>
      </c>
      <c r="D151" s="361">
        <f t="shared" si="6"/>
        <v>91000</v>
      </c>
      <c r="E151" s="361">
        <f t="shared" si="7"/>
        <v>0</v>
      </c>
      <c r="F151" s="362">
        <v>0</v>
      </c>
      <c r="G151" s="362">
        <v>0</v>
      </c>
      <c r="H151" s="362">
        <v>0</v>
      </c>
      <c r="I151" s="362">
        <v>0</v>
      </c>
      <c r="J151" s="361">
        <f t="shared" si="8"/>
        <v>0</v>
      </c>
      <c r="K151" s="362">
        <v>0</v>
      </c>
      <c r="L151" s="362">
        <v>0</v>
      </c>
      <c r="M151" s="362">
        <v>0</v>
      </c>
      <c r="N151" s="361">
        <f>'[5]Проф.с иными целями Пр.118'!D151</f>
        <v>91000</v>
      </c>
      <c r="O151" s="363"/>
      <c r="P151" s="364"/>
      <c r="Q151" s="364"/>
    </row>
    <row r="152" spans="1:17" x14ac:dyDescent="0.25">
      <c r="A152" s="359">
        <v>134</v>
      </c>
      <c r="B152" s="359" t="s">
        <v>390</v>
      </c>
      <c r="C152" s="360" t="s">
        <v>391</v>
      </c>
      <c r="D152" s="361">
        <f t="shared" si="6"/>
        <v>10328</v>
      </c>
      <c r="E152" s="361">
        <f t="shared" si="7"/>
        <v>0</v>
      </c>
      <c r="F152" s="362">
        <v>0</v>
      </c>
      <c r="G152" s="362">
        <v>0</v>
      </c>
      <c r="H152" s="362">
        <v>0</v>
      </c>
      <c r="I152" s="362">
        <v>0</v>
      </c>
      <c r="J152" s="361">
        <f t="shared" si="8"/>
        <v>0</v>
      </c>
      <c r="K152" s="362">
        <v>0</v>
      </c>
      <c r="L152" s="362">
        <v>0</v>
      </c>
      <c r="M152" s="362">
        <v>0</v>
      </c>
      <c r="N152" s="361">
        <f>'[5]Проф.с иными целями Пр.118'!D152</f>
        <v>10328</v>
      </c>
      <c r="O152" s="363"/>
      <c r="P152" s="364"/>
      <c r="Q152" s="364"/>
    </row>
    <row r="153" spans="1:17" x14ac:dyDescent="0.25">
      <c r="A153" s="359">
        <v>135</v>
      </c>
      <c r="B153" s="359" t="s">
        <v>392</v>
      </c>
      <c r="C153" s="360" t="s">
        <v>69</v>
      </c>
      <c r="D153" s="361">
        <f t="shared" si="6"/>
        <v>57592</v>
      </c>
      <c r="E153" s="361">
        <f t="shared" si="7"/>
        <v>0</v>
      </c>
      <c r="F153" s="362">
        <v>0</v>
      </c>
      <c r="G153" s="362">
        <v>0</v>
      </c>
      <c r="H153" s="362">
        <v>0</v>
      </c>
      <c r="I153" s="362">
        <v>0</v>
      </c>
      <c r="J153" s="361">
        <f t="shared" si="8"/>
        <v>0</v>
      </c>
      <c r="K153" s="362">
        <v>0</v>
      </c>
      <c r="L153" s="362">
        <v>0</v>
      </c>
      <c r="M153" s="362">
        <v>0</v>
      </c>
      <c r="N153" s="361">
        <f>'[5]Проф.с иными целями Пр.118'!D153</f>
        <v>57592</v>
      </c>
      <c r="O153" s="363"/>
      <c r="P153" s="364"/>
      <c r="Q153" s="364"/>
    </row>
    <row r="154" spans="1:17" x14ac:dyDescent="0.25">
      <c r="A154" s="359">
        <v>136</v>
      </c>
      <c r="B154" s="359" t="s">
        <v>21</v>
      </c>
      <c r="C154" s="360" t="s">
        <v>68</v>
      </c>
      <c r="D154" s="361">
        <f t="shared" si="6"/>
        <v>1009</v>
      </c>
      <c r="E154" s="361">
        <f t="shared" si="7"/>
        <v>0</v>
      </c>
      <c r="F154" s="362">
        <v>0</v>
      </c>
      <c r="G154" s="362">
        <v>0</v>
      </c>
      <c r="H154" s="362">
        <v>0</v>
      </c>
      <c r="I154" s="362">
        <v>0</v>
      </c>
      <c r="J154" s="361">
        <f t="shared" si="8"/>
        <v>0</v>
      </c>
      <c r="K154" s="362">
        <v>0</v>
      </c>
      <c r="L154" s="362">
        <v>0</v>
      </c>
      <c r="M154" s="362">
        <v>0</v>
      </c>
      <c r="N154" s="361">
        <f>'[5]Проф.с иными целями Пр.118'!D154</f>
        <v>1009</v>
      </c>
      <c r="O154" s="363"/>
      <c r="P154" s="364"/>
      <c r="Q154" s="364"/>
    </row>
    <row r="155" spans="1:17" x14ac:dyDescent="0.25">
      <c r="A155" s="590">
        <v>137</v>
      </c>
      <c r="B155" s="359" t="s">
        <v>22</v>
      </c>
      <c r="C155" s="360" t="s">
        <v>84</v>
      </c>
      <c r="D155" s="361">
        <f t="shared" si="6"/>
        <v>84825</v>
      </c>
      <c r="E155" s="361">
        <f t="shared" si="7"/>
        <v>1722</v>
      </c>
      <c r="F155" s="362">
        <v>543</v>
      </c>
      <c r="G155" s="361">
        <v>1179</v>
      </c>
      <c r="H155" s="362">
        <v>0</v>
      </c>
      <c r="I155" s="362">
        <v>0</v>
      </c>
      <c r="J155" s="361">
        <f t="shared" si="8"/>
        <v>7346</v>
      </c>
      <c r="K155" s="361">
        <v>1873</v>
      </c>
      <c r="L155" s="361">
        <v>5473</v>
      </c>
      <c r="M155" s="362">
        <v>0</v>
      </c>
      <c r="N155" s="361">
        <f>'[5]Проф.с иными целями Пр.118'!D155</f>
        <v>75757</v>
      </c>
      <c r="O155" s="363"/>
      <c r="P155" s="364"/>
      <c r="Q155" s="364"/>
    </row>
    <row r="156" spans="1:17" ht="36" x14ac:dyDescent="0.25">
      <c r="A156" s="590"/>
      <c r="B156" s="359" t="s">
        <v>293</v>
      </c>
      <c r="C156" s="365" t="s">
        <v>858</v>
      </c>
      <c r="D156" s="361">
        <f t="shared" si="6"/>
        <v>192170</v>
      </c>
      <c r="E156" s="361">
        <f t="shared" si="7"/>
        <v>21076</v>
      </c>
      <c r="F156" s="362">
        <v>993</v>
      </c>
      <c r="G156" s="361">
        <v>1652</v>
      </c>
      <c r="H156" s="361">
        <v>7959</v>
      </c>
      <c r="I156" s="361">
        <v>10472</v>
      </c>
      <c r="J156" s="361">
        <f t="shared" si="8"/>
        <v>11449</v>
      </c>
      <c r="K156" s="361">
        <v>3630</v>
      </c>
      <c r="L156" s="361">
        <v>7654</v>
      </c>
      <c r="M156" s="362">
        <v>165</v>
      </c>
      <c r="N156" s="361">
        <f>'[5]Проф.с иными целями Пр.118'!D156</f>
        <v>159645</v>
      </c>
      <c r="O156" s="363"/>
      <c r="P156" s="364"/>
      <c r="Q156" s="364"/>
    </row>
    <row r="157" spans="1:17" x14ac:dyDescent="0.25">
      <c r="A157" s="590">
        <v>138</v>
      </c>
      <c r="B157" s="359">
        <v>22126</v>
      </c>
      <c r="C157" s="360" t="s">
        <v>434</v>
      </c>
      <c r="D157" s="361">
        <f t="shared" si="6"/>
        <v>3000</v>
      </c>
      <c r="E157" s="361">
        <f t="shared" si="7"/>
        <v>0</v>
      </c>
      <c r="F157" s="362">
        <v>0</v>
      </c>
      <c r="G157" s="362">
        <v>0</v>
      </c>
      <c r="H157" s="362">
        <v>0</v>
      </c>
      <c r="I157" s="362">
        <v>0</v>
      </c>
      <c r="J157" s="361">
        <f t="shared" si="8"/>
        <v>0</v>
      </c>
      <c r="K157" s="362">
        <v>0</v>
      </c>
      <c r="L157" s="362">
        <v>0</v>
      </c>
      <c r="M157" s="362">
        <v>0</v>
      </c>
      <c r="N157" s="361">
        <f>'[5]Проф.с иными целями Пр.118'!D157</f>
        <v>3000</v>
      </c>
      <c r="O157" s="363"/>
      <c r="P157" s="364"/>
      <c r="Q157" s="364"/>
    </row>
    <row r="158" spans="1:17" ht="48" x14ac:dyDescent="0.25">
      <c r="A158" s="590"/>
      <c r="B158" s="359" t="s">
        <v>405</v>
      </c>
      <c r="C158" s="365" t="s">
        <v>859</v>
      </c>
      <c r="D158" s="361">
        <f t="shared" si="6"/>
        <v>1442</v>
      </c>
      <c r="E158" s="361">
        <f t="shared" si="7"/>
        <v>0</v>
      </c>
      <c r="F158" s="362">
        <v>0</v>
      </c>
      <c r="G158" s="362">
        <v>0</v>
      </c>
      <c r="H158" s="362">
        <v>0</v>
      </c>
      <c r="I158" s="362">
        <v>0</v>
      </c>
      <c r="J158" s="361">
        <f t="shared" si="8"/>
        <v>0</v>
      </c>
      <c r="K158" s="362">
        <v>0</v>
      </c>
      <c r="L158" s="362">
        <v>0</v>
      </c>
      <c r="M158" s="362">
        <v>0</v>
      </c>
      <c r="N158" s="361">
        <f>'[5]Проф.с иными целями Пр.118'!D158</f>
        <v>1442</v>
      </c>
      <c r="O158" s="363"/>
      <c r="P158" s="364"/>
      <c r="Q158" s="364"/>
    </row>
    <row r="159" spans="1:17" x14ac:dyDescent="0.25">
      <c r="A159" s="359">
        <v>139</v>
      </c>
      <c r="B159" s="359" t="s">
        <v>661</v>
      </c>
      <c r="C159" s="360" t="s">
        <v>662</v>
      </c>
      <c r="D159" s="361">
        <f t="shared" si="6"/>
        <v>9830</v>
      </c>
      <c r="E159" s="361">
        <f t="shared" si="7"/>
        <v>0</v>
      </c>
      <c r="F159" s="362">
        <v>0</v>
      </c>
      <c r="G159" s="362">
        <v>0</v>
      </c>
      <c r="H159" s="362">
        <v>0</v>
      </c>
      <c r="I159" s="362">
        <v>0</v>
      </c>
      <c r="J159" s="361">
        <f t="shared" si="8"/>
        <v>0</v>
      </c>
      <c r="K159" s="362">
        <v>0</v>
      </c>
      <c r="L159" s="362">
        <v>0</v>
      </c>
      <c r="M159" s="362">
        <v>0</v>
      </c>
      <c r="N159" s="361">
        <f>'[5]Проф.с иными целями Пр.118'!D159</f>
        <v>9830</v>
      </c>
      <c r="O159" s="363"/>
      <c r="P159" s="364"/>
      <c r="Q159" s="364"/>
    </row>
    <row r="160" spans="1:17" x14ac:dyDescent="0.25">
      <c r="A160" s="359">
        <v>140</v>
      </c>
      <c r="B160" s="359">
        <v>914</v>
      </c>
      <c r="C160" s="368" t="s">
        <v>860</v>
      </c>
      <c r="D160" s="361">
        <f t="shared" si="6"/>
        <v>26480</v>
      </c>
      <c r="E160" s="361">
        <f t="shared" si="7"/>
        <v>0</v>
      </c>
      <c r="F160" s="362">
        <v>0</v>
      </c>
      <c r="G160" s="362">
        <v>0</v>
      </c>
      <c r="H160" s="362">
        <v>0</v>
      </c>
      <c r="I160" s="362">
        <v>0</v>
      </c>
      <c r="J160" s="361">
        <f t="shared" si="8"/>
        <v>0</v>
      </c>
      <c r="K160" s="362">
        <v>0</v>
      </c>
      <c r="L160" s="362">
        <v>0</v>
      </c>
      <c r="M160" s="362">
        <v>0</v>
      </c>
      <c r="N160" s="361">
        <f>'[5]Проф.с иными целями Пр.118'!D160</f>
        <v>26480</v>
      </c>
      <c r="O160" s="363"/>
      <c r="P160" s="364"/>
      <c r="Q160" s="364"/>
    </row>
    <row r="161" spans="1:17" x14ac:dyDescent="0.25">
      <c r="A161" s="359">
        <v>141</v>
      </c>
      <c r="B161" s="359" t="s">
        <v>425</v>
      </c>
      <c r="C161" s="369" t="s">
        <v>426</v>
      </c>
      <c r="D161" s="361">
        <f t="shared" si="6"/>
        <v>10080</v>
      </c>
      <c r="E161" s="361">
        <f t="shared" si="7"/>
        <v>0</v>
      </c>
      <c r="F161" s="362">
        <v>0</v>
      </c>
      <c r="G161" s="362">
        <v>0</v>
      </c>
      <c r="H161" s="362">
        <v>0</v>
      </c>
      <c r="I161" s="362">
        <v>0</v>
      </c>
      <c r="J161" s="361">
        <f t="shared" si="8"/>
        <v>0</v>
      </c>
      <c r="K161" s="362">
        <v>0</v>
      </c>
      <c r="L161" s="362">
        <v>0</v>
      </c>
      <c r="M161" s="362">
        <v>0</v>
      </c>
      <c r="N161" s="361">
        <f>'[5]Проф.с иными целями Пр.118'!D161</f>
        <v>10080</v>
      </c>
      <c r="O161" s="363"/>
      <c r="P161" s="364"/>
      <c r="Q161" s="364"/>
    </row>
    <row r="162" spans="1:17" x14ac:dyDescent="0.25">
      <c r="A162" s="359">
        <v>142</v>
      </c>
      <c r="B162" s="359" t="s">
        <v>427</v>
      </c>
      <c r="C162" s="368" t="s">
        <v>861</v>
      </c>
      <c r="D162" s="361">
        <f t="shared" si="6"/>
        <v>5480</v>
      </c>
      <c r="E162" s="361">
        <f t="shared" si="7"/>
        <v>0</v>
      </c>
      <c r="F162" s="362">
        <v>0</v>
      </c>
      <c r="G162" s="362">
        <v>0</v>
      </c>
      <c r="H162" s="362">
        <v>0</v>
      </c>
      <c r="I162" s="362">
        <v>0</v>
      </c>
      <c r="J162" s="361">
        <f t="shared" si="8"/>
        <v>0</v>
      </c>
      <c r="K162" s="362">
        <v>0</v>
      </c>
      <c r="L162" s="362">
        <v>0</v>
      </c>
      <c r="M162" s="362">
        <v>0</v>
      </c>
      <c r="N162" s="361">
        <f>'[5]Проф.с иными целями Пр.118'!D162</f>
        <v>5480</v>
      </c>
      <c r="O162" s="363"/>
      <c r="P162" s="364"/>
      <c r="Q162" s="364"/>
    </row>
    <row r="163" spans="1:17" x14ac:dyDescent="0.25">
      <c r="A163" s="359">
        <v>143</v>
      </c>
      <c r="B163" s="359" t="s">
        <v>429</v>
      </c>
      <c r="C163" s="369" t="s">
        <v>862</v>
      </c>
      <c r="D163" s="361">
        <f t="shared" si="6"/>
        <v>2600</v>
      </c>
      <c r="E163" s="361">
        <f t="shared" si="7"/>
        <v>0</v>
      </c>
      <c r="F163" s="362">
        <v>0</v>
      </c>
      <c r="G163" s="362">
        <v>0</v>
      </c>
      <c r="H163" s="362">
        <v>0</v>
      </c>
      <c r="I163" s="362">
        <v>0</v>
      </c>
      <c r="J163" s="361">
        <f t="shared" si="8"/>
        <v>0</v>
      </c>
      <c r="K163" s="362">
        <v>0</v>
      </c>
      <c r="L163" s="362">
        <v>0</v>
      </c>
      <c r="M163" s="362">
        <v>0</v>
      </c>
      <c r="N163" s="361">
        <f>'[5]Проф.с иными целями Пр.118'!D163</f>
        <v>2600</v>
      </c>
      <c r="O163" s="363"/>
      <c r="P163" s="364"/>
      <c r="Q163" s="364"/>
    </row>
    <row r="164" spans="1:17" x14ac:dyDescent="0.25">
      <c r="A164" s="359">
        <v>144</v>
      </c>
      <c r="B164" s="359" t="s">
        <v>863</v>
      </c>
      <c r="C164" s="360" t="s">
        <v>864</v>
      </c>
      <c r="D164" s="361">
        <f t="shared" si="6"/>
        <v>640</v>
      </c>
      <c r="E164" s="361">
        <f t="shared" si="7"/>
        <v>0</v>
      </c>
      <c r="F164" s="362">
        <v>0</v>
      </c>
      <c r="G164" s="362">
        <v>0</v>
      </c>
      <c r="H164" s="362">
        <v>0</v>
      </c>
      <c r="I164" s="362">
        <v>0</v>
      </c>
      <c r="J164" s="361">
        <f t="shared" si="8"/>
        <v>0</v>
      </c>
      <c r="K164" s="362">
        <v>0</v>
      </c>
      <c r="L164" s="362">
        <v>0</v>
      </c>
      <c r="M164" s="362">
        <v>0</v>
      </c>
      <c r="N164" s="361">
        <f>'[5]Проф.с иными целями Пр.118'!D164</f>
        <v>640</v>
      </c>
      <c r="O164" s="363"/>
      <c r="P164" s="364"/>
      <c r="Q164" s="364"/>
    </row>
    <row r="165" spans="1:17" x14ac:dyDescent="0.25">
      <c r="A165" s="370"/>
      <c r="B165" s="370"/>
      <c r="C165" s="360" t="s">
        <v>78</v>
      </c>
      <c r="D165" s="361">
        <f t="shared" si="6"/>
        <v>299660</v>
      </c>
      <c r="E165" s="361">
        <f t="shared" si="7"/>
        <v>0</v>
      </c>
      <c r="F165" s="362">
        <v>0</v>
      </c>
      <c r="G165" s="362">
        <v>0</v>
      </c>
      <c r="H165" s="362">
        <v>0</v>
      </c>
      <c r="I165" s="362">
        <v>0</v>
      </c>
      <c r="J165" s="361">
        <f t="shared" si="8"/>
        <v>0</v>
      </c>
      <c r="K165" s="362">
        <v>0</v>
      </c>
      <c r="L165" s="362">
        <v>0</v>
      </c>
      <c r="M165" s="362">
        <v>0</v>
      </c>
      <c r="N165" s="361">
        <f>'[5]Проф.с иными целями Пр.118'!D165</f>
        <v>299660</v>
      </c>
      <c r="O165" s="363"/>
      <c r="P165" s="364"/>
      <c r="Q165" s="364"/>
    </row>
    <row r="166" spans="1:17" x14ac:dyDescent="0.25">
      <c r="A166" s="371"/>
      <c r="B166" s="371"/>
      <c r="C166" s="371" t="s">
        <v>8</v>
      </c>
      <c r="D166" s="372">
        <f>SUM(D10:D165)</f>
        <v>11801387</v>
      </c>
      <c r="E166" s="372">
        <f t="shared" ref="E166:N166" si="9">SUM(E10:E165)</f>
        <v>850857</v>
      </c>
      <c r="F166" s="372">
        <f t="shared" si="9"/>
        <v>49059</v>
      </c>
      <c r="G166" s="372">
        <f t="shared" si="9"/>
        <v>91089</v>
      </c>
      <c r="H166" s="372">
        <f t="shared" si="9"/>
        <v>282623</v>
      </c>
      <c r="I166" s="372">
        <f t="shared" si="9"/>
        <v>428086</v>
      </c>
      <c r="J166" s="372">
        <f t="shared" si="9"/>
        <v>609432</v>
      </c>
      <c r="K166" s="372">
        <f t="shared" si="9"/>
        <v>181813</v>
      </c>
      <c r="L166" s="372">
        <f t="shared" si="9"/>
        <v>416128</v>
      </c>
      <c r="M166" s="372">
        <f t="shared" si="9"/>
        <v>11491</v>
      </c>
      <c r="N166" s="372">
        <f t="shared" si="9"/>
        <v>10341098</v>
      </c>
      <c r="O166" s="363"/>
      <c r="P166" s="364"/>
      <c r="Q166" s="364"/>
    </row>
    <row r="167" spans="1:17" x14ac:dyDescent="0.25">
      <c r="E167" s="364"/>
    </row>
    <row r="169" spans="1:17" x14ac:dyDescent="0.25">
      <c r="I169" s="364"/>
    </row>
    <row r="170" spans="1:17" x14ac:dyDescent="0.25">
      <c r="I170" s="364"/>
    </row>
    <row r="171" spans="1:17" x14ac:dyDescent="0.25">
      <c r="I171" s="364"/>
    </row>
    <row r="172" spans="1:17" x14ac:dyDescent="0.25">
      <c r="I172" s="364"/>
    </row>
    <row r="173" spans="1:17" x14ac:dyDescent="0.25">
      <c r="I173" s="364"/>
    </row>
  </sheetData>
  <mergeCells count="27">
    <mergeCell ref="C1:N1"/>
    <mergeCell ref="A3:A8"/>
    <mergeCell ref="B3:B8"/>
    <mergeCell ref="C3:C8"/>
    <mergeCell ref="D3:D8"/>
    <mergeCell ref="E3:N3"/>
    <mergeCell ref="E4:I4"/>
    <mergeCell ref="J4:M4"/>
    <mergeCell ref="N4:N8"/>
    <mergeCell ref="E5:E8"/>
    <mergeCell ref="F5:I5"/>
    <mergeCell ref="J5:J8"/>
    <mergeCell ref="K5:M5"/>
    <mergeCell ref="F6:G7"/>
    <mergeCell ref="H6:I7"/>
    <mergeCell ref="K6:L6"/>
    <mergeCell ref="K7:L7"/>
    <mergeCell ref="A116:A117"/>
    <mergeCell ref="A155:A156"/>
    <mergeCell ref="A157:A158"/>
    <mergeCell ref="M6:M8"/>
    <mergeCell ref="A14:A15"/>
    <mergeCell ref="A36:A37"/>
    <mergeCell ref="A41:A42"/>
    <mergeCell ref="A47:A49"/>
    <mergeCell ref="A52:A53"/>
    <mergeCell ref="A111:A1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"/>
  <sheetViews>
    <sheetView workbookViewId="0">
      <pane xSplit="3" ySplit="9" topLeftCell="K10" activePane="bottomRight" state="frozen"/>
      <selection pane="topRight" activeCell="D1" sqref="D1"/>
      <selection pane="bottomLeft" activeCell="A10" sqref="A10"/>
      <selection pane="bottomRight" activeCell="H148" sqref="H148"/>
    </sheetView>
  </sheetViews>
  <sheetFormatPr defaultRowHeight="15" x14ac:dyDescent="0.25"/>
  <cols>
    <col min="1" max="1" width="4.28515625" style="1" customWidth="1"/>
    <col min="2" max="2" width="8.7109375" style="1" customWidth="1"/>
    <col min="3" max="3" width="32" style="1" customWidth="1"/>
    <col min="4" max="4" width="11.140625" style="314" customWidth="1"/>
    <col min="5" max="7" width="11" style="314" customWidth="1"/>
    <col min="8" max="8" width="13.42578125" style="314" customWidth="1"/>
    <col min="9" max="9" width="11.140625" style="314" customWidth="1"/>
    <col min="10" max="10" width="12.28515625" style="314" customWidth="1"/>
    <col min="11" max="11" width="11.140625" style="314" customWidth="1"/>
    <col min="12" max="13" width="9.140625" style="314"/>
    <col min="14" max="14" width="11.28515625" style="314" customWidth="1"/>
    <col min="15" max="15" width="11.140625" style="314" customWidth="1"/>
    <col min="16" max="17" width="9.140625" style="314"/>
    <col min="18" max="18" width="12.28515625" style="314" customWidth="1"/>
    <col min="19" max="19" width="11.7109375" style="314" customWidth="1"/>
    <col min="20" max="21" width="11.42578125" style="314" customWidth="1"/>
    <col min="22" max="22" width="13.140625" style="314" customWidth="1"/>
    <col min="23" max="16384" width="9.140625" style="314"/>
  </cols>
  <sheetData>
    <row r="1" spans="1:22" ht="18.75" x14ac:dyDescent="0.25">
      <c r="A1" s="314"/>
      <c r="B1" s="314"/>
      <c r="C1" s="612" t="s">
        <v>865</v>
      </c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</row>
    <row r="2" spans="1:22" x14ac:dyDescent="0.25">
      <c r="A2" s="373"/>
      <c r="B2" s="373"/>
    </row>
    <row r="3" spans="1:22" x14ac:dyDescent="0.25">
      <c r="A3" s="606" t="s">
        <v>194</v>
      </c>
      <c r="B3" s="606" t="s">
        <v>13</v>
      </c>
      <c r="C3" s="606" t="s">
        <v>446</v>
      </c>
      <c r="D3" s="599" t="s">
        <v>866</v>
      </c>
      <c r="E3" s="613" t="s">
        <v>2</v>
      </c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0"/>
    </row>
    <row r="4" spans="1:22" ht="15" customHeight="1" x14ac:dyDescent="0.25">
      <c r="A4" s="607"/>
      <c r="B4" s="607"/>
      <c r="C4" s="607"/>
      <c r="D4" s="599"/>
      <c r="E4" s="599" t="s">
        <v>867</v>
      </c>
      <c r="F4" s="599"/>
      <c r="G4" s="601" t="s">
        <v>868</v>
      </c>
      <c r="H4" s="601"/>
      <c r="I4" s="602"/>
      <c r="J4" s="606" t="s">
        <v>869</v>
      </c>
      <c r="K4" s="600" t="s">
        <v>870</v>
      </c>
      <c r="L4" s="601"/>
      <c r="M4" s="601"/>
      <c r="N4" s="601"/>
      <c r="O4" s="601"/>
      <c r="P4" s="601"/>
      <c r="Q4" s="599" t="s">
        <v>871</v>
      </c>
      <c r="R4" s="599"/>
      <c r="S4" s="599"/>
      <c r="T4" s="600" t="s">
        <v>872</v>
      </c>
      <c r="U4" s="601"/>
      <c r="V4" s="602"/>
    </row>
    <row r="5" spans="1:22" ht="30.75" customHeight="1" x14ac:dyDescent="0.25">
      <c r="A5" s="607"/>
      <c r="B5" s="607"/>
      <c r="C5" s="607"/>
      <c r="D5" s="599"/>
      <c r="E5" s="599"/>
      <c r="F5" s="599"/>
      <c r="G5" s="604"/>
      <c r="H5" s="604"/>
      <c r="I5" s="605"/>
      <c r="J5" s="607"/>
      <c r="K5" s="603"/>
      <c r="L5" s="604"/>
      <c r="M5" s="604"/>
      <c r="N5" s="604"/>
      <c r="O5" s="604"/>
      <c r="P5" s="604"/>
      <c r="Q5" s="599"/>
      <c r="R5" s="599"/>
      <c r="S5" s="599"/>
      <c r="T5" s="603"/>
      <c r="U5" s="604"/>
      <c r="V5" s="605"/>
    </row>
    <row r="6" spans="1:22" x14ac:dyDescent="0.25">
      <c r="A6" s="607"/>
      <c r="B6" s="607"/>
      <c r="C6" s="607"/>
      <c r="D6" s="599"/>
      <c r="E6" s="599"/>
      <c r="F6" s="599"/>
      <c r="G6" s="601" t="s">
        <v>873</v>
      </c>
      <c r="H6" s="602"/>
      <c r="I6" s="599" t="s">
        <v>874</v>
      </c>
      <c r="J6" s="607"/>
      <c r="K6" s="606" t="s">
        <v>874</v>
      </c>
      <c r="L6" s="609" t="s">
        <v>875</v>
      </c>
      <c r="M6" s="610"/>
      <c r="N6" s="601" t="s">
        <v>873</v>
      </c>
      <c r="O6" s="602"/>
      <c r="P6" s="600" t="s">
        <v>876</v>
      </c>
      <c r="Q6" s="599" t="s">
        <v>874</v>
      </c>
      <c r="R6" s="599" t="s">
        <v>873</v>
      </c>
      <c r="S6" s="599"/>
      <c r="T6" s="606" t="s">
        <v>874</v>
      </c>
      <c r="U6" s="599" t="s">
        <v>873</v>
      </c>
      <c r="V6" s="599"/>
    </row>
    <row r="7" spans="1:22" x14ac:dyDescent="0.25">
      <c r="A7" s="607"/>
      <c r="B7" s="607"/>
      <c r="C7" s="607"/>
      <c r="D7" s="599"/>
      <c r="E7" s="599"/>
      <c r="F7" s="599"/>
      <c r="G7" s="604"/>
      <c r="H7" s="605"/>
      <c r="I7" s="599"/>
      <c r="J7" s="607"/>
      <c r="K7" s="607"/>
      <c r="L7" s="606" t="s">
        <v>877</v>
      </c>
      <c r="M7" s="606" t="s">
        <v>878</v>
      </c>
      <c r="N7" s="604"/>
      <c r="O7" s="605"/>
      <c r="P7" s="611"/>
      <c r="Q7" s="599"/>
      <c r="R7" s="599"/>
      <c r="S7" s="599"/>
      <c r="T7" s="607"/>
      <c r="U7" s="599"/>
      <c r="V7" s="599"/>
    </row>
    <row r="8" spans="1:22" ht="45" x14ac:dyDescent="0.25">
      <c r="A8" s="608"/>
      <c r="B8" s="608"/>
      <c r="C8" s="608"/>
      <c r="D8" s="599"/>
      <c r="E8" s="374" t="s">
        <v>850</v>
      </c>
      <c r="F8" s="374" t="s">
        <v>555</v>
      </c>
      <c r="G8" s="375" t="s">
        <v>554</v>
      </c>
      <c r="H8" s="374" t="s">
        <v>555</v>
      </c>
      <c r="I8" s="599"/>
      <c r="J8" s="608"/>
      <c r="K8" s="608"/>
      <c r="L8" s="608"/>
      <c r="M8" s="608"/>
      <c r="N8" s="376" t="s">
        <v>554</v>
      </c>
      <c r="O8" s="376" t="s">
        <v>555</v>
      </c>
      <c r="P8" s="603"/>
      <c r="Q8" s="599"/>
      <c r="R8" s="374" t="s">
        <v>554</v>
      </c>
      <c r="S8" s="374" t="s">
        <v>555</v>
      </c>
      <c r="T8" s="608"/>
      <c r="U8" s="374" t="s">
        <v>554</v>
      </c>
      <c r="V8" s="374" t="s">
        <v>555</v>
      </c>
    </row>
    <row r="9" spans="1:22" x14ac:dyDescent="0.25">
      <c r="A9" s="374">
        <v>1</v>
      </c>
      <c r="B9" s="374">
        <v>2</v>
      </c>
      <c r="C9" s="374">
        <v>3</v>
      </c>
      <c r="D9" s="374">
        <v>4</v>
      </c>
      <c r="E9" s="374">
        <v>5</v>
      </c>
      <c r="F9" s="374">
        <v>6</v>
      </c>
      <c r="G9" s="374">
        <v>7</v>
      </c>
      <c r="H9" s="374">
        <v>8</v>
      </c>
      <c r="I9" s="374">
        <v>9</v>
      </c>
      <c r="J9" s="374">
        <v>10</v>
      </c>
      <c r="K9" s="374">
        <v>11</v>
      </c>
      <c r="L9" s="374">
        <v>12</v>
      </c>
      <c r="M9" s="374">
        <v>13</v>
      </c>
      <c r="N9" s="374">
        <v>14</v>
      </c>
      <c r="O9" s="374">
        <v>15</v>
      </c>
      <c r="P9" s="374">
        <v>16</v>
      </c>
      <c r="Q9" s="374">
        <v>17</v>
      </c>
      <c r="R9" s="374">
        <v>18</v>
      </c>
      <c r="S9" s="374">
        <v>19</v>
      </c>
      <c r="T9" s="374">
        <v>20</v>
      </c>
      <c r="U9" s="374">
        <v>21</v>
      </c>
      <c r="V9" s="374">
        <v>22</v>
      </c>
    </row>
    <row r="10" spans="1:22" x14ac:dyDescent="0.25">
      <c r="A10" s="377">
        <v>1</v>
      </c>
      <c r="B10" s="377" t="s">
        <v>225</v>
      </c>
      <c r="C10" s="378" t="s">
        <v>110</v>
      </c>
      <c r="D10" s="379">
        <f>E10+F10+G10+H10+I10+J10+K10+L10+M10+N10+O10+P10+Q10+R10+S10+T10+U10+V10</f>
        <v>134795</v>
      </c>
      <c r="E10" s="380">
        <v>693</v>
      </c>
      <c r="F10" s="381">
        <v>1418</v>
      </c>
      <c r="G10" s="379">
        <v>1997</v>
      </c>
      <c r="H10" s="379">
        <v>49755</v>
      </c>
      <c r="I10" s="379">
        <v>0</v>
      </c>
      <c r="J10" s="379">
        <v>8225</v>
      </c>
      <c r="K10" s="379">
        <v>0</v>
      </c>
      <c r="L10" s="379">
        <v>1025</v>
      </c>
      <c r="M10" s="379">
        <v>439</v>
      </c>
      <c r="N10" s="379">
        <v>4848</v>
      </c>
      <c r="O10" s="379">
        <v>27349</v>
      </c>
      <c r="P10" s="379">
        <v>0</v>
      </c>
      <c r="Q10" s="379">
        <v>0</v>
      </c>
      <c r="R10" s="379">
        <v>1126</v>
      </c>
      <c r="S10" s="379">
        <v>12300</v>
      </c>
      <c r="T10" s="379">
        <v>0</v>
      </c>
      <c r="U10" s="379">
        <v>3749</v>
      </c>
      <c r="V10" s="379">
        <v>21871</v>
      </c>
    </row>
    <row r="11" spans="1:22" ht="25.5" x14ac:dyDescent="0.25">
      <c r="A11" s="377">
        <v>2</v>
      </c>
      <c r="B11" s="377" t="s">
        <v>556</v>
      </c>
      <c r="C11" s="378" t="s">
        <v>557</v>
      </c>
      <c r="D11" s="379">
        <f t="shared" ref="D11:D74" si="0">E11+F11+G11+H11+I11+J11+K11+L11+M11+N11+O11+P11+Q11+R11+S11+T11+U11+V11</f>
        <v>1403</v>
      </c>
      <c r="E11" s="380">
        <v>0</v>
      </c>
      <c r="F11" s="380">
        <v>0</v>
      </c>
      <c r="G11" s="379">
        <v>0</v>
      </c>
      <c r="H11" s="379">
        <v>0</v>
      </c>
      <c r="I11" s="379">
        <v>0</v>
      </c>
      <c r="J11" s="379">
        <v>0</v>
      </c>
      <c r="K11" s="379">
        <v>1029</v>
      </c>
      <c r="L11" s="379">
        <v>0</v>
      </c>
      <c r="M11" s="379">
        <v>0</v>
      </c>
      <c r="N11" s="379">
        <v>0</v>
      </c>
      <c r="O11" s="379">
        <v>0</v>
      </c>
      <c r="P11" s="379">
        <v>0</v>
      </c>
      <c r="Q11" s="379">
        <v>374</v>
      </c>
      <c r="R11" s="379">
        <v>0</v>
      </c>
      <c r="S11" s="379">
        <v>0</v>
      </c>
      <c r="T11" s="379">
        <v>0</v>
      </c>
      <c r="U11" s="379">
        <v>0</v>
      </c>
      <c r="V11" s="379">
        <v>0</v>
      </c>
    </row>
    <row r="12" spans="1:22" x14ac:dyDescent="0.25">
      <c r="A12" s="377">
        <v>3</v>
      </c>
      <c r="B12" s="377" t="s">
        <v>251</v>
      </c>
      <c r="C12" s="382" t="s">
        <v>108</v>
      </c>
      <c r="D12" s="379">
        <f t="shared" si="0"/>
        <v>134339</v>
      </c>
      <c r="E12" s="380">
        <v>585</v>
      </c>
      <c r="F12" s="381">
        <v>1567</v>
      </c>
      <c r="G12" s="379">
        <v>1903</v>
      </c>
      <c r="H12" s="379">
        <v>45959</v>
      </c>
      <c r="I12" s="379">
        <v>0</v>
      </c>
      <c r="J12" s="379">
        <v>7186</v>
      </c>
      <c r="K12" s="379">
        <v>0</v>
      </c>
      <c r="L12" s="379">
        <v>1025</v>
      </c>
      <c r="M12" s="379">
        <v>439</v>
      </c>
      <c r="N12" s="379">
        <v>7866</v>
      </c>
      <c r="O12" s="379">
        <v>44966</v>
      </c>
      <c r="P12" s="379">
        <v>156</v>
      </c>
      <c r="Q12" s="379">
        <v>0</v>
      </c>
      <c r="R12" s="379">
        <v>2515</v>
      </c>
      <c r="S12" s="379">
        <v>2294</v>
      </c>
      <c r="T12" s="379">
        <v>0</v>
      </c>
      <c r="U12" s="379">
        <v>3555</v>
      </c>
      <c r="V12" s="379">
        <v>14323</v>
      </c>
    </row>
    <row r="13" spans="1:22" x14ac:dyDescent="0.25">
      <c r="A13" s="377">
        <v>4</v>
      </c>
      <c r="B13" s="377" t="s">
        <v>558</v>
      </c>
      <c r="C13" s="382" t="s">
        <v>559</v>
      </c>
      <c r="D13" s="379">
        <f t="shared" si="0"/>
        <v>1297</v>
      </c>
      <c r="E13" s="380">
        <v>0</v>
      </c>
      <c r="F13" s="380">
        <v>0</v>
      </c>
      <c r="G13" s="379">
        <v>0</v>
      </c>
      <c r="H13" s="379">
        <v>0</v>
      </c>
      <c r="I13" s="379">
        <v>0</v>
      </c>
      <c r="J13" s="379">
        <v>0</v>
      </c>
      <c r="K13" s="379">
        <v>812</v>
      </c>
      <c r="L13" s="379">
        <v>0</v>
      </c>
      <c r="M13" s="379">
        <v>0</v>
      </c>
      <c r="N13" s="379">
        <v>0</v>
      </c>
      <c r="O13" s="379">
        <v>0</v>
      </c>
      <c r="P13" s="379">
        <v>0</v>
      </c>
      <c r="Q13" s="379">
        <v>61</v>
      </c>
      <c r="R13" s="379">
        <v>0</v>
      </c>
      <c r="S13" s="379">
        <v>0</v>
      </c>
      <c r="T13" s="379">
        <v>424</v>
      </c>
      <c r="U13" s="379">
        <v>0</v>
      </c>
      <c r="V13" s="379">
        <v>0</v>
      </c>
    </row>
    <row r="14" spans="1:22" x14ac:dyDescent="0.25">
      <c r="A14" s="595">
        <v>5</v>
      </c>
      <c r="B14" s="383" t="s">
        <v>19</v>
      </c>
      <c r="C14" s="322" t="s">
        <v>3</v>
      </c>
      <c r="D14" s="379">
        <f t="shared" si="0"/>
        <v>315145</v>
      </c>
      <c r="E14" s="381">
        <v>2010</v>
      </c>
      <c r="F14" s="381">
        <v>2996</v>
      </c>
      <c r="G14" s="379">
        <v>7059</v>
      </c>
      <c r="H14" s="379">
        <v>97417</v>
      </c>
      <c r="I14" s="379">
        <v>0</v>
      </c>
      <c r="J14" s="379">
        <v>13874</v>
      </c>
      <c r="K14" s="379">
        <v>0</v>
      </c>
      <c r="L14" s="379">
        <v>1025</v>
      </c>
      <c r="M14" s="379">
        <v>439</v>
      </c>
      <c r="N14" s="379">
        <v>29412</v>
      </c>
      <c r="O14" s="379">
        <v>88361</v>
      </c>
      <c r="P14" s="379">
        <v>0</v>
      </c>
      <c r="Q14" s="379">
        <v>0</v>
      </c>
      <c r="R14" s="379">
        <v>5372</v>
      </c>
      <c r="S14" s="379">
        <v>1340</v>
      </c>
      <c r="T14" s="379">
        <v>0</v>
      </c>
      <c r="U14" s="379">
        <v>16698</v>
      </c>
      <c r="V14" s="379">
        <v>49142</v>
      </c>
    </row>
    <row r="15" spans="1:22" ht="51" x14ac:dyDescent="0.25">
      <c r="A15" s="596"/>
      <c r="B15" s="384" t="s">
        <v>283</v>
      </c>
      <c r="C15" s="323" t="s">
        <v>560</v>
      </c>
      <c r="D15" s="379">
        <f t="shared" si="0"/>
        <v>40884</v>
      </c>
      <c r="E15" s="380">
        <v>289</v>
      </c>
      <c r="F15" s="380">
        <v>404</v>
      </c>
      <c r="G15" s="379">
        <v>746</v>
      </c>
      <c r="H15" s="379">
        <v>12809</v>
      </c>
      <c r="I15" s="379">
        <v>0</v>
      </c>
      <c r="J15" s="379">
        <v>0</v>
      </c>
      <c r="K15" s="379">
        <v>0</v>
      </c>
      <c r="L15" s="379">
        <v>0</v>
      </c>
      <c r="M15" s="379">
        <v>0</v>
      </c>
      <c r="N15" s="379">
        <v>1931</v>
      </c>
      <c r="O15" s="379">
        <v>9932</v>
      </c>
      <c r="P15" s="379">
        <v>0</v>
      </c>
      <c r="Q15" s="379">
        <v>0</v>
      </c>
      <c r="R15" s="379">
        <v>4108</v>
      </c>
      <c r="S15" s="379">
        <v>0</v>
      </c>
      <c r="T15" s="379">
        <v>0</v>
      </c>
      <c r="U15" s="379">
        <v>1215</v>
      </c>
      <c r="V15" s="379">
        <v>9450</v>
      </c>
    </row>
    <row r="16" spans="1:22" x14ac:dyDescent="0.25">
      <c r="A16" s="377">
        <v>6</v>
      </c>
      <c r="B16" s="377" t="s">
        <v>282</v>
      </c>
      <c r="C16" s="382" t="s">
        <v>143</v>
      </c>
      <c r="D16" s="379">
        <f t="shared" si="0"/>
        <v>98323</v>
      </c>
      <c r="E16" s="380">
        <v>494</v>
      </c>
      <c r="F16" s="381">
        <v>1150</v>
      </c>
      <c r="G16" s="379">
        <v>5916</v>
      </c>
      <c r="H16" s="379">
        <v>27945</v>
      </c>
      <c r="I16" s="379">
        <v>0</v>
      </c>
      <c r="J16" s="379">
        <v>0</v>
      </c>
      <c r="K16" s="379">
        <v>0</v>
      </c>
      <c r="L16" s="379">
        <v>1025</v>
      </c>
      <c r="M16" s="379">
        <v>439</v>
      </c>
      <c r="N16" s="379">
        <v>8240</v>
      </c>
      <c r="O16" s="379">
        <v>30984</v>
      </c>
      <c r="P16" s="379">
        <v>0</v>
      </c>
      <c r="Q16" s="379">
        <v>0</v>
      </c>
      <c r="R16" s="379">
        <v>0</v>
      </c>
      <c r="S16" s="379">
        <v>7111</v>
      </c>
      <c r="T16" s="379">
        <v>0</v>
      </c>
      <c r="U16" s="379">
        <v>1203</v>
      </c>
      <c r="V16" s="379">
        <v>13816</v>
      </c>
    </row>
    <row r="17" spans="1:22" x14ac:dyDescent="0.25">
      <c r="A17" s="377">
        <v>7</v>
      </c>
      <c r="B17" s="377" t="s">
        <v>218</v>
      </c>
      <c r="C17" s="382" t="s">
        <v>181</v>
      </c>
      <c r="D17" s="379">
        <f t="shared" si="0"/>
        <v>41931</v>
      </c>
      <c r="E17" s="380">
        <v>298</v>
      </c>
      <c r="F17" s="380">
        <v>416</v>
      </c>
      <c r="G17" s="379">
        <v>1753</v>
      </c>
      <c r="H17" s="379">
        <v>22555</v>
      </c>
      <c r="I17" s="379">
        <v>0</v>
      </c>
      <c r="J17" s="379">
        <v>0</v>
      </c>
      <c r="K17" s="379">
        <v>0</v>
      </c>
      <c r="L17" s="379">
        <v>0</v>
      </c>
      <c r="M17" s="379">
        <v>0</v>
      </c>
      <c r="N17" s="379">
        <v>5972</v>
      </c>
      <c r="O17" s="379">
        <v>7209</v>
      </c>
      <c r="P17" s="379">
        <v>0</v>
      </c>
      <c r="Q17" s="379">
        <v>0</v>
      </c>
      <c r="R17" s="379">
        <v>0</v>
      </c>
      <c r="S17" s="379">
        <v>1052</v>
      </c>
      <c r="T17" s="379">
        <v>0</v>
      </c>
      <c r="U17" s="379">
        <v>389</v>
      </c>
      <c r="V17" s="379">
        <v>2287</v>
      </c>
    </row>
    <row r="18" spans="1:22" x14ac:dyDescent="0.25">
      <c r="A18" s="377">
        <v>8</v>
      </c>
      <c r="B18" s="377" t="s">
        <v>221</v>
      </c>
      <c r="C18" s="382" t="s">
        <v>178</v>
      </c>
      <c r="D18" s="379">
        <f t="shared" si="0"/>
        <v>43971</v>
      </c>
      <c r="E18" s="380">
        <v>217</v>
      </c>
      <c r="F18" s="380">
        <v>525</v>
      </c>
      <c r="G18" s="379">
        <v>770</v>
      </c>
      <c r="H18" s="379">
        <v>14312</v>
      </c>
      <c r="I18" s="379">
        <v>0</v>
      </c>
      <c r="J18" s="379">
        <v>0</v>
      </c>
      <c r="K18" s="379">
        <v>0</v>
      </c>
      <c r="L18" s="379">
        <v>1025</v>
      </c>
      <c r="M18" s="379">
        <v>439</v>
      </c>
      <c r="N18" s="379">
        <v>6886</v>
      </c>
      <c r="O18" s="379">
        <v>9496</v>
      </c>
      <c r="P18" s="379">
        <v>0</v>
      </c>
      <c r="Q18" s="379">
        <v>0</v>
      </c>
      <c r="R18" s="379">
        <v>0</v>
      </c>
      <c r="S18" s="379">
        <v>3295</v>
      </c>
      <c r="T18" s="379">
        <v>0</v>
      </c>
      <c r="U18" s="379">
        <v>500</v>
      </c>
      <c r="V18" s="379">
        <v>6506</v>
      </c>
    </row>
    <row r="19" spans="1:22" x14ac:dyDescent="0.25">
      <c r="A19" s="377">
        <v>9</v>
      </c>
      <c r="B19" s="377" t="s">
        <v>229</v>
      </c>
      <c r="C19" s="382" t="s">
        <v>172</v>
      </c>
      <c r="D19" s="379">
        <f t="shared" si="0"/>
        <v>47619</v>
      </c>
      <c r="E19" s="380">
        <v>285</v>
      </c>
      <c r="F19" s="380">
        <v>562</v>
      </c>
      <c r="G19" s="379">
        <v>774</v>
      </c>
      <c r="H19" s="379">
        <v>16045</v>
      </c>
      <c r="I19" s="379">
        <v>0</v>
      </c>
      <c r="J19" s="379">
        <v>0</v>
      </c>
      <c r="K19" s="379">
        <v>0</v>
      </c>
      <c r="L19" s="379">
        <v>0</v>
      </c>
      <c r="M19" s="379">
        <v>0</v>
      </c>
      <c r="N19" s="379">
        <v>2481</v>
      </c>
      <c r="O19" s="379">
        <v>13233</v>
      </c>
      <c r="P19" s="379">
        <v>0</v>
      </c>
      <c r="Q19" s="379">
        <v>0</v>
      </c>
      <c r="R19" s="379">
        <v>2892</v>
      </c>
      <c r="S19" s="379">
        <v>4750</v>
      </c>
      <c r="T19" s="379">
        <v>0</v>
      </c>
      <c r="U19" s="379">
        <v>1488</v>
      </c>
      <c r="V19" s="379">
        <v>5109</v>
      </c>
    </row>
    <row r="20" spans="1:22" x14ac:dyDescent="0.25">
      <c r="A20" s="377">
        <v>10</v>
      </c>
      <c r="B20" s="377" t="s">
        <v>231</v>
      </c>
      <c r="C20" s="382" t="s">
        <v>170</v>
      </c>
      <c r="D20" s="379">
        <f t="shared" si="0"/>
        <v>50929</v>
      </c>
      <c r="E20" s="380">
        <v>347</v>
      </c>
      <c r="F20" s="380">
        <v>520</v>
      </c>
      <c r="G20" s="379">
        <v>2543</v>
      </c>
      <c r="H20" s="379">
        <v>13032</v>
      </c>
      <c r="I20" s="379">
        <v>0</v>
      </c>
      <c r="J20" s="379">
        <v>0</v>
      </c>
      <c r="K20" s="379">
        <v>0</v>
      </c>
      <c r="L20" s="379">
        <v>0</v>
      </c>
      <c r="M20" s="379">
        <v>0</v>
      </c>
      <c r="N20" s="379">
        <v>6231</v>
      </c>
      <c r="O20" s="379">
        <v>15226</v>
      </c>
      <c r="P20" s="379">
        <v>0</v>
      </c>
      <c r="Q20" s="379">
        <v>0</v>
      </c>
      <c r="R20" s="379">
        <v>1500</v>
      </c>
      <c r="S20" s="379">
        <v>5118</v>
      </c>
      <c r="T20" s="379">
        <v>0</v>
      </c>
      <c r="U20" s="379">
        <v>444</v>
      </c>
      <c r="V20" s="379">
        <v>5968</v>
      </c>
    </row>
    <row r="21" spans="1:22" x14ac:dyDescent="0.25">
      <c r="A21" s="377">
        <v>11</v>
      </c>
      <c r="B21" s="377" t="s">
        <v>257</v>
      </c>
      <c r="C21" s="322" t="s">
        <v>163</v>
      </c>
      <c r="D21" s="379">
        <f t="shared" si="0"/>
        <v>52970</v>
      </c>
      <c r="E21" s="380">
        <v>299</v>
      </c>
      <c r="F21" s="380">
        <v>599</v>
      </c>
      <c r="G21" s="379">
        <v>1007</v>
      </c>
      <c r="H21" s="379">
        <v>16423</v>
      </c>
      <c r="I21" s="379">
        <v>0</v>
      </c>
      <c r="J21" s="379">
        <v>0</v>
      </c>
      <c r="K21" s="379">
        <v>0</v>
      </c>
      <c r="L21" s="379">
        <v>0</v>
      </c>
      <c r="M21" s="379">
        <v>0</v>
      </c>
      <c r="N21" s="379">
        <v>2665</v>
      </c>
      <c r="O21" s="379">
        <v>16943</v>
      </c>
      <c r="P21" s="379">
        <v>0</v>
      </c>
      <c r="Q21" s="379">
        <v>0</v>
      </c>
      <c r="R21" s="379">
        <v>1488</v>
      </c>
      <c r="S21" s="379">
        <v>810</v>
      </c>
      <c r="T21" s="379">
        <v>0</v>
      </c>
      <c r="U21" s="379">
        <v>4287</v>
      </c>
      <c r="V21" s="379">
        <v>8449</v>
      </c>
    </row>
    <row r="22" spans="1:22" x14ac:dyDescent="0.25">
      <c r="A22" s="377">
        <v>12</v>
      </c>
      <c r="B22" s="377" t="s">
        <v>258</v>
      </c>
      <c r="C22" s="382" t="s">
        <v>162</v>
      </c>
      <c r="D22" s="379">
        <f t="shared" si="0"/>
        <v>49970</v>
      </c>
      <c r="E22" s="380">
        <v>183</v>
      </c>
      <c r="F22" s="380">
        <v>661</v>
      </c>
      <c r="G22" s="379">
        <v>1716</v>
      </c>
      <c r="H22" s="379">
        <v>17212</v>
      </c>
      <c r="I22" s="379">
        <v>0</v>
      </c>
      <c r="J22" s="379">
        <v>0</v>
      </c>
      <c r="K22" s="379">
        <v>0</v>
      </c>
      <c r="L22" s="379">
        <v>1025</v>
      </c>
      <c r="M22" s="379">
        <v>439</v>
      </c>
      <c r="N22" s="379">
        <v>5011</v>
      </c>
      <c r="O22" s="379">
        <v>13155</v>
      </c>
      <c r="P22" s="379">
        <v>0</v>
      </c>
      <c r="Q22" s="379">
        <v>0</v>
      </c>
      <c r="R22" s="379">
        <v>0</v>
      </c>
      <c r="S22" s="379">
        <v>1020</v>
      </c>
      <c r="T22" s="379">
        <v>0</v>
      </c>
      <c r="U22" s="379">
        <v>2328</v>
      </c>
      <c r="V22" s="379">
        <v>7220</v>
      </c>
    </row>
    <row r="23" spans="1:22" x14ac:dyDescent="0.25">
      <c r="A23" s="377">
        <v>13</v>
      </c>
      <c r="B23" s="377" t="s">
        <v>261</v>
      </c>
      <c r="C23" s="322" t="s">
        <v>159</v>
      </c>
      <c r="D23" s="379">
        <f t="shared" si="0"/>
        <v>59397</v>
      </c>
      <c r="E23" s="380">
        <v>311</v>
      </c>
      <c r="F23" s="380">
        <v>721</v>
      </c>
      <c r="G23" s="379">
        <v>378</v>
      </c>
      <c r="H23" s="379">
        <v>11246</v>
      </c>
      <c r="I23" s="379">
        <v>0</v>
      </c>
      <c r="J23" s="379">
        <v>0</v>
      </c>
      <c r="K23" s="379">
        <v>0</v>
      </c>
      <c r="L23" s="379">
        <v>0</v>
      </c>
      <c r="M23" s="379">
        <v>0</v>
      </c>
      <c r="N23" s="379">
        <v>8403</v>
      </c>
      <c r="O23" s="379">
        <v>11826</v>
      </c>
      <c r="P23" s="379">
        <v>0</v>
      </c>
      <c r="Q23" s="379">
        <v>0</v>
      </c>
      <c r="R23" s="379">
        <v>1500</v>
      </c>
      <c r="S23" s="379">
        <v>4841</v>
      </c>
      <c r="T23" s="379">
        <v>0</v>
      </c>
      <c r="U23" s="379">
        <v>4401</v>
      </c>
      <c r="V23" s="379">
        <v>15770</v>
      </c>
    </row>
    <row r="24" spans="1:22" x14ac:dyDescent="0.25">
      <c r="A24" s="377">
        <v>14</v>
      </c>
      <c r="B24" s="377" t="s">
        <v>267</v>
      </c>
      <c r="C24" s="382" t="s">
        <v>155</v>
      </c>
      <c r="D24" s="379">
        <f t="shared" si="0"/>
        <v>47782</v>
      </c>
      <c r="E24" s="380">
        <v>263</v>
      </c>
      <c r="F24" s="380">
        <v>539</v>
      </c>
      <c r="G24" s="379">
        <v>590</v>
      </c>
      <c r="H24" s="379">
        <v>15049</v>
      </c>
      <c r="I24" s="379">
        <v>0</v>
      </c>
      <c r="J24" s="379">
        <v>0</v>
      </c>
      <c r="K24" s="379">
        <v>0</v>
      </c>
      <c r="L24" s="379">
        <v>0</v>
      </c>
      <c r="M24" s="379">
        <v>0</v>
      </c>
      <c r="N24" s="379">
        <v>1200</v>
      </c>
      <c r="O24" s="379">
        <v>12709</v>
      </c>
      <c r="P24" s="379">
        <v>0</v>
      </c>
      <c r="Q24" s="379">
        <v>0</v>
      </c>
      <c r="R24" s="379">
        <v>900</v>
      </c>
      <c r="S24" s="379">
        <v>4841</v>
      </c>
      <c r="T24" s="379">
        <v>0</v>
      </c>
      <c r="U24" s="379">
        <v>4310</v>
      </c>
      <c r="V24" s="379">
        <v>7381</v>
      </c>
    </row>
    <row r="25" spans="1:22" x14ac:dyDescent="0.25">
      <c r="A25" s="377">
        <v>15</v>
      </c>
      <c r="B25" s="377" t="s">
        <v>569</v>
      </c>
      <c r="C25" s="382" t="s">
        <v>570</v>
      </c>
      <c r="D25" s="379">
        <f t="shared" si="0"/>
        <v>6</v>
      </c>
      <c r="E25" s="380">
        <v>0</v>
      </c>
      <c r="F25" s="380">
        <v>0</v>
      </c>
      <c r="G25" s="379">
        <v>0</v>
      </c>
      <c r="H25" s="379">
        <v>0</v>
      </c>
      <c r="I25" s="379">
        <v>0</v>
      </c>
      <c r="J25" s="379">
        <v>0</v>
      </c>
      <c r="K25" s="379">
        <v>6</v>
      </c>
      <c r="L25" s="379">
        <v>0</v>
      </c>
      <c r="M25" s="379">
        <v>0</v>
      </c>
      <c r="N25" s="379">
        <v>0</v>
      </c>
      <c r="O25" s="379">
        <v>0</v>
      </c>
      <c r="P25" s="379">
        <v>0</v>
      </c>
      <c r="Q25" s="379">
        <v>0</v>
      </c>
      <c r="R25" s="379">
        <v>0</v>
      </c>
      <c r="S25" s="379">
        <v>0</v>
      </c>
      <c r="T25" s="379">
        <v>0</v>
      </c>
      <c r="U25" s="379">
        <v>0</v>
      </c>
      <c r="V25" s="379">
        <v>0</v>
      </c>
    </row>
    <row r="26" spans="1:22" x14ac:dyDescent="0.25">
      <c r="A26" s="377">
        <v>16</v>
      </c>
      <c r="B26" s="377" t="s">
        <v>277</v>
      </c>
      <c r="C26" s="382" t="s">
        <v>104</v>
      </c>
      <c r="D26" s="379">
        <f t="shared" si="0"/>
        <v>141873</v>
      </c>
      <c r="E26" s="380">
        <v>482</v>
      </c>
      <c r="F26" s="381">
        <v>1711</v>
      </c>
      <c r="G26" s="379">
        <v>3285</v>
      </c>
      <c r="H26" s="379">
        <v>29189</v>
      </c>
      <c r="I26" s="379">
        <v>0</v>
      </c>
      <c r="J26" s="379">
        <v>8103</v>
      </c>
      <c r="K26" s="379">
        <v>0</v>
      </c>
      <c r="L26" s="379">
        <v>1025</v>
      </c>
      <c r="M26" s="379">
        <v>439</v>
      </c>
      <c r="N26" s="379">
        <v>9590</v>
      </c>
      <c r="O26" s="379">
        <v>45243</v>
      </c>
      <c r="P26" s="379">
        <v>0</v>
      </c>
      <c r="Q26" s="379">
        <v>0</v>
      </c>
      <c r="R26" s="379">
        <v>3437</v>
      </c>
      <c r="S26" s="379">
        <v>7500</v>
      </c>
      <c r="T26" s="379">
        <v>0</v>
      </c>
      <c r="U26" s="379">
        <v>3672</v>
      </c>
      <c r="V26" s="379">
        <v>28197</v>
      </c>
    </row>
    <row r="27" spans="1:22" ht="25.5" x14ac:dyDescent="0.25">
      <c r="A27" s="377">
        <v>17</v>
      </c>
      <c r="B27" s="377" t="s">
        <v>578</v>
      </c>
      <c r="C27" s="326" t="s">
        <v>579</v>
      </c>
      <c r="D27" s="379">
        <f t="shared" si="0"/>
        <v>2391</v>
      </c>
      <c r="E27" s="380">
        <v>0</v>
      </c>
      <c r="F27" s="380">
        <v>0</v>
      </c>
      <c r="G27" s="379">
        <v>0</v>
      </c>
      <c r="H27" s="379">
        <v>0</v>
      </c>
      <c r="I27" s="379">
        <v>0</v>
      </c>
      <c r="J27" s="379">
        <v>0</v>
      </c>
      <c r="K27" s="379">
        <v>1093</v>
      </c>
      <c r="L27" s="379">
        <v>0</v>
      </c>
      <c r="M27" s="379">
        <v>0</v>
      </c>
      <c r="N27" s="379">
        <v>0</v>
      </c>
      <c r="O27" s="379">
        <v>0</v>
      </c>
      <c r="P27" s="379">
        <v>0</v>
      </c>
      <c r="Q27" s="379">
        <v>773</v>
      </c>
      <c r="R27" s="379">
        <v>0</v>
      </c>
      <c r="S27" s="379">
        <v>0</v>
      </c>
      <c r="T27" s="379">
        <v>525</v>
      </c>
      <c r="U27" s="379">
        <v>0</v>
      </c>
      <c r="V27" s="379">
        <v>0</v>
      </c>
    </row>
    <row r="28" spans="1:22" x14ac:dyDescent="0.25">
      <c r="A28" s="377">
        <v>18</v>
      </c>
      <c r="B28" s="377" t="s">
        <v>219</v>
      </c>
      <c r="C28" s="382" t="s">
        <v>180</v>
      </c>
      <c r="D28" s="379">
        <f t="shared" si="0"/>
        <v>119360</v>
      </c>
      <c r="E28" s="380">
        <v>750</v>
      </c>
      <c r="F28" s="381">
        <v>1158</v>
      </c>
      <c r="G28" s="379">
        <v>1738</v>
      </c>
      <c r="H28" s="379">
        <v>34980</v>
      </c>
      <c r="I28" s="379">
        <v>0</v>
      </c>
      <c r="J28" s="379">
        <v>0</v>
      </c>
      <c r="K28" s="379">
        <v>0</v>
      </c>
      <c r="L28" s="379">
        <v>0</v>
      </c>
      <c r="M28" s="379">
        <v>0</v>
      </c>
      <c r="N28" s="379">
        <v>18350</v>
      </c>
      <c r="O28" s="379">
        <v>29979</v>
      </c>
      <c r="P28" s="379">
        <v>0</v>
      </c>
      <c r="Q28" s="379">
        <v>0</v>
      </c>
      <c r="R28" s="379">
        <v>2586</v>
      </c>
      <c r="S28" s="379">
        <v>13648</v>
      </c>
      <c r="T28" s="379">
        <v>0</v>
      </c>
      <c r="U28" s="379">
        <v>779</v>
      </c>
      <c r="V28" s="379">
        <v>15392</v>
      </c>
    </row>
    <row r="29" spans="1:22" x14ac:dyDescent="0.25">
      <c r="A29" s="377">
        <v>19</v>
      </c>
      <c r="B29" s="377" t="s">
        <v>27</v>
      </c>
      <c r="C29" s="382" t="s">
        <v>4</v>
      </c>
      <c r="D29" s="379">
        <f t="shared" si="0"/>
        <v>235833</v>
      </c>
      <c r="E29" s="381">
        <v>1265</v>
      </c>
      <c r="F29" s="381">
        <v>2445</v>
      </c>
      <c r="G29" s="379">
        <v>8606</v>
      </c>
      <c r="H29" s="379">
        <v>85798</v>
      </c>
      <c r="I29" s="379">
        <v>0</v>
      </c>
      <c r="J29" s="379">
        <v>12290</v>
      </c>
      <c r="K29" s="379">
        <v>0</v>
      </c>
      <c r="L29" s="379">
        <v>1025</v>
      </c>
      <c r="M29" s="379">
        <v>439</v>
      </c>
      <c r="N29" s="379">
        <v>17496</v>
      </c>
      <c r="O29" s="379">
        <v>35093</v>
      </c>
      <c r="P29" s="379">
        <v>0</v>
      </c>
      <c r="Q29" s="379">
        <v>0</v>
      </c>
      <c r="R29" s="379">
        <v>0</v>
      </c>
      <c r="S29" s="379">
        <v>40000</v>
      </c>
      <c r="T29" s="379">
        <v>0</v>
      </c>
      <c r="U29" s="379">
        <v>10110</v>
      </c>
      <c r="V29" s="379">
        <v>21266</v>
      </c>
    </row>
    <row r="30" spans="1:22" x14ac:dyDescent="0.25">
      <c r="A30" s="377">
        <v>20</v>
      </c>
      <c r="B30" s="377" t="s">
        <v>275</v>
      </c>
      <c r="C30" s="382" t="s">
        <v>100</v>
      </c>
      <c r="D30" s="379">
        <f t="shared" si="0"/>
        <v>156323</v>
      </c>
      <c r="E30" s="381">
        <v>1064</v>
      </c>
      <c r="F30" s="381">
        <v>1517</v>
      </c>
      <c r="G30" s="379">
        <v>8527</v>
      </c>
      <c r="H30" s="379">
        <v>32482</v>
      </c>
      <c r="I30" s="379">
        <v>0</v>
      </c>
      <c r="J30" s="379">
        <v>0</v>
      </c>
      <c r="K30" s="379">
        <v>0</v>
      </c>
      <c r="L30" s="379">
        <v>1025</v>
      </c>
      <c r="M30" s="379">
        <v>439</v>
      </c>
      <c r="N30" s="379">
        <v>14368</v>
      </c>
      <c r="O30" s="379">
        <v>41027</v>
      </c>
      <c r="P30" s="379">
        <v>0</v>
      </c>
      <c r="Q30" s="379">
        <v>0</v>
      </c>
      <c r="R30" s="379">
        <v>2000</v>
      </c>
      <c r="S30" s="379">
        <v>15019</v>
      </c>
      <c r="T30" s="379">
        <v>0</v>
      </c>
      <c r="U30" s="379">
        <v>5685</v>
      </c>
      <c r="V30" s="379">
        <v>33170</v>
      </c>
    </row>
    <row r="31" spans="1:22" x14ac:dyDescent="0.25">
      <c r="A31" s="377">
        <v>21</v>
      </c>
      <c r="B31" s="377" t="s">
        <v>325</v>
      </c>
      <c r="C31" s="382" t="s">
        <v>580</v>
      </c>
      <c r="D31" s="379">
        <f t="shared" si="0"/>
        <v>35612</v>
      </c>
      <c r="E31" s="380">
        <v>163</v>
      </c>
      <c r="F31" s="380">
        <v>358</v>
      </c>
      <c r="G31" s="379">
        <v>386</v>
      </c>
      <c r="H31" s="379">
        <v>8114</v>
      </c>
      <c r="I31" s="379">
        <v>0</v>
      </c>
      <c r="J31" s="379">
        <v>0</v>
      </c>
      <c r="K31" s="379">
        <v>0</v>
      </c>
      <c r="L31" s="379">
        <v>0</v>
      </c>
      <c r="M31" s="379">
        <v>0</v>
      </c>
      <c r="N31" s="379">
        <v>9062</v>
      </c>
      <c r="O31" s="379">
        <v>5854</v>
      </c>
      <c r="P31" s="379">
        <v>0</v>
      </c>
      <c r="Q31" s="379">
        <v>0</v>
      </c>
      <c r="R31" s="379">
        <v>950</v>
      </c>
      <c r="S31" s="379">
        <v>2350</v>
      </c>
      <c r="T31" s="379">
        <v>0</v>
      </c>
      <c r="U31" s="379">
        <v>713</v>
      </c>
      <c r="V31" s="379">
        <v>7662</v>
      </c>
    </row>
    <row r="32" spans="1:22" x14ac:dyDescent="0.25">
      <c r="A32" s="377">
        <v>22</v>
      </c>
      <c r="B32" s="377" t="s">
        <v>215</v>
      </c>
      <c r="C32" s="382" t="s">
        <v>184</v>
      </c>
      <c r="D32" s="379">
        <f t="shared" si="0"/>
        <v>64168</v>
      </c>
      <c r="E32" s="380">
        <v>350</v>
      </c>
      <c r="F32" s="380">
        <v>702</v>
      </c>
      <c r="G32" s="379">
        <v>609</v>
      </c>
      <c r="H32" s="379">
        <v>5296</v>
      </c>
      <c r="I32" s="379">
        <v>0</v>
      </c>
      <c r="J32" s="379">
        <v>0</v>
      </c>
      <c r="K32" s="379">
        <v>0</v>
      </c>
      <c r="L32" s="379">
        <v>0</v>
      </c>
      <c r="M32" s="379">
        <v>0</v>
      </c>
      <c r="N32" s="379">
        <v>1291</v>
      </c>
      <c r="O32" s="379">
        <v>17434</v>
      </c>
      <c r="P32" s="379">
        <v>0</v>
      </c>
      <c r="Q32" s="379">
        <v>0</v>
      </c>
      <c r="R32" s="379">
        <v>2000</v>
      </c>
      <c r="S32" s="379">
        <v>7112</v>
      </c>
      <c r="T32" s="379">
        <v>0</v>
      </c>
      <c r="U32" s="379">
        <v>2450</v>
      </c>
      <c r="V32" s="379">
        <v>26924</v>
      </c>
    </row>
    <row r="33" spans="1:22" x14ac:dyDescent="0.25">
      <c r="A33" s="377">
        <v>23</v>
      </c>
      <c r="B33" s="377" t="s">
        <v>217</v>
      </c>
      <c r="C33" s="382" t="s">
        <v>182</v>
      </c>
      <c r="D33" s="379">
        <f t="shared" si="0"/>
        <v>87341</v>
      </c>
      <c r="E33" s="380">
        <v>554</v>
      </c>
      <c r="F33" s="380">
        <v>838</v>
      </c>
      <c r="G33" s="379">
        <v>1955</v>
      </c>
      <c r="H33" s="379">
        <v>33471</v>
      </c>
      <c r="I33" s="379">
        <v>0</v>
      </c>
      <c r="J33" s="379">
        <v>0</v>
      </c>
      <c r="K33" s="379">
        <v>0</v>
      </c>
      <c r="L33" s="379">
        <v>1025</v>
      </c>
      <c r="M33" s="379">
        <v>439</v>
      </c>
      <c r="N33" s="379">
        <v>7137</v>
      </c>
      <c r="O33" s="379">
        <v>13656</v>
      </c>
      <c r="P33" s="379">
        <v>0</v>
      </c>
      <c r="Q33" s="379">
        <v>0</v>
      </c>
      <c r="R33" s="379">
        <v>0</v>
      </c>
      <c r="S33" s="379">
        <v>11232</v>
      </c>
      <c r="T33" s="379">
        <v>0</v>
      </c>
      <c r="U33" s="379">
        <v>3048</v>
      </c>
      <c r="V33" s="379">
        <v>13986</v>
      </c>
    </row>
    <row r="34" spans="1:22" x14ac:dyDescent="0.25">
      <c r="A34" s="377">
        <v>24</v>
      </c>
      <c r="B34" s="377" t="s">
        <v>230</v>
      </c>
      <c r="C34" s="382" t="s">
        <v>171</v>
      </c>
      <c r="D34" s="379">
        <f t="shared" si="0"/>
        <v>35929</v>
      </c>
      <c r="E34" s="380">
        <v>168</v>
      </c>
      <c r="F34" s="380">
        <v>389</v>
      </c>
      <c r="G34" s="379">
        <v>3206</v>
      </c>
      <c r="H34" s="379">
        <v>8036</v>
      </c>
      <c r="I34" s="379">
        <v>0</v>
      </c>
      <c r="J34" s="379">
        <v>0</v>
      </c>
      <c r="K34" s="379">
        <v>0</v>
      </c>
      <c r="L34" s="379">
        <v>0</v>
      </c>
      <c r="M34" s="379">
        <v>0</v>
      </c>
      <c r="N34" s="379">
        <v>1551</v>
      </c>
      <c r="O34" s="379">
        <v>6655</v>
      </c>
      <c r="P34" s="379">
        <v>0</v>
      </c>
      <c r="Q34" s="379">
        <v>0</v>
      </c>
      <c r="R34" s="379">
        <v>1290</v>
      </c>
      <c r="S34" s="379">
        <v>4236</v>
      </c>
      <c r="T34" s="379">
        <v>0</v>
      </c>
      <c r="U34" s="379">
        <v>1427</v>
      </c>
      <c r="V34" s="379">
        <v>8971</v>
      </c>
    </row>
    <row r="35" spans="1:22" x14ac:dyDescent="0.25">
      <c r="A35" s="377">
        <v>25</v>
      </c>
      <c r="B35" s="377" t="s">
        <v>253</v>
      </c>
      <c r="C35" s="382" t="s">
        <v>166</v>
      </c>
      <c r="D35" s="379">
        <f t="shared" si="0"/>
        <v>30212</v>
      </c>
      <c r="E35" s="380">
        <v>186</v>
      </c>
      <c r="F35" s="380">
        <v>321</v>
      </c>
      <c r="G35" s="379">
        <v>662</v>
      </c>
      <c r="H35" s="379">
        <v>6277</v>
      </c>
      <c r="I35" s="379">
        <v>0</v>
      </c>
      <c r="J35" s="379">
        <v>0</v>
      </c>
      <c r="K35" s="379">
        <v>0</v>
      </c>
      <c r="L35" s="379">
        <v>0</v>
      </c>
      <c r="M35" s="379">
        <v>0</v>
      </c>
      <c r="N35" s="379">
        <v>1152</v>
      </c>
      <c r="O35" s="379">
        <v>5935</v>
      </c>
      <c r="P35" s="379">
        <v>0</v>
      </c>
      <c r="Q35" s="379">
        <v>0</v>
      </c>
      <c r="R35" s="379">
        <v>660</v>
      </c>
      <c r="S35" s="379">
        <v>3121</v>
      </c>
      <c r="T35" s="379">
        <v>0</v>
      </c>
      <c r="U35" s="379">
        <v>1271</v>
      </c>
      <c r="V35" s="379">
        <v>10627</v>
      </c>
    </row>
    <row r="36" spans="1:22" x14ac:dyDescent="0.25">
      <c r="A36" s="595">
        <v>26</v>
      </c>
      <c r="B36" s="383" t="s">
        <v>236</v>
      </c>
      <c r="C36" s="382" t="s">
        <v>94</v>
      </c>
      <c r="D36" s="379">
        <f t="shared" si="0"/>
        <v>75509</v>
      </c>
      <c r="E36" s="381">
        <v>1177</v>
      </c>
      <c r="F36" s="381">
        <v>1654</v>
      </c>
      <c r="G36" s="385">
        <v>3329</v>
      </c>
      <c r="H36" s="385">
        <v>38357</v>
      </c>
      <c r="I36" s="386">
        <v>0</v>
      </c>
      <c r="J36" s="386">
        <v>0</v>
      </c>
      <c r="K36" s="386">
        <v>0</v>
      </c>
      <c r="L36" s="386">
        <v>0</v>
      </c>
      <c r="M36" s="386">
        <v>0</v>
      </c>
      <c r="N36" s="385">
        <v>5824</v>
      </c>
      <c r="O36" s="386">
        <v>13864</v>
      </c>
      <c r="P36" s="385">
        <v>432</v>
      </c>
      <c r="Q36" s="386">
        <v>0</v>
      </c>
      <c r="R36" s="386">
        <v>0</v>
      </c>
      <c r="S36" s="385">
        <v>3000</v>
      </c>
      <c r="T36" s="386">
        <v>0</v>
      </c>
      <c r="U36" s="385">
        <v>652</v>
      </c>
      <c r="V36" s="385">
        <v>7220</v>
      </c>
    </row>
    <row r="37" spans="1:22" ht="51" customHeight="1" x14ac:dyDescent="0.25">
      <c r="A37" s="596"/>
      <c r="B37" s="384" t="s">
        <v>238</v>
      </c>
      <c r="C37" s="382" t="s">
        <v>581</v>
      </c>
      <c r="D37" s="379">
        <f t="shared" si="0"/>
        <v>84268</v>
      </c>
      <c r="E37" s="380">
        <v>61</v>
      </c>
      <c r="F37" s="381">
        <v>2518</v>
      </c>
      <c r="G37" s="385">
        <v>12615</v>
      </c>
      <c r="H37" s="385">
        <v>22829</v>
      </c>
      <c r="I37" s="386">
        <v>0</v>
      </c>
      <c r="J37" s="385">
        <v>15046</v>
      </c>
      <c r="K37" s="386">
        <v>0</v>
      </c>
      <c r="L37" s="386">
        <v>886</v>
      </c>
      <c r="M37" s="386">
        <v>438</v>
      </c>
      <c r="N37" s="385">
        <v>2009</v>
      </c>
      <c r="O37" s="385">
        <v>10387</v>
      </c>
      <c r="P37" s="386">
        <v>0</v>
      </c>
      <c r="Q37" s="386">
        <v>0</v>
      </c>
      <c r="R37" s="386">
        <v>0</v>
      </c>
      <c r="S37" s="385">
        <v>2528</v>
      </c>
      <c r="T37" s="386">
        <v>0</v>
      </c>
      <c r="U37" s="385">
        <v>6974</v>
      </c>
      <c r="V37" s="385">
        <v>7977</v>
      </c>
    </row>
    <row r="38" spans="1:22" ht="25.5" x14ac:dyDescent="0.25">
      <c r="A38" s="377">
        <v>27</v>
      </c>
      <c r="B38" s="377">
        <v>16008</v>
      </c>
      <c r="C38" s="382" t="s">
        <v>103</v>
      </c>
      <c r="D38" s="379">
        <f t="shared" si="0"/>
        <v>13457</v>
      </c>
      <c r="E38" s="380">
        <v>451</v>
      </c>
      <c r="F38" s="380">
        <v>0</v>
      </c>
      <c r="G38" s="386">
        <v>221</v>
      </c>
      <c r="H38" s="385">
        <v>4410</v>
      </c>
      <c r="I38" s="386">
        <v>0</v>
      </c>
      <c r="J38" s="385">
        <v>3095</v>
      </c>
      <c r="K38" s="386">
        <v>0</v>
      </c>
      <c r="L38" s="386">
        <v>139</v>
      </c>
      <c r="M38" s="386">
        <v>1</v>
      </c>
      <c r="N38" s="386">
        <v>702</v>
      </c>
      <c r="O38" s="386">
        <v>918</v>
      </c>
      <c r="P38" s="386">
        <v>0</v>
      </c>
      <c r="Q38" s="386">
        <v>0</v>
      </c>
      <c r="R38" s="386">
        <v>0</v>
      </c>
      <c r="S38" s="386">
        <v>305</v>
      </c>
      <c r="T38" s="386">
        <v>0</v>
      </c>
      <c r="U38" s="385">
        <v>2604</v>
      </c>
      <c r="V38" s="386">
        <v>611</v>
      </c>
    </row>
    <row r="39" spans="1:22" ht="25.5" x14ac:dyDescent="0.25">
      <c r="A39" s="597">
        <v>28</v>
      </c>
      <c r="B39" s="377" t="s">
        <v>24</v>
      </c>
      <c r="C39" s="382" t="s">
        <v>241</v>
      </c>
      <c r="D39" s="379">
        <f t="shared" si="0"/>
        <v>171500</v>
      </c>
      <c r="E39" s="381">
        <v>1120</v>
      </c>
      <c r="F39" s="381">
        <v>2486</v>
      </c>
      <c r="G39" s="387">
        <v>11024</v>
      </c>
      <c r="H39" s="387">
        <v>49398</v>
      </c>
      <c r="I39" s="387">
        <v>0</v>
      </c>
      <c r="J39" s="387">
        <v>0</v>
      </c>
      <c r="K39" s="387">
        <v>0</v>
      </c>
      <c r="L39" s="387">
        <v>1025</v>
      </c>
      <c r="M39" s="387">
        <v>439</v>
      </c>
      <c r="N39" s="387">
        <v>7012</v>
      </c>
      <c r="O39" s="387">
        <v>41748</v>
      </c>
      <c r="P39" s="387">
        <v>0</v>
      </c>
      <c r="Q39" s="387">
        <v>0</v>
      </c>
      <c r="R39" s="387">
        <v>1326</v>
      </c>
      <c r="S39" s="387">
        <v>19299</v>
      </c>
      <c r="T39" s="387">
        <v>0</v>
      </c>
      <c r="U39" s="387">
        <v>4874</v>
      </c>
      <c r="V39" s="387">
        <v>31749</v>
      </c>
    </row>
    <row r="40" spans="1:22" ht="51" x14ac:dyDescent="0.25">
      <c r="A40" s="597"/>
      <c r="B40" s="377" t="s">
        <v>403</v>
      </c>
      <c r="C40" s="323" t="s">
        <v>852</v>
      </c>
      <c r="D40" s="379">
        <f t="shared" si="0"/>
        <v>80024</v>
      </c>
      <c r="E40" s="380">
        <v>55</v>
      </c>
      <c r="F40" s="381">
        <v>1153</v>
      </c>
      <c r="G40" s="387">
        <v>2667</v>
      </c>
      <c r="H40" s="387">
        <v>23119</v>
      </c>
      <c r="I40" s="387">
        <v>0</v>
      </c>
      <c r="J40" s="387">
        <v>0</v>
      </c>
      <c r="K40" s="387">
        <v>0</v>
      </c>
      <c r="L40" s="387">
        <v>768</v>
      </c>
      <c r="M40" s="387">
        <v>329</v>
      </c>
      <c r="N40" s="387">
        <v>3578</v>
      </c>
      <c r="O40" s="387">
        <v>17052</v>
      </c>
      <c r="P40" s="387">
        <v>0</v>
      </c>
      <c r="Q40" s="387">
        <v>0</v>
      </c>
      <c r="R40" s="387">
        <v>375</v>
      </c>
      <c r="S40" s="387">
        <v>7934</v>
      </c>
      <c r="T40" s="387">
        <v>0</v>
      </c>
      <c r="U40" s="387">
        <v>808</v>
      </c>
      <c r="V40" s="387">
        <v>22186</v>
      </c>
    </row>
    <row r="41" spans="1:22" ht="42.75" customHeight="1" x14ac:dyDescent="0.25">
      <c r="A41" s="388">
        <v>29</v>
      </c>
      <c r="B41" s="389" t="s">
        <v>242</v>
      </c>
      <c r="C41" s="382" t="s">
        <v>102</v>
      </c>
      <c r="D41" s="379">
        <f t="shared" si="0"/>
        <v>15230</v>
      </c>
      <c r="E41" s="380">
        <v>345</v>
      </c>
      <c r="F41" s="380">
        <v>0</v>
      </c>
      <c r="G41" s="379">
        <v>449</v>
      </c>
      <c r="H41" s="379">
        <v>4314</v>
      </c>
      <c r="I41" s="379">
        <v>0</v>
      </c>
      <c r="J41" s="379">
        <v>0</v>
      </c>
      <c r="K41" s="379">
        <v>0</v>
      </c>
      <c r="L41" s="379">
        <v>0</v>
      </c>
      <c r="M41" s="379">
        <v>0</v>
      </c>
      <c r="N41" s="379">
        <v>988</v>
      </c>
      <c r="O41" s="379">
        <v>2467</v>
      </c>
      <c r="P41" s="379">
        <v>607</v>
      </c>
      <c r="Q41" s="379">
        <v>0</v>
      </c>
      <c r="R41" s="379">
        <v>0</v>
      </c>
      <c r="S41" s="379">
        <v>2050</v>
      </c>
      <c r="T41" s="379">
        <v>0</v>
      </c>
      <c r="U41" s="379">
        <v>646</v>
      </c>
      <c r="V41" s="379">
        <v>3364</v>
      </c>
    </row>
    <row r="42" spans="1:22" ht="68.25" customHeight="1" x14ac:dyDescent="0.25">
      <c r="A42" s="390"/>
      <c r="B42" s="391" t="s">
        <v>291</v>
      </c>
      <c r="C42" s="323" t="s">
        <v>853</v>
      </c>
      <c r="D42" s="379">
        <f t="shared" si="0"/>
        <v>24416</v>
      </c>
      <c r="E42" s="380">
        <v>517</v>
      </c>
      <c r="F42" s="380">
        <v>0</v>
      </c>
      <c r="G42" s="379">
        <v>787</v>
      </c>
      <c r="H42" s="379">
        <v>7424</v>
      </c>
      <c r="I42" s="379">
        <v>0</v>
      </c>
      <c r="J42" s="379">
        <v>0</v>
      </c>
      <c r="K42" s="379">
        <v>0</v>
      </c>
      <c r="L42" s="379">
        <v>257</v>
      </c>
      <c r="M42" s="379">
        <v>110</v>
      </c>
      <c r="N42" s="379">
        <v>1532</v>
      </c>
      <c r="O42" s="379">
        <v>4424</v>
      </c>
      <c r="P42" s="379">
        <v>0</v>
      </c>
      <c r="Q42" s="379">
        <v>0</v>
      </c>
      <c r="R42" s="379">
        <v>125</v>
      </c>
      <c r="S42" s="379">
        <v>2050</v>
      </c>
      <c r="T42" s="379">
        <v>0</v>
      </c>
      <c r="U42" s="379">
        <v>317</v>
      </c>
      <c r="V42" s="379">
        <v>6873</v>
      </c>
    </row>
    <row r="43" spans="1:22" ht="25.5" x14ac:dyDescent="0.25">
      <c r="A43" s="377">
        <v>30</v>
      </c>
      <c r="B43" s="377" t="s">
        <v>246</v>
      </c>
      <c r="C43" s="382" t="s">
        <v>126</v>
      </c>
      <c r="D43" s="379">
        <f t="shared" si="0"/>
        <v>479</v>
      </c>
      <c r="E43" s="380">
        <v>0</v>
      </c>
      <c r="F43" s="380">
        <v>0</v>
      </c>
      <c r="G43" s="379">
        <v>0</v>
      </c>
      <c r="H43" s="379">
        <v>0</v>
      </c>
      <c r="I43" s="379">
        <v>0</v>
      </c>
      <c r="J43" s="379">
        <v>0</v>
      </c>
      <c r="K43" s="379">
        <v>0</v>
      </c>
      <c r="L43" s="379">
        <v>0</v>
      </c>
      <c r="M43" s="379">
        <v>0</v>
      </c>
      <c r="N43" s="379">
        <v>0</v>
      </c>
      <c r="O43" s="379">
        <v>0</v>
      </c>
      <c r="P43" s="379">
        <v>479</v>
      </c>
      <c r="Q43" s="379">
        <v>0</v>
      </c>
      <c r="R43" s="379">
        <v>0</v>
      </c>
      <c r="S43" s="379">
        <v>0</v>
      </c>
      <c r="T43" s="379">
        <v>0</v>
      </c>
      <c r="U43" s="379">
        <v>0</v>
      </c>
      <c r="V43" s="379">
        <v>0</v>
      </c>
    </row>
    <row r="44" spans="1:22" ht="25.5" x14ac:dyDescent="0.25">
      <c r="A44" s="377">
        <v>31</v>
      </c>
      <c r="B44" s="377" t="s">
        <v>248</v>
      </c>
      <c r="C44" s="382" t="s">
        <v>129</v>
      </c>
      <c r="D44" s="379">
        <f t="shared" si="0"/>
        <v>244235</v>
      </c>
      <c r="E44" s="380">
        <v>0</v>
      </c>
      <c r="F44" s="380">
        <v>0</v>
      </c>
      <c r="G44" s="379">
        <v>381</v>
      </c>
      <c r="H44" s="379">
        <v>27719</v>
      </c>
      <c r="I44" s="379">
        <v>0</v>
      </c>
      <c r="J44" s="379">
        <v>5364</v>
      </c>
      <c r="K44" s="379">
        <v>0</v>
      </c>
      <c r="L44" s="379">
        <v>0</v>
      </c>
      <c r="M44" s="379">
        <v>0</v>
      </c>
      <c r="N44" s="379">
        <v>862</v>
      </c>
      <c r="O44" s="379">
        <v>78000</v>
      </c>
      <c r="P44" s="379">
        <v>445</v>
      </c>
      <c r="Q44" s="379">
        <v>0</v>
      </c>
      <c r="R44" s="379">
        <v>0</v>
      </c>
      <c r="S44" s="379">
        <v>4500</v>
      </c>
      <c r="T44" s="379">
        <v>0</v>
      </c>
      <c r="U44" s="379">
        <v>741</v>
      </c>
      <c r="V44" s="379">
        <v>126223</v>
      </c>
    </row>
    <row r="45" spans="1:22" ht="25.5" x14ac:dyDescent="0.25">
      <c r="A45" s="377">
        <v>32</v>
      </c>
      <c r="B45" s="377" t="s">
        <v>586</v>
      </c>
      <c r="C45" s="382" t="s">
        <v>587</v>
      </c>
      <c r="D45" s="379">
        <f t="shared" si="0"/>
        <v>12000</v>
      </c>
      <c r="E45" s="380">
        <v>0</v>
      </c>
      <c r="F45" s="380">
        <v>0</v>
      </c>
      <c r="G45" s="379">
        <v>0</v>
      </c>
      <c r="H45" s="379">
        <v>0</v>
      </c>
      <c r="I45" s="379">
        <v>0</v>
      </c>
      <c r="J45" s="379">
        <v>0</v>
      </c>
      <c r="K45" s="379">
        <v>9591</v>
      </c>
      <c r="L45" s="379">
        <v>0</v>
      </c>
      <c r="M45" s="379">
        <v>0</v>
      </c>
      <c r="N45" s="379">
        <v>0</v>
      </c>
      <c r="O45" s="379">
        <v>0</v>
      </c>
      <c r="P45" s="379">
        <v>0</v>
      </c>
      <c r="Q45" s="379">
        <v>2400</v>
      </c>
      <c r="R45" s="379">
        <v>0</v>
      </c>
      <c r="S45" s="379">
        <v>0</v>
      </c>
      <c r="T45" s="379">
        <v>9</v>
      </c>
      <c r="U45" s="379">
        <v>0</v>
      </c>
      <c r="V45" s="379">
        <v>0</v>
      </c>
    </row>
    <row r="46" spans="1:22" x14ac:dyDescent="0.25">
      <c r="A46" s="377">
        <v>33</v>
      </c>
      <c r="B46" s="377" t="s">
        <v>212</v>
      </c>
      <c r="C46" s="382" t="s">
        <v>185</v>
      </c>
      <c r="D46" s="379">
        <f t="shared" si="0"/>
        <v>10266</v>
      </c>
      <c r="E46" s="380">
        <v>0</v>
      </c>
      <c r="F46" s="380">
        <v>0</v>
      </c>
      <c r="G46" s="379">
        <v>0</v>
      </c>
      <c r="H46" s="379">
        <v>0</v>
      </c>
      <c r="I46" s="379">
        <v>790</v>
      </c>
      <c r="J46" s="379">
        <v>0</v>
      </c>
      <c r="K46" s="379">
        <v>7516</v>
      </c>
      <c r="L46" s="379">
        <v>0</v>
      </c>
      <c r="M46" s="379">
        <v>0</v>
      </c>
      <c r="N46" s="379">
        <v>0</v>
      </c>
      <c r="O46" s="379">
        <v>0</v>
      </c>
      <c r="P46" s="379">
        <v>0</v>
      </c>
      <c r="Q46" s="379">
        <v>0</v>
      </c>
      <c r="R46" s="379">
        <v>0</v>
      </c>
      <c r="S46" s="379">
        <v>0</v>
      </c>
      <c r="T46" s="379">
        <v>1960</v>
      </c>
      <c r="U46" s="379">
        <v>0</v>
      </c>
      <c r="V46" s="379">
        <v>0</v>
      </c>
    </row>
    <row r="47" spans="1:22" x14ac:dyDescent="0.25">
      <c r="A47" s="595">
        <v>34</v>
      </c>
      <c r="B47" s="383" t="s">
        <v>235</v>
      </c>
      <c r="C47" s="382" t="s">
        <v>95</v>
      </c>
      <c r="D47" s="379">
        <f t="shared" si="0"/>
        <v>146636</v>
      </c>
      <c r="E47" s="381">
        <v>1212</v>
      </c>
      <c r="F47" s="381">
        <v>3281</v>
      </c>
      <c r="G47" s="379">
        <v>40</v>
      </c>
      <c r="H47" s="379">
        <v>29083</v>
      </c>
      <c r="I47" s="379">
        <v>0</v>
      </c>
      <c r="J47" s="379">
        <v>11808</v>
      </c>
      <c r="K47" s="379">
        <v>0</v>
      </c>
      <c r="L47" s="379">
        <v>1025</v>
      </c>
      <c r="M47" s="379">
        <v>439</v>
      </c>
      <c r="N47" s="379">
        <f>9816+1200</f>
        <v>11016</v>
      </c>
      <c r="O47" s="379">
        <f>52442+12000</f>
        <v>64442</v>
      </c>
      <c r="P47" s="379">
        <v>0</v>
      </c>
      <c r="Q47" s="379">
        <v>0</v>
      </c>
      <c r="R47" s="379">
        <v>9500</v>
      </c>
      <c r="S47" s="379">
        <v>8050</v>
      </c>
      <c r="T47" s="379">
        <v>0</v>
      </c>
      <c r="U47" s="379">
        <v>135</v>
      </c>
      <c r="V47" s="379">
        <f>605+6000</f>
        <v>6605</v>
      </c>
    </row>
    <row r="48" spans="1:22" ht="51" x14ac:dyDescent="0.25">
      <c r="A48" s="598"/>
      <c r="B48" s="392" t="s">
        <v>287</v>
      </c>
      <c r="C48" s="323" t="s">
        <v>588</v>
      </c>
      <c r="D48" s="379">
        <f t="shared" si="0"/>
        <v>111391</v>
      </c>
      <c r="E48" s="380">
        <v>0</v>
      </c>
      <c r="F48" s="380">
        <v>0</v>
      </c>
      <c r="G48" s="379">
        <v>0</v>
      </c>
      <c r="H48" s="379">
        <v>15130</v>
      </c>
      <c r="I48" s="379">
        <v>0</v>
      </c>
      <c r="J48" s="379">
        <v>0</v>
      </c>
      <c r="K48" s="379">
        <v>0</v>
      </c>
      <c r="L48" s="379">
        <v>0</v>
      </c>
      <c r="M48" s="379">
        <v>0</v>
      </c>
      <c r="N48" s="379">
        <f>666+2000</f>
        <v>2666</v>
      </c>
      <c r="O48" s="379">
        <f>49410-12000</f>
        <v>37410</v>
      </c>
      <c r="P48" s="379">
        <v>0</v>
      </c>
      <c r="Q48" s="379">
        <v>0</v>
      </c>
      <c r="R48" s="379">
        <v>0</v>
      </c>
      <c r="S48" s="379">
        <v>10500</v>
      </c>
      <c r="T48" s="379">
        <v>0</v>
      </c>
      <c r="U48" s="379">
        <f>6100-2000</f>
        <v>4100</v>
      </c>
      <c r="V48" s="379">
        <f>47585-6000</f>
        <v>41585</v>
      </c>
    </row>
    <row r="49" spans="1:22" ht="38.25" x14ac:dyDescent="0.25">
      <c r="A49" s="596"/>
      <c r="B49" s="384" t="s">
        <v>289</v>
      </c>
      <c r="C49" s="323" t="s">
        <v>854</v>
      </c>
      <c r="D49" s="379">
        <f t="shared" si="0"/>
        <v>20800</v>
      </c>
      <c r="E49" s="380">
        <v>0</v>
      </c>
      <c r="F49" s="380">
        <v>0</v>
      </c>
      <c r="G49" s="379">
        <v>0</v>
      </c>
      <c r="H49" s="379">
        <v>0</v>
      </c>
      <c r="I49" s="379">
        <v>6000</v>
      </c>
      <c r="J49" s="379">
        <v>0</v>
      </c>
      <c r="K49" s="379">
        <f>7890-1200</f>
        <v>6690</v>
      </c>
      <c r="L49" s="379">
        <v>0</v>
      </c>
      <c r="M49" s="379">
        <v>0</v>
      </c>
      <c r="N49" s="379">
        <v>0</v>
      </c>
      <c r="O49" s="379">
        <v>0</v>
      </c>
      <c r="P49" s="379">
        <v>0</v>
      </c>
      <c r="Q49" s="379">
        <v>500</v>
      </c>
      <c r="R49" s="379">
        <v>0</v>
      </c>
      <c r="S49" s="379">
        <v>0</v>
      </c>
      <c r="T49" s="379">
        <v>7610</v>
      </c>
      <c r="U49" s="379">
        <v>0</v>
      </c>
      <c r="V49" s="379">
        <v>0</v>
      </c>
    </row>
    <row r="50" spans="1:22" ht="25.5" x14ac:dyDescent="0.25">
      <c r="A50" s="377">
        <v>35</v>
      </c>
      <c r="B50" s="377" t="s">
        <v>590</v>
      </c>
      <c r="C50" s="382" t="s">
        <v>591</v>
      </c>
      <c r="D50" s="379">
        <f t="shared" si="0"/>
        <v>4198</v>
      </c>
      <c r="E50" s="380">
        <v>0</v>
      </c>
      <c r="F50" s="380">
        <v>0</v>
      </c>
      <c r="G50" s="379">
        <v>0</v>
      </c>
      <c r="H50" s="379">
        <v>0</v>
      </c>
      <c r="I50" s="379">
        <v>0</v>
      </c>
      <c r="J50" s="379">
        <v>0</v>
      </c>
      <c r="K50" s="379">
        <v>2698</v>
      </c>
      <c r="L50" s="379">
        <v>0</v>
      </c>
      <c r="M50" s="379">
        <v>0</v>
      </c>
      <c r="N50" s="379">
        <v>0</v>
      </c>
      <c r="O50" s="379">
        <v>0</v>
      </c>
      <c r="P50" s="379">
        <v>0</v>
      </c>
      <c r="Q50" s="379">
        <v>1500</v>
      </c>
      <c r="R50" s="379">
        <v>0</v>
      </c>
      <c r="S50" s="379">
        <v>0</v>
      </c>
      <c r="T50" s="379">
        <v>0</v>
      </c>
      <c r="U50" s="379">
        <v>0</v>
      </c>
      <c r="V50" s="379">
        <v>0</v>
      </c>
    </row>
    <row r="51" spans="1:22" x14ac:dyDescent="0.25">
      <c r="A51" s="377">
        <v>36</v>
      </c>
      <c r="B51" s="377" t="s">
        <v>211</v>
      </c>
      <c r="C51" s="382" t="s">
        <v>186</v>
      </c>
      <c r="D51" s="379">
        <f t="shared" si="0"/>
        <v>11900</v>
      </c>
      <c r="E51" s="380">
        <v>0</v>
      </c>
      <c r="F51" s="380">
        <v>0</v>
      </c>
      <c r="G51" s="379">
        <v>0</v>
      </c>
      <c r="H51" s="379">
        <v>0</v>
      </c>
      <c r="I51" s="379">
        <v>440</v>
      </c>
      <c r="J51" s="379">
        <v>0</v>
      </c>
      <c r="K51" s="379">
        <v>2000</v>
      </c>
      <c r="L51" s="379">
        <v>0</v>
      </c>
      <c r="M51" s="379">
        <v>0</v>
      </c>
      <c r="N51" s="379">
        <v>0</v>
      </c>
      <c r="O51" s="379">
        <v>0</v>
      </c>
      <c r="P51" s="379">
        <v>0</v>
      </c>
      <c r="Q51" s="379">
        <v>0</v>
      </c>
      <c r="R51" s="379">
        <v>0</v>
      </c>
      <c r="S51" s="379">
        <v>0</v>
      </c>
      <c r="T51" s="379">
        <v>9460</v>
      </c>
      <c r="U51" s="379">
        <v>0</v>
      </c>
      <c r="V51" s="379">
        <v>0</v>
      </c>
    </row>
    <row r="52" spans="1:22" x14ac:dyDescent="0.25">
      <c r="A52" s="595">
        <v>37</v>
      </c>
      <c r="B52" s="383" t="s">
        <v>233</v>
      </c>
      <c r="C52" s="382" t="s">
        <v>96</v>
      </c>
      <c r="D52" s="379">
        <f t="shared" si="0"/>
        <v>141050</v>
      </c>
      <c r="E52" s="380">
        <v>678</v>
      </c>
      <c r="F52" s="381">
        <v>1653</v>
      </c>
      <c r="G52" s="379">
        <v>5401</v>
      </c>
      <c r="H52" s="379">
        <v>39081</v>
      </c>
      <c r="I52" s="379">
        <v>0</v>
      </c>
      <c r="J52" s="379">
        <v>6893</v>
      </c>
      <c r="K52" s="379">
        <v>0</v>
      </c>
      <c r="L52" s="379">
        <v>1025</v>
      </c>
      <c r="M52" s="379">
        <v>439</v>
      </c>
      <c r="N52" s="379">
        <v>7928</v>
      </c>
      <c r="O52" s="379">
        <v>57537</v>
      </c>
      <c r="P52" s="379">
        <v>0</v>
      </c>
      <c r="Q52" s="379">
        <v>0</v>
      </c>
      <c r="R52" s="379">
        <v>4311</v>
      </c>
      <c r="S52" s="379">
        <v>2800</v>
      </c>
      <c r="T52" s="379">
        <v>0</v>
      </c>
      <c r="U52" s="379">
        <v>1518</v>
      </c>
      <c r="V52" s="379">
        <v>11786</v>
      </c>
    </row>
    <row r="53" spans="1:22" ht="51" x14ac:dyDescent="0.25">
      <c r="A53" s="596"/>
      <c r="B53" s="384" t="s">
        <v>285</v>
      </c>
      <c r="C53" s="323" t="s">
        <v>592</v>
      </c>
      <c r="D53" s="379">
        <f t="shared" si="0"/>
        <v>52278</v>
      </c>
      <c r="E53" s="380">
        <v>118</v>
      </c>
      <c r="F53" s="380">
        <v>727</v>
      </c>
      <c r="G53" s="379">
        <v>789</v>
      </c>
      <c r="H53" s="379">
        <v>16579</v>
      </c>
      <c r="I53" s="379">
        <v>0</v>
      </c>
      <c r="J53" s="379">
        <v>0</v>
      </c>
      <c r="K53" s="379">
        <v>0</v>
      </c>
      <c r="L53" s="379">
        <v>0</v>
      </c>
      <c r="M53" s="379">
        <v>0</v>
      </c>
      <c r="N53" s="379">
        <v>3122</v>
      </c>
      <c r="O53" s="379">
        <v>26008</v>
      </c>
      <c r="P53" s="379">
        <v>0</v>
      </c>
      <c r="Q53" s="379">
        <v>0</v>
      </c>
      <c r="R53" s="379">
        <v>0</v>
      </c>
      <c r="S53" s="379">
        <v>0</v>
      </c>
      <c r="T53" s="379">
        <v>0</v>
      </c>
      <c r="U53" s="379">
        <v>2750</v>
      </c>
      <c r="V53" s="379">
        <v>2185</v>
      </c>
    </row>
    <row r="54" spans="1:22" x14ac:dyDescent="0.25">
      <c r="A54" s="377">
        <v>38</v>
      </c>
      <c r="B54" s="377" t="s">
        <v>256</v>
      </c>
      <c r="C54" s="382" t="s">
        <v>107</v>
      </c>
      <c r="D54" s="379">
        <f t="shared" si="0"/>
        <v>187773</v>
      </c>
      <c r="E54" s="380">
        <v>904</v>
      </c>
      <c r="F54" s="381">
        <v>2176</v>
      </c>
      <c r="G54" s="379">
        <v>5982</v>
      </c>
      <c r="H54" s="379">
        <v>49420</v>
      </c>
      <c r="I54" s="379">
        <v>0</v>
      </c>
      <c r="J54" s="379">
        <v>4221</v>
      </c>
      <c r="K54" s="379">
        <v>0</v>
      </c>
      <c r="L54" s="379">
        <v>0</v>
      </c>
      <c r="M54" s="379">
        <v>0</v>
      </c>
      <c r="N54" s="379">
        <v>7861</v>
      </c>
      <c r="O54" s="379">
        <v>53894</v>
      </c>
      <c r="P54" s="379">
        <v>0</v>
      </c>
      <c r="Q54" s="379">
        <v>0</v>
      </c>
      <c r="R54" s="379">
        <v>17114</v>
      </c>
      <c r="S54" s="379">
        <v>15486</v>
      </c>
      <c r="T54" s="379">
        <v>0</v>
      </c>
      <c r="U54" s="379">
        <v>2017</v>
      </c>
      <c r="V54" s="379">
        <v>28698</v>
      </c>
    </row>
    <row r="55" spans="1:22" x14ac:dyDescent="0.25">
      <c r="A55" s="377">
        <v>39</v>
      </c>
      <c r="B55" s="377" t="s">
        <v>265</v>
      </c>
      <c r="C55" s="382" t="s">
        <v>106</v>
      </c>
      <c r="D55" s="379">
        <f t="shared" si="0"/>
        <v>177627</v>
      </c>
      <c r="E55" s="380">
        <v>986</v>
      </c>
      <c r="F55" s="381">
        <v>1961</v>
      </c>
      <c r="G55" s="379">
        <v>3404</v>
      </c>
      <c r="H55" s="379">
        <v>52801</v>
      </c>
      <c r="I55" s="379">
        <v>0</v>
      </c>
      <c r="J55" s="379">
        <v>0</v>
      </c>
      <c r="K55" s="379">
        <v>0</v>
      </c>
      <c r="L55" s="379">
        <v>1025</v>
      </c>
      <c r="M55" s="379">
        <v>439</v>
      </c>
      <c r="N55" s="379">
        <v>10090</v>
      </c>
      <c r="O55" s="379">
        <v>71915</v>
      </c>
      <c r="P55" s="379">
        <v>0</v>
      </c>
      <c r="Q55" s="379">
        <v>0</v>
      </c>
      <c r="R55" s="379">
        <v>7111</v>
      </c>
      <c r="S55" s="379">
        <v>300</v>
      </c>
      <c r="T55" s="379">
        <v>0</v>
      </c>
      <c r="U55" s="379">
        <v>2562</v>
      </c>
      <c r="V55" s="379">
        <v>25033</v>
      </c>
    </row>
    <row r="56" spans="1:22" x14ac:dyDescent="0.25">
      <c r="A56" s="377">
        <v>40</v>
      </c>
      <c r="B56" s="377" t="s">
        <v>255</v>
      </c>
      <c r="C56" s="382" t="s">
        <v>164</v>
      </c>
      <c r="D56" s="379">
        <f t="shared" si="0"/>
        <v>54964</v>
      </c>
      <c r="E56" s="380">
        <v>58</v>
      </c>
      <c r="F56" s="380">
        <v>849</v>
      </c>
      <c r="G56" s="379">
        <v>765</v>
      </c>
      <c r="H56" s="379">
        <v>11947</v>
      </c>
      <c r="I56" s="379">
        <v>0</v>
      </c>
      <c r="J56" s="379">
        <v>0</v>
      </c>
      <c r="K56" s="379">
        <v>0</v>
      </c>
      <c r="L56" s="379">
        <v>0</v>
      </c>
      <c r="M56" s="379">
        <v>0</v>
      </c>
      <c r="N56" s="379">
        <v>2297</v>
      </c>
      <c r="O56" s="379">
        <v>10139</v>
      </c>
      <c r="P56" s="379">
        <v>0</v>
      </c>
      <c r="Q56" s="379">
        <v>0</v>
      </c>
      <c r="R56" s="379">
        <v>2016</v>
      </c>
      <c r="S56" s="379">
        <v>7208</v>
      </c>
      <c r="T56" s="379">
        <v>0</v>
      </c>
      <c r="U56" s="379">
        <v>5984</v>
      </c>
      <c r="V56" s="379">
        <v>13701</v>
      </c>
    </row>
    <row r="57" spans="1:22" x14ac:dyDescent="0.25">
      <c r="A57" s="377">
        <v>41</v>
      </c>
      <c r="B57" s="377" t="s">
        <v>262</v>
      </c>
      <c r="C57" s="382" t="s">
        <v>158</v>
      </c>
      <c r="D57" s="379">
        <f t="shared" si="0"/>
        <v>67984</v>
      </c>
      <c r="E57" s="380">
        <v>473</v>
      </c>
      <c r="F57" s="380">
        <v>666</v>
      </c>
      <c r="G57" s="379">
        <v>2256</v>
      </c>
      <c r="H57" s="379">
        <v>26895</v>
      </c>
      <c r="I57" s="379">
        <v>0</v>
      </c>
      <c r="J57" s="379">
        <v>0</v>
      </c>
      <c r="K57" s="379">
        <v>0</v>
      </c>
      <c r="L57" s="379">
        <v>0</v>
      </c>
      <c r="M57" s="379">
        <v>0</v>
      </c>
      <c r="N57" s="379">
        <v>3948</v>
      </c>
      <c r="O57" s="379">
        <v>20492</v>
      </c>
      <c r="P57" s="379">
        <v>0</v>
      </c>
      <c r="Q57" s="379">
        <v>0</v>
      </c>
      <c r="R57" s="379">
        <v>850</v>
      </c>
      <c r="S57" s="379">
        <v>6550</v>
      </c>
      <c r="T57" s="379">
        <v>0</v>
      </c>
      <c r="U57" s="379">
        <v>823</v>
      </c>
      <c r="V57" s="379">
        <v>5031</v>
      </c>
    </row>
    <row r="58" spans="1:22" x14ac:dyDescent="0.25">
      <c r="A58" s="377">
        <v>42</v>
      </c>
      <c r="B58" s="377" t="s">
        <v>269</v>
      </c>
      <c r="C58" s="382" t="s">
        <v>153</v>
      </c>
      <c r="D58" s="379">
        <f t="shared" si="0"/>
        <v>63682</v>
      </c>
      <c r="E58" s="380">
        <v>197</v>
      </c>
      <c r="F58" s="380">
        <v>865</v>
      </c>
      <c r="G58" s="379">
        <v>556</v>
      </c>
      <c r="H58" s="379">
        <v>23840</v>
      </c>
      <c r="I58" s="379">
        <v>0</v>
      </c>
      <c r="J58" s="379">
        <v>0</v>
      </c>
      <c r="K58" s="379">
        <v>0</v>
      </c>
      <c r="L58" s="379">
        <v>0</v>
      </c>
      <c r="M58" s="379">
        <v>0</v>
      </c>
      <c r="N58" s="379">
        <v>3626</v>
      </c>
      <c r="O58" s="379">
        <v>18366</v>
      </c>
      <c r="P58" s="379">
        <v>0</v>
      </c>
      <c r="Q58" s="379">
        <v>0</v>
      </c>
      <c r="R58" s="379">
        <v>3150</v>
      </c>
      <c r="S58" s="379">
        <v>4717</v>
      </c>
      <c r="T58" s="379">
        <v>0</v>
      </c>
      <c r="U58" s="379">
        <v>1163</v>
      </c>
      <c r="V58" s="379">
        <v>7202</v>
      </c>
    </row>
    <row r="59" spans="1:22" x14ac:dyDescent="0.25">
      <c r="A59" s="377">
        <v>43</v>
      </c>
      <c r="B59" s="377" t="s">
        <v>272</v>
      </c>
      <c r="C59" s="382" t="s">
        <v>150</v>
      </c>
      <c r="D59" s="379">
        <f t="shared" si="0"/>
        <v>41258</v>
      </c>
      <c r="E59" s="380">
        <v>238</v>
      </c>
      <c r="F59" s="380">
        <v>479</v>
      </c>
      <c r="G59" s="379">
        <v>626</v>
      </c>
      <c r="H59" s="379">
        <v>14733</v>
      </c>
      <c r="I59" s="379">
        <v>0</v>
      </c>
      <c r="J59" s="379">
        <v>0</v>
      </c>
      <c r="K59" s="379">
        <v>0</v>
      </c>
      <c r="L59" s="379">
        <v>0</v>
      </c>
      <c r="M59" s="379">
        <v>0</v>
      </c>
      <c r="N59" s="379">
        <v>452</v>
      </c>
      <c r="O59" s="379">
        <v>11843</v>
      </c>
      <c r="P59" s="379">
        <v>0</v>
      </c>
      <c r="Q59" s="379">
        <v>0</v>
      </c>
      <c r="R59" s="379">
        <v>4085</v>
      </c>
      <c r="S59" s="379">
        <v>0</v>
      </c>
      <c r="T59" s="379">
        <v>0</v>
      </c>
      <c r="U59" s="379">
        <v>220</v>
      </c>
      <c r="V59" s="379">
        <v>8582</v>
      </c>
    </row>
    <row r="60" spans="1:22" x14ac:dyDescent="0.25">
      <c r="A60" s="377">
        <v>44</v>
      </c>
      <c r="B60" s="377" t="s">
        <v>273</v>
      </c>
      <c r="C60" s="382" t="s">
        <v>149</v>
      </c>
      <c r="D60" s="379">
        <f t="shared" si="0"/>
        <v>71389</v>
      </c>
      <c r="E60" s="380">
        <v>417</v>
      </c>
      <c r="F60" s="380">
        <v>836</v>
      </c>
      <c r="G60" s="379">
        <v>2162</v>
      </c>
      <c r="H60" s="379">
        <v>27333</v>
      </c>
      <c r="I60" s="379">
        <v>0</v>
      </c>
      <c r="J60" s="379">
        <v>0</v>
      </c>
      <c r="K60" s="379">
        <v>0</v>
      </c>
      <c r="L60" s="379">
        <v>0</v>
      </c>
      <c r="M60" s="379">
        <v>0</v>
      </c>
      <c r="N60" s="379">
        <v>2489</v>
      </c>
      <c r="O60" s="379">
        <v>24113</v>
      </c>
      <c r="P60" s="379">
        <v>0</v>
      </c>
      <c r="Q60" s="379">
        <v>0</v>
      </c>
      <c r="R60" s="379">
        <v>469</v>
      </c>
      <c r="S60" s="379">
        <v>6203</v>
      </c>
      <c r="T60" s="379">
        <v>0</v>
      </c>
      <c r="U60" s="379">
        <v>853</v>
      </c>
      <c r="V60" s="379">
        <v>6514</v>
      </c>
    </row>
    <row r="61" spans="1:22" x14ac:dyDescent="0.25">
      <c r="A61" s="377">
        <v>45</v>
      </c>
      <c r="B61" s="377" t="s">
        <v>276</v>
      </c>
      <c r="C61" s="382" t="s">
        <v>148</v>
      </c>
      <c r="D61" s="379">
        <f t="shared" si="0"/>
        <v>33834</v>
      </c>
      <c r="E61" s="380">
        <v>180</v>
      </c>
      <c r="F61" s="380">
        <v>418</v>
      </c>
      <c r="G61" s="379">
        <v>699</v>
      </c>
      <c r="H61" s="379">
        <v>11851</v>
      </c>
      <c r="I61" s="379">
        <v>0</v>
      </c>
      <c r="J61" s="379">
        <v>0</v>
      </c>
      <c r="K61" s="379">
        <v>0</v>
      </c>
      <c r="L61" s="379">
        <v>0</v>
      </c>
      <c r="M61" s="379">
        <v>0</v>
      </c>
      <c r="N61" s="379">
        <v>1865</v>
      </c>
      <c r="O61" s="379">
        <v>8034</v>
      </c>
      <c r="P61" s="379">
        <v>0</v>
      </c>
      <c r="Q61" s="379">
        <v>0</v>
      </c>
      <c r="R61" s="379">
        <v>949</v>
      </c>
      <c r="S61" s="379">
        <v>4601</v>
      </c>
      <c r="T61" s="379">
        <v>0</v>
      </c>
      <c r="U61" s="379">
        <v>2116</v>
      </c>
      <c r="V61" s="379">
        <v>3121</v>
      </c>
    </row>
    <row r="62" spans="1:22" ht="25.5" x14ac:dyDescent="0.25">
      <c r="A62" s="377">
        <v>46</v>
      </c>
      <c r="B62" s="377" t="s">
        <v>327</v>
      </c>
      <c r="C62" s="393" t="s">
        <v>523</v>
      </c>
      <c r="D62" s="379">
        <f t="shared" si="0"/>
        <v>10138</v>
      </c>
      <c r="E62" s="380">
        <v>143</v>
      </c>
      <c r="F62" s="380">
        <v>252</v>
      </c>
      <c r="G62" s="379">
        <v>100</v>
      </c>
      <c r="H62" s="379">
        <v>5000</v>
      </c>
      <c r="I62" s="379">
        <v>0</v>
      </c>
      <c r="J62" s="379">
        <v>0</v>
      </c>
      <c r="K62" s="379">
        <v>0</v>
      </c>
      <c r="L62" s="379">
        <v>0</v>
      </c>
      <c r="M62" s="379">
        <v>0</v>
      </c>
      <c r="N62" s="379">
        <v>275</v>
      </c>
      <c r="O62" s="379">
        <v>3320</v>
      </c>
      <c r="P62" s="379">
        <v>0</v>
      </c>
      <c r="Q62" s="379">
        <v>0</v>
      </c>
      <c r="R62" s="379">
        <v>120</v>
      </c>
      <c r="S62" s="379">
        <v>0</v>
      </c>
      <c r="T62" s="379">
        <v>0</v>
      </c>
      <c r="U62" s="379">
        <v>147</v>
      </c>
      <c r="V62" s="379">
        <v>781</v>
      </c>
    </row>
    <row r="63" spans="1:22" x14ac:dyDescent="0.25">
      <c r="A63" s="377">
        <v>47</v>
      </c>
      <c r="B63" s="377" t="s">
        <v>305</v>
      </c>
      <c r="C63" s="382" t="s">
        <v>90</v>
      </c>
      <c r="D63" s="379">
        <f t="shared" si="0"/>
        <v>20116</v>
      </c>
      <c r="E63" s="380">
        <v>0</v>
      </c>
      <c r="F63" s="380">
        <v>757</v>
      </c>
      <c r="G63" s="379">
        <v>500</v>
      </c>
      <c r="H63" s="379">
        <v>11280</v>
      </c>
      <c r="I63" s="379">
        <v>0</v>
      </c>
      <c r="J63" s="379">
        <v>0</v>
      </c>
      <c r="K63" s="379">
        <v>0</v>
      </c>
      <c r="L63" s="379">
        <v>0</v>
      </c>
      <c r="M63" s="379">
        <v>0</v>
      </c>
      <c r="N63" s="379">
        <v>1957</v>
      </c>
      <c r="O63" s="379">
        <v>3210</v>
      </c>
      <c r="P63" s="379">
        <v>0</v>
      </c>
      <c r="Q63" s="379">
        <v>0</v>
      </c>
      <c r="R63" s="379">
        <v>0</v>
      </c>
      <c r="S63" s="379">
        <v>0</v>
      </c>
      <c r="T63" s="379">
        <v>0</v>
      </c>
      <c r="U63" s="379">
        <v>1910</v>
      </c>
      <c r="V63" s="379">
        <v>502</v>
      </c>
    </row>
    <row r="64" spans="1:22" x14ac:dyDescent="0.25">
      <c r="A64" s="377">
        <v>48</v>
      </c>
      <c r="B64" s="377" t="s">
        <v>274</v>
      </c>
      <c r="C64" s="378" t="s">
        <v>101</v>
      </c>
      <c r="D64" s="379">
        <f t="shared" si="0"/>
        <v>287540</v>
      </c>
      <c r="E64" s="380">
        <v>687</v>
      </c>
      <c r="F64" s="381">
        <v>4033</v>
      </c>
      <c r="G64" s="379">
        <v>2647</v>
      </c>
      <c r="H64" s="379">
        <v>70093</v>
      </c>
      <c r="I64" s="379">
        <v>0</v>
      </c>
      <c r="J64" s="379">
        <v>2652</v>
      </c>
      <c r="K64" s="379">
        <v>0</v>
      </c>
      <c r="L64" s="379">
        <v>1025</v>
      </c>
      <c r="M64" s="379">
        <v>439</v>
      </c>
      <c r="N64" s="379">
        <v>24826</v>
      </c>
      <c r="O64" s="379">
        <v>88648</v>
      </c>
      <c r="P64" s="379">
        <v>239</v>
      </c>
      <c r="Q64" s="379">
        <v>0</v>
      </c>
      <c r="R64" s="379">
        <v>0</v>
      </c>
      <c r="S64" s="379">
        <v>14000</v>
      </c>
      <c r="T64" s="379">
        <v>0</v>
      </c>
      <c r="U64" s="379">
        <v>15618</v>
      </c>
      <c r="V64" s="379">
        <v>62633</v>
      </c>
    </row>
    <row r="65" spans="1:22" x14ac:dyDescent="0.25">
      <c r="A65" s="377">
        <v>49</v>
      </c>
      <c r="B65" s="377" t="s">
        <v>222</v>
      </c>
      <c r="C65" s="382" t="s">
        <v>111</v>
      </c>
      <c r="D65" s="379">
        <f t="shared" si="0"/>
        <v>200670</v>
      </c>
      <c r="E65" s="381">
        <v>1136</v>
      </c>
      <c r="F65" s="381">
        <v>2279</v>
      </c>
      <c r="G65" s="379">
        <v>5205</v>
      </c>
      <c r="H65" s="379">
        <v>50083</v>
      </c>
      <c r="I65" s="379">
        <v>0</v>
      </c>
      <c r="J65" s="379">
        <v>0</v>
      </c>
      <c r="K65" s="379">
        <v>0</v>
      </c>
      <c r="L65" s="379">
        <v>1025</v>
      </c>
      <c r="M65" s="379">
        <v>439</v>
      </c>
      <c r="N65" s="379">
        <v>3383</v>
      </c>
      <c r="O65" s="379">
        <v>55323</v>
      </c>
      <c r="P65" s="379">
        <v>0</v>
      </c>
      <c r="Q65" s="379">
        <v>0</v>
      </c>
      <c r="R65" s="379">
        <v>7950</v>
      </c>
      <c r="S65" s="379">
        <v>35449</v>
      </c>
      <c r="T65" s="379">
        <v>0</v>
      </c>
      <c r="U65" s="379">
        <v>1558</v>
      </c>
      <c r="V65" s="379">
        <v>36840</v>
      </c>
    </row>
    <row r="66" spans="1:22" x14ac:dyDescent="0.25">
      <c r="A66" s="377">
        <v>50</v>
      </c>
      <c r="B66" s="377" t="s">
        <v>244</v>
      </c>
      <c r="C66" s="378" t="s">
        <v>105</v>
      </c>
      <c r="D66" s="379">
        <f t="shared" si="0"/>
        <v>250971</v>
      </c>
      <c r="E66" s="381">
        <v>1137</v>
      </c>
      <c r="F66" s="381">
        <v>2756</v>
      </c>
      <c r="G66" s="379">
        <v>8047</v>
      </c>
      <c r="H66" s="379">
        <v>97942</v>
      </c>
      <c r="I66" s="379">
        <v>0</v>
      </c>
      <c r="J66" s="379">
        <v>19289</v>
      </c>
      <c r="K66" s="379">
        <v>0</v>
      </c>
      <c r="L66" s="379">
        <v>1025</v>
      </c>
      <c r="M66" s="379">
        <v>439</v>
      </c>
      <c r="N66" s="379">
        <v>6478</v>
      </c>
      <c r="O66" s="379">
        <v>60725</v>
      </c>
      <c r="P66" s="379">
        <v>0</v>
      </c>
      <c r="Q66" s="379">
        <v>0</v>
      </c>
      <c r="R66" s="379">
        <v>8676</v>
      </c>
      <c r="S66" s="379">
        <v>220</v>
      </c>
      <c r="T66" s="379">
        <v>0</v>
      </c>
      <c r="U66" s="379">
        <v>13131</v>
      </c>
      <c r="V66" s="379">
        <v>31106</v>
      </c>
    </row>
    <row r="67" spans="1:22" ht="25.5" x14ac:dyDescent="0.25">
      <c r="A67" s="377">
        <v>51</v>
      </c>
      <c r="B67" s="377" t="s">
        <v>594</v>
      </c>
      <c r="C67" s="378" t="s">
        <v>595</v>
      </c>
      <c r="D67" s="379">
        <f t="shared" si="0"/>
        <v>2203</v>
      </c>
      <c r="E67" s="380">
        <v>0</v>
      </c>
      <c r="F67" s="380">
        <v>0</v>
      </c>
      <c r="G67" s="379">
        <v>0</v>
      </c>
      <c r="H67" s="379">
        <v>0</v>
      </c>
      <c r="I67" s="379">
        <v>0</v>
      </c>
      <c r="J67" s="379">
        <v>0</v>
      </c>
      <c r="K67" s="379">
        <v>289</v>
      </c>
      <c r="L67" s="379">
        <v>0</v>
      </c>
      <c r="M67" s="379">
        <v>0</v>
      </c>
      <c r="N67" s="379">
        <v>0</v>
      </c>
      <c r="O67" s="379">
        <v>0</v>
      </c>
      <c r="P67" s="379">
        <v>0</v>
      </c>
      <c r="Q67" s="379">
        <v>1914</v>
      </c>
      <c r="R67" s="379">
        <v>0</v>
      </c>
      <c r="S67" s="379">
        <v>0</v>
      </c>
      <c r="T67" s="379">
        <v>0</v>
      </c>
      <c r="U67" s="379">
        <v>0</v>
      </c>
      <c r="V67" s="379">
        <v>0</v>
      </c>
    </row>
    <row r="68" spans="1:22" x14ac:dyDescent="0.25">
      <c r="A68" s="377">
        <v>52</v>
      </c>
      <c r="B68" s="377" t="s">
        <v>250</v>
      </c>
      <c r="C68" s="382" t="s">
        <v>168</v>
      </c>
      <c r="D68" s="379">
        <f t="shared" si="0"/>
        <v>81558</v>
      </c>
      <c r="E68" s="380">
        <v>408</v>
      </c>
      <c r="F68" s="380">
        <v>966</v>
      </c>
      <c r="G68" s="379">
        <v>2717</v>
      </c>
      <c r="H68" s="379">
        <v>14725</v>
      </c>
      <c r="I68" s="379">
        <v>0</v>
      </c>
      <c r="J68" s="379">
        <v>0</v>
      </c>
      <c r="K68" s="379">
        <v>0</v>
      </c>
      <c r="L68" s="379">
        <v>1025</v>
      </c>
      <c r="M68" s="379">
        <v>439</v>
      </c>
      <c r="N68" s="379">
        <v>6643</v>
      </c>
      <c r="O68" s="379">
        <v>30648</v>
      </c>
      <c r="P68" s="379">
        <v>0</v>
      </c>
      <c r="Q68" s="379">
        <v>0</v>
      </c>
      <c r="R68" s="379">
        <v>800</v>
      </c>
      <c r="S68" s="379">
        <v>6102</v>
      </c>
      <c r="T68" s="379">
        <v>0</v>
      </c>
      <c r="U68" s="379">
        <v>1471</v>
      </c>
      <c r="V68" s="379">
        <v>15614</v>
      </c>
    </row>
    <row r="69" spans="1:22" x14ac:dyDescent="0.25">
      <c r="A69" s="377">
        <v>53</v>
      </c>
      <c r="B69" s="377" t="s">
        <v>220</v>
      </c>
      <c r="C69" s="378" t="s">
        <v>179</v>
      </c>
      <c r="D69" s="379">
        <f t="shared" si="0"/>
        <v>58775</v>
      </c>
      <c r="E69" s="380">
        <v>391</v>
      </c>
      <c r="F69" s="380">
        <v>616</v>
      </c>
      <c r="G69" s="379">
        <v>2015</v>
      </c>
      <c r="H69" s="379">
        <v>19781</v>
      </c>
      <c r="I69" s="379">
        <v>0</v>
      </c>
      <c r="J69" s="379">
        <v>0</v>
      </c>
      <c r="K69" s="379">
        <v>0</v>
      </c>
      <c r="L69" s="379">
        <v>0</v>
      </c>
      <c r="M69" s="379">
        <v>0</v>
      </c>
      <c r="N69" s="379">
        <v>2724</v>
      </c>
      <c r="O69" s="379">
        <v>20545</v>
      </c>
      <c r="P69" s="379">
        <v>0</v>
      </c>
      <c r="Q69" s="379">
        <v>0</v>
      </c>
      <c r="R69" s="379">
        <v>0</v>
      </c>
      <c r="S69" s="379">
        <v>4506</v>
      </c>
      <c r="T69" s="379">
        <v>0</v>
      </c>
      <c r="U69" s="379">
        <v>2806</v>
      </c>
      <c r="V69" s="379">
        <v>5391</v>
      </c>
    </row>
    <row r="70" spans="1:22" x14ac:dyDescent="0.25">
      <c r="A70" s="377">
        <v>54</v>
      </c>
      <c r="B70" s="377" t="s">
        <v>224</v>
      </c>
      <c r="C70" s="382" t="s">
        <v>176</v>
      </c>
      <c r="D70" s="379">
        <f t="shared" si="0"/>
        <v>45149</v>
      </c>
      <c r="E70" s="380">
        <v>255</v>
      </c>
      <c r="F70" s="380">
        <v>523</v>
      </c>
      <c r="G70" s="379">
        <v>2924</v>
      </c>
      <c r="H70" s="379">
        <v>18722</v>
      </c>
      <c r="I70" s="379">
        <v>0</v>
      </c>
      <c r="J70" s="379">
        <v>0</v>
      </c>
      <c r="K70" s="379">
        <v>0</v>
      </c>
      <c r="L70" s="379">
        <v>0</v>
      </c>
      <c r="M70" s="379">
        <v>0</v>
      </c>
      <c r="N70" s="379">
        <v>2327</v>
      </c>
      <c r="O70" s="379">
        <v>11410</v>
      </c>
      <c r="P70" s="379">
        <v>0</v>
      </c>
      <c r="Q70" s="379">
        <v>0</v>
      </c>
      <c r="R70" s="379">
        <v>0</v>
      </c>
      <c r="S70" s="379">
        <v>4241</v>
      </c>
      <c r="T70" s="379">
        <v>0</v>
      </c>
      <c r="U70" s="379">
        <v>902</v>
      </c>
      <c r="V70" s="379">
        <v>3845</v>
      </c>
    </row>
    <row r="71" spans="1:22" x14ac:dyDescent="0.25">
      <c r="A71" s="377">
        <v>55</v>
      </c>
      <c r="B71" s="377" t="s">
        <v>232</v>
      </c>
      <c r="C71" s="378" t="s">
        <v>169</v>
      </c>
      <c r="D71" s="379">
        <f t="shared" si="0"/>
        <v>68427</v>
      </c>
      <c r="E71" s="380">
        <v>395</v>
      </c>
      <c r="F71" s="380">
        <v>788</v>
      </c>
      <c r="G71" s="379">
        <v>850</v>
      </c>
      <c r="H71" s="379">
        <v>30796</v>
      </c>
      <c r="I71" s="379">
        <v>0</v>
      </c>
      <c r="J71" s="379">
        <v>0</v>
      </c>
      <c r="K71" s="379">
        <v>0</v>
      </c>
      <c r="L71" s="379">
        <v>0</v>
      </c>
      <c r="M71" s="379">
        <v>0</v>
      </c>
      <c r="N71" s="379">
        <v>5889</v>
      </c>
      <c r="O71" s="379">
        <v>9130</v>
      </c>
      <c r="P71" s="379">
        <v>0</v>
      </c>
      <c r="Q71" s="379">
        <v>0</v>
      </c>
      <c r="R71" s="379">
        <v>2388</v>
      </c>
      <c r="S71" s="379">
        <v>5998</v>
      </c>
      <c r="T71" s="379">
        <v>0</v>
      </c>
      <c r="U71" s="379">
        <v>3117</v>
      </c>
      <c r="V71" s="379">
        <v>9076</v>
      </c>
    </row>
    <row r="72" spans="1:22" x14ac:dyDescent="0.25">
      <c r="A72" s="377">
        <v>56</v>
      </c>
      <c r="B72" s="377" t="s">
        <v>307</v>
      </c>
      <c r="C72" s="378" t="s">
        <v>600</v>
      </c>
      <c r="D72" s="379">
        <f t="shared" si="0"/>
        <v>44</v>
      </c>
      <c r="E72" s="380">
        <v>0</v>
      </c>
      <c r="F72" s="380">
        <v>0</v>
      </c>
      <c r="G72" s="379">
        <v>0</v>
      </c>
      <c r="H72" s="379">
        <v>0</v>
      </c>
      <c r="I72" s="379">
        <v>0</v>
      </c>
      <c r="J72" s="379">
        <v>0</v>
      </c>
      <c r="K72" s="379">
        <v>44</v>
      </c>
      <c r="L72" s="379">
        <v>0</v>
      </c>
      <c r="M72" s="379">
        <v>0</v>
      </c>
      <c r="N72" s="379">
        <v>0</v>
      </c>
      <c r="O72" s="379">
        <v>0</v>
      </c>
      <c r="P72" s="379">
        <v>0</v>
      </c>
      <c r="Q72" s="379">
        <v>0</v>
      </c>
      <c r="R72" s="379">
        <v>0</v>
      </c>
      <c r="S72" s="379">
        <v>0</v>
      </c>
      <c r="T72" s="379">
        <v>0</v>
      </c>
      <c r="U72" s="379">
        <v>0</v>
      </c>
      <c r="V72" s="379">
        <v>0</v>
      </c>
    </row>
    <row r="73" spans="1:22" x14ac:dyDescent="0.25">
      <c r="A73" s="377">
        <v>57</v>
      </c>
      <c r="B73" s="377" t="s">
        <v>252</v>
      </c>
      <c r="C73" s="382" t="s">
        <v>167</v>
      </c>
      <c r="D73" s="379">
        <f t="shared" si="0"/>
        <v>28865</v>
      </c>
      <c r="E73" s="380">
        <v>145</v>
      </c>
      <c r="F73" s="380">
        <v>369</v>
      </c>
      <c r="G73" s="379">
        <v>861</v>
      </c>
      <c r="H73" s="379">
        <v>12212</v>
      </c>
      <c r="I73" s="379">
        <v>0</v>
      </c>
      <c r="J73" s="379">
        <v>0</v>
      </c>
      <c r="K73" s="379">
        <v>0</v>
      </c>
      <c r="L73" s="379">
        <v>0</v>
      </c>
      <c r="M73" s="379">
        <v>0</v>
      </c>
      <c r="N73" s="379">
        <v>2251</v>
      </c>
      <c r="O73" s="379">
        <v>5513</v>
      </c>
      <c r="P73" s="379">
        <v>0</v>
      </c>
      <c r="Q73" s="379">
        <v>0</v>
      </c>
      <c r="R73" s="379">
        <v>200</v>
      </c>
      <c r="S73" s="379">
        <v>2808</v>
      </c>
      <c r="T73" s="379">
        <v>0</v>
      </c>
      <c r="U73" s="379">
        <v>306</v>
      </c>
      <c r="V73" s="379">
        <v>4200</v>
      </c>
    </row>
    <row r="74" spans="1:22" x14ac:dyDescent="0.25">
      <c r="A74" s="377">
        <v>58</v>
      </c>
      <c r="B74" s="377" t="s">
        <v>268</v>
      </c>
      <c r="C74" s="382" t="s">
        <v>154</v>
      </c>
      <c r="D74" s="379">
        <f t="shared" si="0"/>
        <v>57518</v>
      </c>
      <c r="E74" s="380">
        <v>400</v>
      </c>
      <c r="F74" s="380">
        <v>575</v>
      </c>
      <c r="G74" s="379">
        <v>780</v>
      </c>
      <c r="H74" s="379">
        <v>17489</v>
      </c>
      <c r="I74" s="379">
        <v>0</v>
      </c>
      <c r="J74" s="379">
        <v>0</v>
      </c>
      <c r="K74" s="379">
        <v>0</v>
      </c>
      <c r="L74" s="379">
        <v>1025</v>
      </c>
      <c r="M74" s="379">
        <v>439</v>
      </c>
      <c r="N74" s="379">
        <v>1131</v>
      </c>
      <c r="O74" s="379">
        <v>12279</v>
      </c>
      <c r="P74" s="379">
        <v>0</v>
      </c>
      <c r="Q74" s="379">
        <v>0</v>
      </c>
      <c r="R74" s="379">
        <v>6354</v>
      </c>
      <c r="S74" s="379">
        <v>5239</v>
      </c>
      <c r="T74" s="379">
        <v>0</v>
      </c>
      <c r="U74" s="379">
        <v>442</v>
      </c>
      <c r="V74" s="379">
        <v>11365</v>
      </c>
    </row>
    <row r="75" spans="1:22" x14ac:dyDescent="0.25">
      <c r="A75" s="377">
        <v>59</v>
      </c>
      <c r="B75" s="377" t="s">
        <v>271</v>
      </c>
      <c r="C75" s="382" t="s">
        <v>151</v>
      </c>
      <c r="D75" s="379">
        <f t="shared" ref="D75:D138" si="1">E75+F75+G75+H75+I75+J75+K75+L75+M75+N75+O75+P75+Q75+R75+S75+T75+U75+V75</f>
        <v>84038</v>
      </c>
      <c r="E75" s="380">
        <v>445</v>
      </c>
      <c r="F75" s="380">
        <v>992</v>
      </c>
      <c r="G75" s="379">
        <v>5128</v>
      </c>
      <c r="H75" s="379">
        <v>31445</v>
      </c>
      <c r="I75" s="379">
        <v>0</v>
      </c>
      <c r="J75" s="379">
        <v>0</v>
      </c>
      <c r="K75" s="379">
        <v>0</v>
      </c>
      <c r="L75" s="379">
        <v>0</v>
      </c>
      <c r="M75" s="379">
        <v>0</v>
      </c>
      <c r="N75" s="379">
        <v>4406</v>
      </c>
      <c r="O75" s="379">
        <v>24854</v>
      </c>
      <c r="P75" s="379">
        <v>0</v>
      </c>
      <c r="Q75" s="379">
        <v>0</v>
      </c>
      <c r="R75" s="379">
        <v>600</v>
      </c>
      <c r="S75" s="379">
        <v>6559</v>
      </c>
      <c r="T75" s="379">
        <v>0</v>
      </c>
      <c r="U75" s="379">
        <v>242</v>
      </c>
      <c r="V75" s="379">
        <v>9367</v>
      </c>
    </row>
    <row r="76" spans="1:22" x14ac:dyDescent="0.25">
      <c r="A76" s="377">
        <v>60</v>
      </c>
      <c r="B76" s="377" t="s">
        <v>280</v>
      </c>
      <c r="C76" s="378" t="s">
        <v>145</v>
      </c>
      <c r="D76" s="379">
        <f t="shared" si="1"/>
        <v>45743</v>
      </c>
      <c r="E76" s="380">
        <v>312</v>
      </c>
      <c r="F76" s="380">
        <v>476</v>
      </c>
      <c r="G76" s="379">
        <v>605</v>
      </c>
      <c r="H76" s="379">
        <v>10718</v>
      </c>
      <c r="I76" s="379">
        <v>0</v>
      </c>
      <c r="J76" s="379">
        <v>0</v>
      </c>
      <c r="K76" s="379">
        <v>0</v>
      </c>
      <c r="L76" s="379">
        <v>0</v>
      </c>
      <c r="M76" s="379">
        <v>0</v>
      </c>
      <c r="N76" s="379">
        <v>2853</v>
      </c>
      <c r="O76" s="379">
        <v>12883</v>
      </c>
      <c r="P76" s="379">
        <v>0</v>
      </c>
      <c r="Q76" s="379">
        <v>0</v>
      </c>
      <c r="R76" s="379">
        <v>3278</v>
      </c>
      <c r="S76" s="379">
        <v>3444</v>
      </c>
      <c r="T76" s="379">
        <v>0</v>
      </c>
      <c r="U76" s="379">
        <v>1821</v>
      </c>
      <c r="V76" s="379">
        <v>9353</v>
      </c>
    </row>
    <row r="77" spans="1:22" ht="25.5" x14ac:dyDescent="0.25">
      <c r="A77" s="377">
        <v>61</v>
      </c>
      <c r="B77" s="377" t="s">
        <v>596</v>
      </c>
      <c r="C77" s="382" t="s">
        <v>597</v>
      </c>
      <c r="D77" s="379">
        <f t="shared" si="1"/>
        <v>55</v>
      </c>
      <c r="E77" s="380">
        <v>0</v>
      </c>
      <c r="F77" s="380">
        <v>0</v>
      </c>
      <c r="G77" s="379">
        <v>0</v>
      </c>
      <c r="H77" s="379">
        <v>0</v>
      </c>
      <c r="I77" s="379">
        <v>0</v>
      </c>
      <c r="J77" s="379">
        <v>0</v>
      </c>
      <c r="K77" s="379">
        <v>55</v>
      </c>
      <c r="L77" s="379">
        <v>0</v>
      </c>
      <c r="M77" s="379">
        <v>0</v>
      </c>
      <c r="N77" s="379">
        <v>0</v>
      </c>
      <c r="O77" s="379">
        <v>0</v>
      </c>
      <c r="P77" s="379">
        <v>0</v>
      </c>
      <c r="Q77" s="379">
        <v>0</v>
      </c>
      <c r="R77" s="379">
        <v>0</v>
      </c>
      <c r="S77" s="379">
        <v>0</v>
      </c>
      <c r="T77" s="379">
        <v>0</v>
      </c>
      <c r="U77" s="379">
        <v>0</v>
      </c>
      <c r="V77" s="379">
        <v>0</v>
      </c>
    </row>
    <row r="78" spans="1:22" x14ac:dyDescent="0.25">
      <c r="A78" s="377">
        <v>62</v>
      </c>
      <c r="B78" s="377" t="s">
        <v>598</v>
      </c>
      <c r="C78" s="382" t="s">
        <v>599</v>
      </c>
      <c r="D78" s="379">
        <f t="shared" si="1"/>
        <v>25</v>
      </c>
      <c r="E78" s="380">
        <v>0</v>
      </c>
      <c r="F78" s="380">
        <v>0</v>
      </c>
      <c r="G78" s="379">
        <v>0</v>
      </c>
      <c r="H78" s="379">
        <v>0</v>
      </c>
      <c r="I78" s="379">
        <v>0</v>
      </c>
      <c r="J78" s="379">
        <v>0</v>
      </c>
      <c r="K78" s="379">
        <v>25</v>
      </c>
      <c r="L78" s="379">
        <v>0</v>
      </c>
      <c r="M78" s="379">
        <v>0</v>
      </c>
      <c r="N78" s="379">
        <v>0</v>
      </c>
      <c r="O78" s="379">
        <v>0</v>
      </c>
      <c r="P78" s="379">
        <v>0</v>
      </c>
      <c r="Q78" s="379">
        <v>0</v>
      </c>
      <c r="R78" s="379">
        <v>0</v>
      </c>
      <c r="S78" s="379">
        <v>0</v>
      </c>
      <c r="T78" s="379">
        <v>0</v>
      </c>
      <c r="U78" s="379">
        <v>0</v>
      </c>
      <c r="V78" s="379">
        <v>0</v>
      </c>
    </row>
    <row r="79" spans="1:22" ht="25.5" x14ac:dyDescent="0.25">
      <c r="A79" s="377">
        <v>63</v>
      </c>
      <c r="B79" s="377" t="s">
        <v>603</v>
      </c>
      <c r="C79" s="382" t="s">
        <v>604</v>
      </c>
      <c r="D79" s="379">
        <f t="shared" si="1"/>
        <v>22</v>
      </c>
      <c r="E79" s="380">
        <v>0</v>
      </c>
      <c r="F79" s="380">
        <v>0</v>
      </c>
      <c r="G79" s="379">
        <v>0</v>
      </c>
      <c r="H79" s="379">
        <v>0</v>
      </c>
      <c r="I79" s="379">
        <v>0</v>
      </c>
      <c r="J79" s="379">
        <v>0</v>
      </c>
      <c r="K79" s="379">
        <v>22</v>
      </c>
      <c r="L79" s="379">
        <v>0</v>
      </c>
      <c r="M79" s="379">
        <v>0</v>
      </c>
      <c r="N79" s="379">
        <v>0</v>
      </c>
      <c r="O79" s="379">
        <v>0</v>
      </c>
      <c r="P79" s="379">
        <v>0</v>
      </c>
      <c r="Q79" s="379">
        <v>0</v>
      </c>
      <c r="R79" s="379">
        <v>0</v>
      </c>
      <c r="S79" s="379">
        <v>0</v>
      </c>
      <c r="T79" s="379">
        <v>0</v>
      </c>
      <c r="U79" s="379">
        <v>0</v>
      </c>
      <c r="V79" s="379">
        <v>0</v>
      </c>
    </row>
    <row r="80" spans="1:22" ht="25.5" x14ac:dyDescent="0.25">
      <c r="A80" s="377">
        <v>64</v>
      </c>
      <c r="B80" s="377" t="s">
        <v>330</v>
      </c>
      <c r="C80" s="94" t="s">
        <v>607</v>
      </c>
      <c r="D80" s="379">
        <f t="shared" si="1"/>
        <v>195871</v>
      </c>
      <c r="E80" s="380">
        <v>0</v>
      </c>
      <c r="F80" s="380">
        <v>0</v>
      </c>
      <c r="G80" s="379">
        <v>2174</v>
      </c>
      <c r="H80" s="379">
        <v>23636</v>
      </c>
      <c r="I80" s="379">
        <v>0</v>
      </c>
      <c r="J80" s="379">
        <v>0</v>
      </c>
      <c r="K80" s="379">
        <v>0</v>
      </c>
      <c r="L80" s="379">
        <v>0</v>
      </c>
      <c r="M80" s="379">
        <v>0</v>
      </c>
      <c r="N80" s="379">
        <v>3917</v>
      </c>
      <c r="O80" s="379">
        <v>48286</v>
      </c>
      <c r="P80" s="379">
        <v>111</v>
      </c>
      <c r="Q80" s="379">
        <v>0</v>
      </c>
      <c r="R80" s="379">
        <v>0</v>
      </c>
      <c r="S80" s="379">
        <v>0</v>
      </c>
      <c r="T80" s="379">
        <v>0</v>
      </c>
      <c r="U80" s="379">
        <v>1103</v>
      </c>
      <c r="V80" s="379">
        <v>116644</v>
      </c>
    </row>
    <row r="81" spans="1:22" ht="25.5" x14ac:dyDescent="0.25">
      <c r="A81" s="377">
        <v>65</v>
      </c>
      <c r="B81" s="377" t="s">
        <v>332</v>
      </c>
      <c r="C81" s="94" t="s">
        <v>608</v>
      </c>
      <c r="D81" s="379">
        <f t="shared" si="1"/>
        <v>169216</v>
      </c>
      <c r="E81" s="380">
        <v>0</v>
      </c>
      <c r="F81" s="380">
        <v>0</v>
      </c>
      <c r="G81" s="379">
        <v>1520</v>
      </c>
      <c r="H81" s="379">
        <v>20920</v>
      </c>
      <c r="I81" s="379">
        <v>0</v>
      </c>
      <c r="J81" s="379">
        <v>0</v>
      </c>
      <c r="K81" s="379">
        <v>0</v>
      </c>
      <c r="L81" s="379">
        <v>0</v>
      </c>
      <c r="M81" s="379">
        <v>0</v>
      </c>
      <c r="N81" s="379">
        <v>2055</v>
      </c>
      <c r="O81" s="379">
        <v>53385</v>
      </c>
      <c r="P81" s="379">
        <v>0</v>
      </c>
      <c r="Q81" s="379">
        <v>0</v>
      </c>
      <c r="R81" s="379">
        <v>0</v>
      </c>
      <c r="S81" s="379">
        <v>0</v>
      </c>
      <c r="T81" s="379">
        <v>0</v>
      </c>
      <c r="U81" s="379">
        <v>408</v>
      </c>
      <c r="V81" s="379">
        <v>90928</v>
      </c>
    </row>
    <row r="82" spans="1:22" ht="25.5" x14ac:dyDescent="0.25">
      <c r="A82" s="377">
        <v>66</v>
      </c>
      <c r="B82" s="377" t="s">
        <v>334</v>
      </c>
      <c r="C82" s="94" t="s">
        <v>609</v>
      </c>
      <c r="D82" s="379">
        <f t="shared" si="1"/>
        <v>233874</v>
      </c>
      <c r="E82" s="380">
        <v>0</v>
      </c>
      <c r="F82" s="380">
        <v>0</v>
      </c>
      <c r="G82" s="379">
        <v>2631</v>
      </c>
      <c r="H82" s="379">
        <v>27369</v>
      </c>
      <c r="I82" s="379">
        <v>0</v>
      </c>
      <c r="J82" s="379">
        <v>0</v>
      </c>
      <c r="K82" s="379">
        <v>0</v>
      </c>
      <c r="L82" s="379">
        <v>0</v>
      </c>
      <c r="M82" s="379">
        <v>0</v>
      </c>
      <c r="N82" s="379">
        <v>3052</v>
      </c>
      <c r="O82" s="379">
        <v>64080</v>
      </c>
      <c r="P82" s="379">
        <v>0</v>
      </c>
      <c r="Q82" s="379">
        <v>0</v>
      </c>
      <c r="R82" s="379">
        <v>0</v>
      </c>
      <c r="S82" s="379">
        <v>0</v>
      </c>
      <c r="T82" s="379">
        <v>0</v>
      </c>
      <c r="U82" s="379">
        <v>1764</v>
      </c>
      <c r="V82" s="379">
        <v>134978</v>
      </c>
    </row>
    <row r="83" spans="1:22" ht="25.5" x14ac:dyDescent="0.25">
      <c r="A83" s="377">
        <v>67</v>
      </c>
      <c r="B83" s="377" t="s">
        <v>336</v>
      </c>
      <c r="C83" s="94" t="s">
        <v>610</v>
      </c>
      <c r="D83" s="379">
        <f t="shared" si="1"/>
        <v>291759</v>
      </c>
      <c r="E83" s="380">
        <v>0</v>
      </c>
      <c r="F83" s="380">
        <v>0</v>
      </c>
      <c r="G83" s="379">
        <v>2057</v>
      </c>
      <c r="H83" s="379">
        <v>30443</v>
      </c>
      <c r="I83" s="379">
        <v>0</v>
      </c>
      <c r="J83" s="379">
        <v>8310</v>
      </c>
      <c r="K83" s="379">
        <v>0</v>
      </c>
      <c r="L83" s="379">
        <v>0</v>
      </c>
      <c r="M83" s="379">
        <v>0</v>
      </c>
      <c r="N83" s="379">
        <v>2168</v>
      </c>
      <c r="O83" s="379">
        <v>66588</v>
      </c>
      <c r="P83" s="379">
        <v>0</v>
      </c>
      <c r="Q83" s="379">
        <v>0</v>
      </c>
      <c r="R83" s="379">
        <v>0</v>
      </c>
      <c r="S83" s="379">
        <v>0</v>
      </c>
      <c r="T83" s="379">
        <v>0</v>
      </c>
      <c r="U83" s="379">
        <v>6344</v>
      </c>
      <c r="V83" s="379">
        <v>175849</v>
      </c>
    </row>
    <row r="84" spans="1:22" ht="25.5" x14ac:dyDescent="0.25">
      <c r="A84" s="377">
        <v>68</v>
      </c>
      <c r="B84" s="377" t="s">
        <v>338</v>
      </c>
      <c r="C84" s="94" t="s">
        <v>611</v>
      </c>
      <c r="D84" s="379">
        <f t="shared" si="1"/>
        <v>105540</v>
      </c>
      <c r="E84" s="380">
        <v>0</v>
      </c>
      <c r="F84" s="380">
        <v>0</v>
      </c>
      <c r="G84" s="379">
        <v>140</v>
      </c>
      <c r="H84" s="379">
        <v>19169</v>
      </c>
      <c r="I84" s="379">
        <v>0</v>
      </c>
      <c r="J84" s="379">
        <v>0</v>
      </c>
      <c r="K84" s="379">
        <v>0</v>
      </c>
      <c r="L84" s="379">
        <v>0</v>
      </c>
      <c r="M84" s="379">
        <v>0</v>
      </c>
      <c r="N84" s="379">
        <v>3137</v>
      </c>
      <c r="O84" s="379">
        <v>33960</v>
      </c>
      <c r="P84" s="379">
        <v>0</v>
      </c>
      <c r="Q84" s="379">
        <v>0</v>
      </c>
      <c r="R84" s="379">
        <v>0</v>
      </c>
      <c r="S84" s="379">
        <v>0</v>
      </c>
      <c r="T84" s="379">
        <v>0</v>
      </c>
      <c r="U84" s="379">
        <v>1611</v>
      </c>
      <c r="V84" s="379">
        <v>47523</v>
      </c>
    </row>
    <row r="85" spans="1:22" ht="25.5" x14ac:dyDescent="0.25">
      <c r="A85" s="377">
        <v>69</v>
      </c>
      <c r="B85" s="377" t="s">
        <v>612</v>
      </c>
      <c r="C85" s="94" t="s">
        <v>613</v>
      </c>
      <c r="D85" s="379">
        <f t="shared" si="1"/>
        <v>29476</v>
      </c>
      <c r="E85" s="380">
        <v>0</v>
      </c>
      <c r="F85" s="380">
        <v>0</v>
      </c>
      <c r="G85" s="379">
        <v>0</v>
      </c>
      <c r="H85" s="379">
        <v>0</v>
      </c>
      <c r="I85" s="379">
        <v>0</v>
      </c>
      <c r="J85" s="379">
        <v>0</v>
      </c>
      <c r="K85" s="379">
        <v>22468</v>
      </c>
      <c r="L85" s="379">
        <v>0</v>
      </c>
      <c r="M85" s="379">
        <v>0</v>
      </c>
      <c r="N85" s="379">
        <v>0</v>
      </c>
      <c r="O85" s="379">
        <v>0</v>
      </c>
      <c r="P85" s="379">
        <v>0</v>
      </c>
      <c r="Q85" s="379">
        <v>7000</v>
      </c>
      <c r="R85" s="379">
        <v>0</v>
      </c>
      <c r="S85" s="379">
        <v>0</v>
      </c>
      <c r="T85" s="379">
        <v>8</v>
      </c>
      <c r="U85" s="379">
        <v>0</v>
      </c>
      <c r="V85" s="379">
        <v>0</v>
      </c>
    </row>
    <row r="86" spans="1:22" ht="25.5" x14ac:dyDescent="0.25">
      <c r="A86" s="377">
        <v>70</v>
      </c>
      <c r="B86" s="377" t="s">
        <v>614</v>
      </c>
      <c r="C86" s="94" t="s">
        <v>615</v>
      </c>
      <c r="D86" s="379">
        <f t="shared" si="1"/>
        <v>31433</v>
      </c>
      <c r="E86" s="380">
        <v>0</v>
      </c>
      <c r="F86" s="380">
        <v>0</v>
      </c>
      <c r="G86" s="379">
        <v>0</v>
      </c>
      <c r="H86" s="379">
        <v>0</v>
      </c>
      <c r="I86" s="379">
        <v>0</v>
      </c>
      <c r="J86" s="379">
        <v>0</v>
      </c>
      <c r="K86" s="379">
        <v>11100</v>
      </c>
      <c r="L86" s="379">
        <v>0</v>
      </c>
      <c r="M86" s="379">
        <v>0</v>
      </c>
      <c r="N86" s="379">
        <v>0</v>
      </c>
      <c r="O86" s="379">
        <v>0</v>
      </c>
      <c r="P86" s="379">
        <v>0</v>
      </c>
      <c r="Q86" s="379">
        <v>20269</v>
      </c>
      <c r="R86" s="379">
        <v>0</v>
      </c>
      <c r="S86" s="379">
        <v>0</v>
      </c>
      <c r="T86" s="379">
        <v>64</v>
      </c>
      <c r="U86" s="379">
        <v>0</v>
      </c>
      <c r="V86" s="379">
        <v>0</v>
      </c>
    </row>
    <row r="87" spans="1:22" x14ac:dyDescent="0.25">
      <c r="A87" s="377">
        <v>71</v>
      </c>
      <c r="B87" s="377" t="s">
        <v>340</v>
      </c>
      <c r="C87" s="94" t="s">
        <v>616</v>
      </c>
      <c r="D87" s="379">
        <f t="shared" si="1"/>
        <v>80354</v>
      </c>
      <c r="E87" s="380">
        <v>695</v>
      </c>
      <c r="F87" s="381">
        <v>2611</v>
      </c>
      <c r="G87" s="379">
        <v>2728</v>
      </c>
      <c r="H87" s="379">
        <v>38068</v>
      </c>
      <c r="I87" s="379">
        <v>0</v>
      </c>
      <c r="J87" s="379">
        <v>0</v>
      </c>
      <c r="K87" s="379">
        <v>0</v>
      </c>
      <c r="L87" s="379">
        <v>1025</v>
      </c>
      <c r="M87" s="379">
        <v>439</v>
      </c>
      <c r="N87" s="379">
        <v>1055</v>
      </c>
      <c r="O87" s="379">
        <v>20656</v>
      </c>
      <c r="P87" s="379">
        <v>0</v>
      </c>
      <c r="Q87" s="379">
        <v>0</v>
      </c>
      <c r="R87" s="379">
        <v>0</v>
      </c>
      <c r="S87" s="379">
        <v>454</v>
      </c>
      <c r="T87" s="379">
        <v>0</v>
      </c>
      <c r="U87" s="379">
        <v>378</v>
      </c>
      <c r="V87" s="379">
        <v>12245</v>
      </c>
    </row>
    <row r="88" spans="1:22" x14ac:dyDescent="0.25">
      <c r="A88" s="377">
        <v>72</v>
      </c>
      <c r="B88" s="377" t="s">
        <v>342</v>
      </c>
      <c r="C88" s="94" t="s">
        <v>617</v>
      </c>
      <c r="D88" s="379">
        <f t="shared" si="1"/>
        <v>56138</v>
      </c>
      <c r="E88" s="380">
        <v>700</v>
      </c>
      <c r="F88" s="381">
        <v>1437</v>
      </c>
      <c r="G88" s="379">
        <v>1437</v>
      </c>
      <c r="H88" s="379">
        <v>19693</v>
      </c>
      <c r="I88" s="379">
        <v>0</v>
      </c>
      <c r="J88" s="379">
        <v>9428</v>
      </c>
      <c r="K88" s="379">
        <v>0</v>
      </c>
      <c r="L88" s="379">
        <v>0</v>
      </c>
      <c r="M88" s="379">
        <v>0</v>
      </c>
      <c r="N88" s="379">
        <v>1560</v>
      </c>
      <c r="O88" s="379">
        <v>13853</v>
      </c>
      <c r="P88" s="379">
        <v>0</v>
      </c>
      <c r="Q88" s="379">
        <v>0</v>
      </c>
      <c r="R88" s="379">
        <v>0</v>
      </c>
      <c r="S88" s="379">
        <v>0</v>
      </c>
      <c r="T88" s="379">
        <v>0</v>
      </c>
      <c r="U88" s="379">
        <v>705</v>
      </c>
      <c r="V88" s="379">
        <v>7325</v>
      </c>
    </row>
    <row r="89" spans="1:22" x14ac:dyDescent="0.25">
      <c r="A89" s="377">
        <v>73</v>
      </c>
      <c r="B89" s="377" t="s">
        <v>344</v>
      </c>
      <c r="C89" s="94" t="s">
        <v>618</v>
      </c>
      <c r="D89" s="379">
        <f t="shared" si="1"/>
        <v>46233</v>
      </c>
      <c r="E89" s="380">
        <v>621</v>
      </c>
      <c r="F89" s="381">
        <v>1437</v>
      </c>
      <c r="G89" s="379">
        <v>2165</v>
      </c>
      <c r="H89" s="379">
        <v>26666</v>
      </c>
      <c r="I89" s="379">
        <v>0</v>
      </c>
      <c r="J89" s="379">
        <v>0</v>
      </c>
      <c r="K89" s="379">
        <v>0</v>
      </c>
      <c r="L89" s="379">
        <v>0</v>
      </c>
      <c r="M89" s="379">
        <v>0</v>
      </c>
      <c r="N89" s="379">
        <v>6986</v>
      </c>
      <c r="O89" s="379">
        <v>1214</v>
      </c>
      <c r="P89" s="379">
        <v>0</v>
      </c>
      <c r="Q89" s="379">
        <v>0</v>
      </c>
      <c r="R89" s="379">
        <v>220</v>
      </c>
      <c r="S89" s="379">
        <v>0</v>
      </c>
      <c r="T89" s="379">
        <v>0</v>
      </c>
      <c r="U89" s="379">
        <v>2237</v>
      </c>
      <c r="V89" s="379">
        <v>4687</v>
      </c>
    </row>
    <row r="90" spans="1:22" x14ac:dyDescent="0.25">
      <c r="A90" s="377">
        <v>74</v>
      </c>
      <c r="B90" s="377" t="s">
        <v>346</v>
      </c>
      <c r="C90" s="94" t="s">
        <v>619</v>
      </c>
      <c r="D90" s="379">
        <f t="shared" si="1"/>
        <v>47678</v>
      </c>
      <c r="E90" s="380">
        <v>516</v>
      </c>
      <c r="F90" s="381">
        <v>1038</v>
      </c>
      <c r="G90" s="379">
        <v>1438</v>
      </c>
      <c r="H90" s="379">
        <v>17119</v>
      </c>
      <c r="I90" s="379">
        <v>0</v>
      </c>
      <c r="J90" s="379">
        <v>13986</v>
      </c>
      <c r="K90" s="379">
        <v>0</v>
      </c>
      <c r="L90" s="379">
        <v>0</v>
      </c>
      <c r="M90" s="379">
        <v>0</v>
      </c>
      <c r="N90" s="379">
        <v>2756</v>
      </c>
      <c r="O90" s="379">
        <v>5071</v>
      </c>
      <c r="P90" s="379">
        <v>0</v>
      </c>
      <c r="Q90" s="379">
        <v>0</v>
      </c>
      <c r="R90" s="379">
        <v>0</v>
      </c>
      <c r="S90" s="379">
        <v>0</v>
      </c>
      <c r="T90" s="379">
        <v>0</v>
      </c>
      <c r="U90" s="379">
        <v>0</v>
      </c>
      <c r="V90" s="379">
        <v>5754</v>
      </c>
    </row>
    <row r="91" spans="1:22" x14ac:dyDescent="0.25">
      <c r="A91" s="377">
        <v>75</v>
      </c>
      <c r="B91" s="377" t="s">
        <v>348</v>
      </c>
      <c r="C91" s="94" t="s">
        <v>620</v>
      </c>
      <c r="D91" s="379">
        <f t="shared" si="1"/>
        <v>115818</v>
      </c>
      <c r="E91" s="381">
        <v>1211</v>
      </c>
      <c r="F91" s="381">
        <v>2836</v>
      </c>
      <c r="G91" s="379">
        <v>12988</v>
      </c>
      <c r="H91" s="379">
        <v>30693</v>
      </c>
      <c r="I91" s="379">
        <v>0</v>
      </c>
      <c r="J91" s="379">
        <v>0</v>
      </c>
      <c r="K91" s="379">
        <v>0</v>
      </c>
      <c r="L91" s="379">
        <v>1025</v>
      </c>
      <c r="M91" s="379">
        <v>439</v>
      </c>
      <c r="N91" s="379">
        <v>14609</v>
      </c>
      <c r="O91" s="379">
        <v>33111</v>
      </c>
      <c r="P91" s="379">
        <v>0</v>
      </c>
      <c r="Q91" s="379">
        <v>0</v>
      </c>
      <c r="R91" s="379">
        <v>0</v>
      </c>
      <c r="S91" s="379">
        <v>0</v>
      </c>
      <c r="T91" s="379">
        <v>0</v>
      </c>
      <c r="U91" s="379">
        <v>5937</v>
      </c>
      <c r="V91" s="379">
        <v>12969</v>
      </c>
    </row>
    <row r="92" spans="1:22" x14ac:dyDescent="0.25">
      <c r="A92" s="377">
        <v>76</v>
      </c>
      <c r="B92" s="377" t="s">
        <v>350</v>
      </c>
      <c r="C92" s="94" t="s">
        <v>621</v>
      </c>
      <c r="D92" s="379">
        <f t="shared" si="1"/>
        <v>59056</v>
      </c>
      <c r="E92" s="380">
        <v>686</v>
      </c>
      <c r="F92" s="381">
        <v>1376</v>
      </c>
      <c r="G92" s="379">
        <v>4777</v>
      </c>
      <c r="H92" s="379">
        <v>12243</v>
      </c>
      <c r="I92" s="379">
        <v>0</v>
      </c>
      <c r="J92" s="379">
        <v>0</v>
      </c>
      <c r="K92" s="379">
        <v>0</v>
      </c>
      <c r="L92" s="379">
        <f>1025+200</f>
        <v>1225</v>
      </c>
      <c r="M92" s="379">
        <v>439</v>
      </c>
      <c r="N92" s="379">
        <v>6926</v>
      </c>
      <c r="O92" s="379">
        <v>18414</v>
      </c>
      <c r="P92" s="379">
        <v>0</v>
      </c>
      <c r="Q92" s="379">
        <v>0</v>
      </c>
      <c r="R92" s="379">
        <v>0</v>
      </c>
      <c r="S92" s="379">
        <v>0</v>
      </c>
      <c r="T92" s="379">
        <v>0</v>
      </c>
      <c r="U92" s="379">
        <v>8545</v>
      </c>
      <c r="V92" s="379">
        <v>4425</v>
      </c>
    </row>
    <row r="93" spans="1:22" x14ac:dyDescent="0.25">
      <c r="A93" s="377">
        <v>77</v>
      </c>
      <c r="B93" s="377" t="s">
        <v>352</v>
      </c>
      <c r="C93" s="94" t="s">
        <v>489</v>
      </c>
      <c r="D93" s="379">
        <f t="shared" si="1"/>
        <v>61738</v>
      </c>
      <c r="E93" s="380">
        <v>726</v>
      </c>
      <c r="F93" s="381">
        <v>1606</v>
      </c>
      <c r="G93" s="379">
        <v>2187</v>
      </c>
      <c r="H93" s="379">
        <v>28134</v>
      </c>
      <c r="I93" s="379">
        <v>0</v>
      </c>
      <c r="J93" s="379">
        <v>9234</v>
      </c>
      <c r="K93" s="379">
        <v>0</v>
      </c>
      <c r="L93" s="379">
        <v>1025</v>
      </c>
      <c r="M93" s="379">
        <v>439</v>
      </c>
      <c r="N93" s="379">
        <v>3270</v>
      </c>
      <c r="O93" s="379">
        <v>8299</v>
      </c>
      <c r="P93" s="379">
        <v>397</v>
      </c>
      <c r="Q93" s="379">
        <v>0</v>
      </c>
      <c r="R93" s="379">
        <v>0</v>
      </c>
      <c r="S93" s="379">
        <v>0</v>
      </c>
      <c r="T93" s="379">
        <v>0</v>
      </c>
      <c r="U93" s="379">
        <v>2485</v>
      </c>
      <c r="V93" s="379">
        <v>3936</v>
      </c>
    </row>
    <row r="94" spans="1:22" x14ac:dyDescent="0.25">
      <c r="A94" s="377">
        <v>78</v>
      </c>
      <c r="B94" s="377" t="s">
        <v>354</v>
      </c>
      <c r="C94" s="94" t="s">
        <v>622</v>
      </c>
      <c r="D94" s="379">
        <f t="shared" si="1"/>
        <v>29738</v>
      </c>
      <c r="E94" s="380">
        <v>460</v>
      </c>
      <c r="F94" s="380">
        <v>928</v>
      </c>
      <c r="G94" s="379">
        <v>1587</v>
      </c>
      <c r="H94" s="379">
        <v>16029</v>
      </c>
      <c r="I94" s="379">
        <v>0</v>
      </c>
      <c r="J94" s="379">
        <v>0</v>
      </c>
      <c r="K94" s="379">
        <v>0</v>
      </c>
      <c r="L94" s="379">
        <v>0</v>
      </c>
      <c r="M94" s="379">
        <v>0</v>
      </c>
      <c r="N94" s="379">
        <v>1144</v>
      </c>
      <c r="O94" s="379">
        <v>4854</v>
      </c>
      <c r="P94" s="379">
        <v>0</v>
      </c>
      <c r="Q94" s="379">
        <v>0</v>
      </c>
      <c r="R94" s="379">
        <v>0</v>
      </c>
      <c r="S94" s="379">
        <v>0</v>
      </c>
      <c r="T94" s="379">
        <v>0</v>
      </c>
      <c r="U94" s="379">
        <v>1480</v>
      </c>
      <c r="V94" s="379">
        <v>3256</v>
      </c>
    </row>
    <row r="95" spans="1:22" x14ac:dyDescent="0.25">
      <c r="A95" s="377">
        <v>79</v>
      </c>
      <c r="B95" s="377" t="s">
        <v>356</v>
      </c>
      <c r="C95" s="94" t="s">
        <v>623</v>
      </c>
      <c r="D95" s="379">
        <f t="shared" si="1"/>
        <v>118124</v>
      </c>
      <c r="E95" s="381">
        <v>1213</v>
      </c>
      <c r="F95" s="381">
        <v>2737</v>
      </c>
      <c r="G95" s="379">
        <v>7268</v>
      </c>
      <c r="H95" s="379">
        <v>42565</v>
      </c>
      <c r="I95" s="379">
        <v>0</v>
      </c>
      <c r="J95" s="379">
        <v>0</v>
      </c>
      <c r="K95" s="379">
        <v>0</v>
      </c>
      <c r="L95" s="379">
        <v>1025</v>
      </c>
      <c r="M95" s="379">
        <v>439</v>
      </c>
      <c r="N95" s="379">
        <v>14421</v>
      </c>
      <c r="O95" s="379">
        <v>33597</v>
      </c>
      <c r="P95" s="379">
        <v>0</v>
      </c>
      <c r="Q95" s="379">
        <v>0</v>
      </c>
      <c r="R95" s="379">
        <v>0</v>
      </c>
      <c r="S95" s="379">
        <v>0</v>
      </c>
      <c r="T95" s="379">
        <v>0</v>
      </c>
      <c r="U95" s="379">
        <v>6045</v>
      </c>
      <c r="V95" s="379">
        <v>8814</v>
      </c>
    </row>
    <row r="96" spans="1:22" x14ac:dyDescent="0.25">
      <c r="A96" s="377">
        <v>80</v>
      </c>
      <c r="B96" s="377" t="s">
        <v>358</v>
      </c>
      <c r="C96" s="94" t="s">
        <v>624</v>
      </c>
      <c r="D96" s="379">
        <f t="shared" si="1"/>
        <v>39483</v>
      </c>
      <c r="E96" s="380">
        <v>605</v>
      </c>
      <c r="F96" s="381">
        <v>1216</v>
      </c>
      <c r="G96" s="379">
        <v>943</v>
      </c>
      <c r="H96" s="379">
        <v>19215</v>
      </c>
      <c r="I96" s="379">
        <v>0</v>
      </c>
      <c r="J96" s="379">
        <v>0</v>
      </c>
      <c r="K96" s="379">
        <v>0</v>
      </c>
      <c r="L96" s="379">
        <v>0</v>
      </c>
      <c r="M96" s="379">
        <v>0</v>
      </c>
      <c r="N96" s="379">
        <v>4993</v>
      </c>
      <c r="O96" s="379">
        <v>7052</v>
      </c>
      <c r="P96" s="379">
        <v>0</v>
      </c>
      <c r="Q96" s="379">
        <v>0</v>
      </c>
      <c r="R96" s="379">
        <v>0</v>
      </c>
      <c r="S96" s="379">
        <v>0</v>
      </c>
      <c r="T96" s="379">
        <v>0</v>
      </c>
      <c r="U96" s="379">
        <v>650</v>
      </c>
      <c r="V96" s="379">
        <v>4809</v>
      </c>
    </row>
    <row r="97" spans="1:22" x14ac:dyDescent="0.25">
      <c r="A97" s="377">
        <v>81</v>
      </c>
      <c r="B97" s="377" t="s">
        <v>360</v>
      </c>
      <c r="C97" s="94" t="s">
        <v>625</v>
      </c>
      <c r="D97" s="379">
        <f t="shared" si="1"/>
        <v>38679</v>
      </c>
      <c r="E97" s="380">
        <v>588</v>
      </c>
      <c r="F97" s="381">
        <v>1182</v>
      </c>
      <c r="G97" s="379">
        <v>2341</v>
      </c>
      <c r="H97" s="379">
        <v>15159</v>
      </c>
      <c r="I97" s="379">
        <v>0</v>
      </c>
      <c r="J97" s="379">
        <v>0</v>
      </c>
      <c r="K97" s="379">
        <v>0</v>
      </c>
      <c r="L97" s="379">
        <v>0</v>
      </c>
      <c r="M97" s="379">
        <v>0</v>
      </c>
      <c r="N97" s="379">
        <v>4031</v>
      </c>
      <c r="O97" s="379">
        <v>9237</v>
      </c>
      <c r="P97" s="379">
        <v>0</v>
      </c>
      <c r="Q97" s="379">
        <v>0</v>
      </c>
      <c r="R97" s="379">
        <v>0</v>
      </c>
      <c r="S97" s="379">
        <v>0</v>
      </c>
      <c r="T97" s="379">
        <v>0</v>
      </c>
      <c r="U97" s="379">
        <v>2337</v>
      </c>
      <c r="V97" s="379">
        <v>3804</v>
      </c>
    </row>
    <row r="98" spans="1:22" ht="25.5" x14ac:dyDescent="0.25">
      <c r="A98" s="377">
        <v>82</v>
      </c>
      <c r="B98" s="377" t="s">
        <v>626</v>
      </c>
      <c r="C98" s="94" t="s">
        <v>627</v>
      </c>
      <c r="D98" s="379">
        <f t="shared" si="1"/>
        <v>3111</v>
      </c>
      <c r="E98" s="380">
        <v>0</v>
      </c>
      <c r="F98" s="380">
        <v>0</v>
      </c>
      <c r="G98" s="379">
        <v>0</v>
      </c>
      <c r="H98" s="379">
        <v>0</v>
      </c>
      <c r="I98" s="379">
        <v>0</v>
      </c>
      <c r="J98" s="379">
        <v>0</v>
      </c>
      <c r="K98" s="379">
        <v>2398</v>
      </c>
      <c r="L98" s="379">
        <v>0</v>
      </c>
      <c r="M98" s="379">
        <v>0</v>
      </c>
      <c r="N98" s="379">
        <v>0</v>
      </c>
      <c r="O98" s="379">
        <v>0</v>
      </c>
      <c r="P98" s="379">
        <v>0</v>
      </c>
      <c r="Q98" s="379">
        <v>319</v>
      </c>
      <c r="R98" s="379">
        <v>0</v>
      </c>
      <c r="S98" s="379">
        <v>0</v>
      </c>
      <c r="T98" s="379">
        <v>394</v>
      </c>
      <c r="U98" s="379">
        <v>0</v>
      </c>
      <c r="V98" s="379">
        <v>0</v>
      </c>
    </row>
    <row r="99" spans="1:22" ht="25.5" x14ac:dyDescent="0.25">
      <c r="A99" s="377">
        <v>83</v>
      </c>
      <c r="B99" s="377" t="s">
        <v>628</v>
      </c>
      <c r="C99" s="94" t="s">
        <v>629</v>
      </c>
      <c r="D99" s="379">
        <f t="shared" si="1"/>
        <v>3578</v>
      </c>
      <c r="E99" s="380">
        <v>0</v>
      </c>
      <c r="F99" s="380">
        <v>0</v>
      </c>
      <c r="G99" s="379">
        <v>0</v>
      </c>
      <c r="H99" s="379">
        <v>0</v>
      </c>
      <c r="I99" s="379">
        <v>0</v>
      </c>
      <c r="J99" s="379">
        <v>0</v>
      </c>
      <c r="K99" s="379">
        <v>3478</v>
      </c>
      <c r="L99" s="379">
        <v>0</v>
      </c>
      <c r="M99" s="379">
        <v>0</v>
      </c>
      <c r="N99" s="379">
        <v>0</v>
      </c>
      <c r="O99" s="379">
        <v>0</v>
      </c>
      <c r="P99" s="379">
        <v>0</v>
      </c>
      <c r="Q99" s="379">
        <v>0</v>
      </c>
      <c r="R99" s="379">
        <v>0</v>
      </c>
      <c r="S99" s="379">
        <v>0</v>
      </c>
      <c r="T99" s="379">
        <v>100</v>
      </c>
      <c r="U99" s="379">
        <v>0</v>
      </c>
      <c r="V99" s="379">
        <v>0</v>
      </c>
    </row>
    <row r="100" spans="1:22" ht="25.5" x14ac:dyDescent="0.25">
      <c r="A100" s="377">
        <v>84</v>
      </c>
      <c r="B100" s="377" t="s">
        <v>630</v>
      </c>
      <c r="C100" s="94" t="s">
        <v>631</v>
      </c>
      <c r="D100" s="379">
        <f t="shared" si="1"/>
        <v>4126</v>
      </c>
      <c r="E100" s="380">
        <v>0</v>
      </c>
      <c r="F100" s="380">
        <v>0</v>
      </c>
      <c r="G100" s="379">
        <v>0</v>
      </c>
      <c r="H100" s="379">
        <v>0</v>
      </c>
      <c r="I100" s="379">
        <v>0</v>
      </c>
      <c r="J100" s="379">
        <v>0</v>
      </c>
      <c r="K100" s="379">
        <v>3883</v>
      </c>
      <c r="L100" s="379">
        <v>0</v>
      </c>
      <c r="M100" s="379">
        <v>0</v>
      </c>
      <c r="N100" s="379">
        <v>0</v>
      </c>
      <c r="O100" s="379">
        <v>0</v>
      </c>
      <c r="P100" s="379">
        <v>0</v>
      </c>
      <c r="Q100" s="379">
        <v>143</v>
      </c>
      <c r="R100" s="379">
        <v>0</v>
      </c>
      <c r="S100" s="379">
        <v>0</v>
      </c>
      <c r="T100" s="379">
        <v>100</v>
      </c>
      <c r="U100" s="379">
        <v>0</v>
      </c>
      <c r="V100" s="379">
        <v>0</v>
      </c>
    </row>
    <row r="101" spans="1:22" ht="25.5" x14ac:dyDescent="0.25">
      <c r="A101" s="377">
        <v>85</v>
      </c>
      <c r="B101" s="377" t="s">
        <v>632</v>
      </c>
      <c r="C101" s="94" t="s">
        <v>633</v>
      </c>
      <c r="D101" s="379">
        <f t="shared" si="1"/>
        <v>3480</v>
      </c>
      <c r="E101" s="380">
        <v>0</v>
      </c>
      <c r="F101" s="380">
        <v>0</v>
      </c>
      <c r="G101" s="379">
        <v>0</v>
      </c>
      <c r="H101" s="379">
        <v>0</v>
      </c>
      <c r="I101" s="379">
        <v>0</v>
      </c>
      <c r="J101" s="379">
        <v>0</v>
      </c>
      <c r="K101" s="379">
        <v>3040</v>
      </c>
      <c r="L101" s="379">
        <v>0</v>
      </c>
      <c r="M101" s="379">
        <v>0</v>
      </c>
      <c r="N101" s="379">
        <v>0</v>
      </c>
      <c r="O101" s="379">
        <v>0</v>
      </c>
      <c r="P101" s="379">
        <v>0</v>
      </c>
      <c r="Q101" s="379">
        <v>150</v>
      </c>
      <c r="R101" s="379">
        <v>0</v>
      </c>
      <c r="S101" s="379">
        <v>0</v>
      </c>
      <c r="T101" s="379">
        <v>290</v>
      </c>
      <c r="U101" s="379">
        <v>0</v>
      </c>
      <c r="V101" s="379">
        <v>0</v>
      </c>
    </row>
    <row r="102" spans="1:22" ht="25.5" x14ac:dyDescent="0.25">
      <c r="A102" s="377">
        <v>86</v>
      </c>
      <c r="B102" s="377" t="s">
        <v>634</v>
      </c>
      <c r="C102" s="94" t="s">
        <v>635</v>
      </c>
      <c r="D102" s="379">
        <f t="shared" si="1"/>
        <v>13472</v>
      </c>
      <c r="E102" s="380">
        <v>0</v>
      </c>
      <c r="F102" s="380">
        <v>0</v>
      </c>
      <c r="G102" s="379">
        <v>0</v>
      </c>
      <c r="H102" s="379">
        <v>0</v>
      </c>
      <c r="I102" s="379">
        <v>0</v>
      </c>
      <c r="J102" s="379">
        <v>0</v>
      </c>
      <c r="K102" s="379">
        <v>6425</v>
      </c>
      <c r="L102" s="379">
        <v>0</v>
      </c>
      <c r="M102" s="379">
        <v>0</v>
      </c>
      <c r="N102" s="379">
        <v>0</v>
      </c>
      <c r="O102" s="379">
        <v>0</v>
      </c>
      <c r="P102" s="379">
        <v>0</v>
      </c>
      <c r="Q102" s="379">
        <v>6627</v>
      </c>
      <c r="R102" s="379">
        <v>0</v>
      </c>
      <c r="S102" s="379">
        <v>0</v>
      </c>
      <c r="T102" s="379">
        <v>420</v>
      </c>
      <c r="U102" s="379">
        <v>0</v>
      </c>
      <c r="V102" s="379">
        <v>0</v>
      </c>
    </row>
    <row r="103" spans="1:22" ht="25.5" x14ac:dyDescent="0.25">
      <c r="A103" s="377">
        <v>87</v>
      </c>
      <c r="B103" s="377" t="s">
        <v>636</v>
      </c>
      <c r="C103" s="94" t="s">
        <v>855</v>
      </c>
      <c r="D103" s="379">
        <f t="shared" si="1"/>
        <v>3172</v>
      </c>
      <c r="E103" s="380">
        <v>0</v>
      </c>
      <c r="F103" s="380">
        <v>0</v>
      </c>
      <c r="G103" s="379">
        <v>0</v>
      </c>
      <c r="H103" s="379">
        <v>0</v>
      </c>
      <c r="I103" s="379">
        <v>0</v>
      </c>
      <c r="J103" s="379">
        <v>0</v>
      </c>
      <c r="K103" s="379">
        <v>2782</v>
      </c>
      <c r="L103" s="379">
        <v>0</v>
      </c>
      <c r="M103" s="379">
        <v>0</v>
      </c>
      <c r="N103" s="379">
        <v>0</v>
      </c>
      <c r="O103" s="379">
        <v>0</v>
      </c>
      <c r="P103" s="379">
        <v>0</v>
      </c>
      <c r="Q103" s="379">
        <v>240</v>
      </c>
      <c r="R103" s="379">
        <v>0</v>
      </c>
      <c r="S103" s="379">
        <v>0</v>
      </c>
      <c r="T103" s="379">
        <v>150</v>
      </c>
      <c r="U103" s="379">
        <v>0</v>
      </c>
      <c r="V103" s="379">
        <v>0</v>
      </c>
    </row>
    <row r="104" spans="1:22" ht="25.5" x14ac:dyDescent="0.25">
      <c r="A104" s="377">
        <v>88</v>
      </c>
      <c r="B104" s="377" t="s">
        <v>638</v>
      </c>
      <c r="C104" s="94" t="s">
        <v>856</v>
      </c>
      <c r="D104" s="379">
        <f t="shared" si="1"/>
        <v>2676</v>
      </c>
      <c r="E104" s="380">
        <v>0</v>
      </c>
      <c r="F104" s="380">
        <v>0</v>
      </c>
      <c r="G104" s="379">
        <v>0</v>
      </c>
      <c r="H104" s="379">
        <v>0</v>
      </c>
      <c r="I104" s="379">
        <v>0</v>
      </c>
      <c r="J104" s="379">
        <v>0</v>
      </c>
      <c r="K104" s="379">
        <v>2675</v>
      </c>
      <c r="L104" s="379">
        <v>0</v>
      </c>
      <c r="M104" s="379">
        <v>0</v>
      </c>
      <c r="N104" s="379">
        <v>0</v>
      </c>
      <c r="O104" s="379">
        <v>0</v>
      </c>
      <c r="P104" s="379">
        <v>0</v>
      </c>
      <c r="Q104" s="379">
        <v>0</v>
      </c>
      <c r="R104" s="379">
        <v>0</v>
      </c>
      <c r="S104" s="379">
        <v>0</v>
      </c>
      <c r="T104" s="379">
        <v>1</v>
      </c>
      <c r="U104" s="379">
        <v>0</v>
      </c>
      <c r="V104" s="379">
        <v>0</v>
      </c>
    </row>
    <row r="105" spans="1:22" x14ac:dyDescent="0.25">
      <c r="A105" s="377">
        <v>89</v>
      </c>
      <c r="B105" s="377" t="s">
        <v>362</v>
      </c>
      <c r="C105" s="94" t="s">
        <v>640</v>
      </c>
      <c r="D105" s="379">
        <f t="shared" si="1"/>
        <v>181509</v>
      </c>
      <c r="E105" s="380">
        <v>524</v>
      </c>
      <c r="F105" s="381">
        <v>1848</v>
      </c>
      <c r="G105" s="379">
        <v>5841</v>
      </c>
      <c r="H105" s="379">
        <v>32191</v>
      </c>
      <c r="I105" s="379">
        <v>0</v>
      </c>
      <c r="J105" s="379">
        <v>7128</v>
      </c>
      <c r="K105" s="379">
        <v>0</v>
      </c>
      <c r="L105" s="379">
        <v>0</v>
      </c>
      <c r="M105" s="379">
        <v>0</v>
      </c>
      <c r="N105" s="379">
        <v>2594</v>
      </c>
      <c r="O105" s="379">
        <v>46269</v>
      </c>
      <c r="P105" s="379">
        <v>0</v>
      </c>
      <c r="Q105" s="379">
        <v>0</v>
      </c>
      <c r="R105" s="379">
        <v>5500</v>
      </c>
      <c r="S105" s="379">
        <v>2300</v>
      </c>
      <c r="T105" s="379">
        <v>0</v>
      </c>
      <c r="U105" s="379">
        <v>1441</v>
      </c>
      <c r="V105" s="379">
        <v>75873</v>
      </c>
    </row>
    <row r="106" spans="1:22" x14ac:dyDescent="0.25">
      <c r="A106" s="377">
        <v>90</v>
      </c>
      <c r="B106" s="377" t="s">
        <v>364</v>
      </c>
      <c r="C106" s="94" t="s">
        <v>130</v>
      </c>
      <c r="D106" s="379">
        <f t="shared" si="1"/>
        <v>77211</v>
      </c>
      <c r="E106" s="380">
        <v>741</v>
      </c>
      <c r="F106" s="381">
        <v>1542</v>
      </c>
      <c r="G106" s="379">
        <v>7824</v>
      </c>
      <c r="H106" s="379">
        <v>18351</v>
      </c>
      <c r="I106" s="379">
        <v>0</v>
      </c>
      <c r="J106" s="379">
        <v>0</v>
      </c>
      <c r="K106" s="379">
        <v>0</v>
      </c>
      <c r="L106" s="379">
        <v>1025</v>
      </c>
      <c r="M106" s="379">
        <v>439</v>
      </c>
      <c r="N106" s="379">
        <v>11942</v>
      </c>
      <c r="O106" s="379">
        <v>24642</v>
      </c>
      <c r="P106" s="379">
        <v>658</v>
      </c>
      <c r="Q106" s="379">
        <v>0</v>
      </c>
      <c r="R106" s="379">
        <v>0</v>
      </c>
      <c r="S106" s="379">
        <v>0</v>
      </c>
      <c r="T106" s="379">
        <v>0</v>
      </c>
      <c r="U106" s="379">
        <v>1578</v>
      </c>
      <c r="V106" s="379">
        <v>8469</v>
      </c>
    </row>
    <row r="107" spans="1:22" x14ac:dyDescent="0.25">
      <c r="A107" s="377">
        <v>91</v>
      </c>
      <c r="B107" s="377" t="s">
        <v>366</v>
      </c>
      <c r="C107" s="94" t="s">
        <v>112</v>
      </c>
      <c r="D107" s="379">
        <f t="shared" si="1"/>
        <v>59911</v>
      </c>
      <c r="E107" s="380">
        <v>869</v>
      </c>
      <c r="F107" s="381">
        <v>1114</v>
      </c>
      <c r="G107" s="379">
        <v>2845</v>
      </c>
      <c r="H107" s="379">
        <v>28238</v>
      </c>
      <c r="I107" s="379">
        <v>0</v>
      </c>
      <c r="J107" s="379">
        <v>0</v>
      </c>
      <c r="K107" s="379">
        <v>0</v>
      </c>
      <c r="L107" s="379">
        <v>0</v>
      </c>
      <c r="M107" s="379">
        <v>0</v>
      </c>
      <c r="N107" s="379">
        <v>4777</v>
      </c>
      <c r="O107" s="379">
        <v>6036</v>
      </c>
      <c r="P107" s="379">
        <v>66</v>
      </c>
      <c r="Q107" s="379">
        <v>0</v>
      </c>
      <c r="R107" s="379">
        <v>1500</v>
      </c>
      <c r="S107" s="379">
        <v>1500</v>
      </c>
      <c r="T107" s="379">
        <v>0</v>
      </c>
      <c r="U107" s="379">
        <v>3729</v>
      </c>
      <c r="V107" s="379">
        <v>9237</v>
      </c>
    </row>
    <row r="108" spans="1:22" x14ac:dyDescent="0.25">
      <c r="A108" s="377">
        <v>92</v>
      </c>
      <c r="B108" s="377" t="s">
        <v>368</v>
      </c>
      <c r="C108" s="94" t="s">
        <v>142</v>
      </c>
      <c r="D108" s="379">
        <f t="shared" si="1"/>
        <v>32802</v>
      </c>
      <c r="E108" s="380">
        <v>377</v>
      </c>
      <c r="F108" s="380">
        <v>759</v>
      </c>
      <c r="G108" s="379">
        <v>1470</v>
      </c>
      <c r="H108" s="379">
        <v>10074</v>
      </c>
      <c r="I108" s="379">
        <v>0</v>
      </c>
      <c r="J108" s="379">
        <v>0</v>
      </c>
      <c r="K108" s="379">
        <v>0</v>
      </c>
      <c r="L108" s="379">
        <v>0</v>
      </c>
      <c r="M108" s="379">
        <v>0</v>
      </c>
      <c r="N108" s="379">
        <v>4530</v>
      </c>
      <c r="O108" s="379">
        <v>7480</v>
      </c>
      <c r="P108" s="379">
        <v>0</v>
      </c>
      <c r="Q108" s="379">
        <v>0</v>
      </c>
      <c r="R108" s="379">
        <v>2450</v>
      </c>
      <c r="S108" s="379">
        <v>0</v>
      </c>
      <c r="T108" s="379">
        <v>0</v>
      </c>
      <c r="U108" s="379">
        <v>1490</v>
      </c>
      <c r="V108" s="379">
        <v>4172</v>
      </c>
    </row>
    <row r="109" spans="1:22" x14ac:dyDescent="0.25">
      <c r="A109" s="377">
        <v>93</v>
      </c>
      <c r="B109" s="377" t="s">
        <v>370</v>
      </c>
      <c r="C109" s="94" t="s">
        <v>93</v>
      </c>
      <c r="D109" s="379">
        <f t="shared" si="1"/>
        <v>21432</v>
      </c>
      <c r="E109" s="380">
        <v>163</v>
      </c>
      <c r="F109" s="380">
        <v>364</v>
      </c>
      <c r="G109" s="379">
        <v>291</v>
      </c>
      <c r="H109" s="379">
        <v>5281</v>
      </c>
      <c r="I109" s="379">
        <v>0</v>
      </c>
      <c r="J109" s="379">
        <v>8357</v>
      </c>
      <c r="K109" s="379">
        <v>0</v>
      </c>
      <c r="L109" s="379">
        <v>1025</v>
      </c>
      <c r="M109" s="379">
        <v>439</v>
      </c>
      <c r="N109" s="379">
        <v>106</v>
      </c>
      <c r="O109" s="379">
        <v>2677</v>
      </c>
      <c r="P109" s="379">
        <v>0</v>
      </c>
      <c r="Q109" s="379">
        <v>0</v>
      </c>
      <c r="R109" s="379">
        <v>0</v>
      </c>
      <c r="S109" s="379">
        <v>0</v>
      </c>
      <c r="T109" s="379">
        <v>0</v>
      </c>
      <c r="U109" s="379">
        <v>103</v>
      </c>
      <c r="V109" s="379">
        <v>2626</v>
      </c>
    </row>
    <row r="110" spans="1:22" x14ac:dyDescent="0.25">
      <c r="A110" s="377">
        <v>94</v>
      </c>
      <c r="B110" s="377" t="s">
        <v>372</v>
      </c>
      <c r="C110" s="94" t="s">
        <v>141</v>
      </c>
      <c r="D110" s="379">
        <f t="shared" si="1"/>
        <v>2993</v>
      </c>
      <c r="E110" s="380">
        <v>71</v>
      </c>
      <c r="F110" s="380">
        <v>0</v>
      </c>
      <c r="G110" s="379">
        <v>92</v>
      </c>
      <c r="H110" s="379">
        <v>838</v>
      </c>
      <c r="I110" s="379">
        <v>0</v>
      </c>
      <c r="J110" s="379">
        <v>0</v>
      </c>
      <c r="K110" s="379">
        <v>0</v>
      </c>
      <c r="L110" s="379">
        <v>0</v>
      </c>
      <c r="M110" s="379">
        <v>0</v>
      </c>
      <c r="N110" s="379">
        <v>232</v>
      </c>
      <c r="O110" s="379">
        <v>443</v>
      </c>
      <c r="P110" s="379">
        <v>0</v>
      </c>
      <c r="Q110" s="379">
        <v>0</v>
      </c>
      <c r="R110" s="379">
        <v>0</v>
      </c>
      <c r="S110" s="379">
        <v>704</v>
      </c>
      <c r="T110" s="379">
        <v>0</v>
      </c>
      <c r="U110" s="379">
        <v>204</v>
      </c>
      <c r="V110" s="379">
        <v>409</v>
      </c>
    </row>
    <row r="111" spans="1:22" ht="51" x14ac:dyDescent="0.25">
      <c r="A111" s="595">
        <v>95</v>
      </c>
      <c r="B111" s="394" t="s">
        <v>374</v>
      </c>
      <c r="C111" s="395" t="s">
        <v>375</v>
      </c>
      <c r="D111" s="379">
        <f t="shared" si="1"/>
        <v>24045</v>
      </c>
      <c r="E111" s="380">
        <v>4</v>
      </c>
      <c r="F111" s="380">
        <v>874</v>
      </c>
      <c r="G111" s="379">
        <v>1773</v>
      </c>
      <c r="H111" s="379">
        <v>4392</v>
      </c>
      <c r="I111" s="379">
        <v>0</v>
      </c>
      <c r="J111" s="379">
        <v>0</v>
      </c>
      <c r="K111" s="379">
        <v>0</v>
      </c>
      <c r="L111" s="379">
        <v>0</v>
      </c>
      <c r="M111" s="379">
        <v>0</v>
      </c>
      <c r="N111" s="379">
        <v>3551</v>
      </c>
      <c r="O111" s="379">
        <v>4293</v>
      </c>
      <c r="P111" s="379">
        <v>0</v>
      </c>
      <c r="Q111" s="379">
        <v>0</v>
      </c>
      <c r="R111" s="379">
        <v>0</v>
      </c>
      <c r="S111" s="379">
        <v>3520</v>
      </c>
      <c r="T111" s="379">
        <v>0</v>
      </c>
      <c r="U111" s="379">
        <v>2662</v>
      </c>
      <c r="V111" s="379">
        <v>2976</v>
      </c>
    </row>
    <row r="112" spans="1:22" x14ac:dyDescent="0.25">
      <c r="A112" s="596"/>
      <c r="B112" s="384" t="s">
        <v>376</v>
      </c>
      <c r="C112" s="94" t="s">
        <v>92</v>
      </c>
      <c r="D112" s="379">
        <f t="shared" si="1"/>
        <v>189941</v>
      </c>
      <c r="E112" s="380">
        <v>790</v>
      </c>
      <c r="F112" s="381">
        <v>5217</v>
      </c>
      <c r="G112" s="379">
        <v>20782</v>
      </c>
      <c r="H112" s="379">
        <v>57288</v>
      </c>
      <c r="I112" s="379">
        <v>0</v>
      </c>
      <c r="J112" s="379">
        <v>0</v>
      </c>
      <c r="K112" s="379">
        <v>0</v>
      </c>
      <c r="L112" s="379">
        <v>3075</v>
      </c>
      <c r="M112" s="379">
        <v>1317</v>
      </c>
      <c r="N112" s="379">
        <v>18890</v>
      </c>
      <c r="O112" s="379">
        <v>50467</v>
      </c>
      <c r="P112" s="379">
        <f>1748+2200+460+897</f>
        <v>5305</v>
      </c>
      <c r="Q112" s="379">
        <v>0</v>
      </c>
      <c r="R112" s="379">
        <v>500</v>
      </c>
      <c r="S112" s="379">
        <v>0</v>
      </c>
      <c r="T112" s="379">
        <v>0</v>
      </c>
      <c r="U112" s="379">
        <v>8345</v>
      </c>
      <c r="V112" s="379">
        <v>17965</v>
      </c>
    </row>
    <row r="113" spans="1:22" x14ac:dyDescent="0.25">
      <c r="A113" s="377">
        <v>96</v>
      </c>
      <c r="B113" s="377" t="s">
        <v>378</v>
      </c>
      <c r="C113" s="94" t="s">
        <v>86</v>
      </c>
      <c r="D113" s="379">
        <f t="shared" si="1"/>
        <v>174209</v>
      </c>
      <c r="E113" s="380">
        <v>0</v>
      </c>
      <c r="F113" s="380">
        <v>0</v>
      </c>
      <c r="G113" s="379">
        <v>933</v>
      </c>
      <c r="H113" s="379">
        <v>21396</v>
      </c>
      <c r="I113" s="379">
        <v>0</v>
      </c>
      <c r="J113" s="379">
        <v>5304</v>
      </c>
      <c r="K113" s="379">
        <v>0</v>
      </c>
      <c r="L113" s="379">
        <v>0</v>
      </c>
      <c r="M113" s="379">
        <v>0</v>
      </c>
      <c r="N113" s="379">
        <v>1018</v>
      </c>
      <c r="O113" s="379">
        <v>29523</v>
      </c>
      <c r="P113" s="379">
        <v>0</v>
      </c>
      <c r="Q113" s="379">
        <v>0</v>
      </c>
      <c r="R113" s="379">
        <v>0</v>
      </c>
      <c r="S113" s="379">
        <v>0</v>
      </c>
      <c r="T113" s="379">
        <v>0</v>
      </c>
      <c r="U113" s="379">
        <v>1881</v>
      </c>
      <c r="V113" s="379">
        <v>114154</v>
      </c>
    </row>
    <row r="114" spans="1:22" x14ac:dyDescent="0.25">
      <c r="A114" s="377">
        <v>97</v>
      </c>
      <c r="B114" s="377" t="s">
        <v>380</v>
      </c>
      <c r="C114" s="94" t="s">
        <v>85</v>
      </c>
      <c r="D114" s="379">
        <f t="shared" si="1"/>
        <v>75129</v>
      </c>
      <c r="E114" s="380">
        <v>935</v>
      </c>
      <c r="F114" s="381">
        <v>1312</v>
      </c>
      <c r="G114" s="379">
        <v>9688</v>
      </c>
      <c r="H114" s="379">
        <v>18063</v>
      </c>
      <c r="I114" s="379">
        <v>0</v>
      </c>
      <c r="J114" s="379">
        <v>9827</v>
      </c>
      <c r="K114" s="379">
        <v>0</v>
      </c>
      <c r="L114" s="379">
        <v>0</v>
      </c>
      <c r="M114" s="379">
        <v>0</v>
      </c>
      <c r="N114" s="379">
        <v>5128</v>
      </c>
      <c r="O114" s="379">
        <v>13523</v>
      </c>
      <c r="P114" s="379">
        <v>3000</v>
      </c>
      <c r="Q114" s="379">
        <v>0</v>
      </c>
      <c r="R114" s="379">
        <v>0</v>
      </c>
      <c r="S114" s="379">
        <v>351</v>
      </c>
      <c r="T114" s="379">
        <v>0</v>
      </c>
      <c r="U114" s="379">
        <v>3958</v>
      </c>
      <c r="V114" s="379">
        <v>9344</v>
      </c>
    </row>
    <row r="115" spans="1:22" x14ac:dyDescent="0.25">
      <c r="A115" s="377">
        <v>98</v>
      </c>
      <c r="B115" s="377" t="s">
        <v>382</v>
      </c>
      <c r="C115" s="94" t="s">
        <v>91</v>
      </c>
      <c r="D115" s="379">
        <f t="shared" si="1"/>
        <v>45026</v>
      </c>
      <c r="E115" s="380">
        <v>0</v>
      </c>
      <c r="F115" s="380">
        <v>0</v>
      </c>
      <c r="G115" s="379">
        <v>0</v>
      </c>
      <c r="H115" s="379">
        <v>0</v>
      </c>
      <c r="I115" s="379">
        <v>26184</v>
      </c>
      <c r="J115" s="379">
        <v>0</v>
      </c>
      <c r="K115" s="379">
        <v>8842</v>
      </c>
      <c r="L115" s="379">
        <v>0</v>
      </c>
      <c r="M115" s="379">
        <v>0</v>
      </c>
      <c r="N115" s="379">
        <v>0</v>
      </c>
      <c r="O115" s="379">
        <v>0</v>
      </c>
      <c r="P115" s="379">
        <v>0</v>
      </c>
      <c r="Q115" s="379">
        <v>0</v>
      </c>
      <c r="R115" s="379">
        <v>0</v>
      </c>
      <c r="S115" s="379">
        <v>0</v>
      </c>
      <c r="T115" s="379">
        <v>10000</v>
      </c>
      <c r="U115" s="379">
        <v>0</v>
      </c>
      <c r="V115" s="379">
        <v>0</v>
      </c>
    </row>
    <row r="116" spans="1:22" x14ac:dyDescent="0.25">
      <c r="A116" s="595">
        <v>99</v>
      </c>
      <c r="B116" s="383" t="s">
        <v>384</v>
      </c>
      <c r="C116" s="94" t="s">
        <v>79</v>
      </c>
      <c r="D116" s="379">
        <f t="shared" si="1"/>
        <v>25334</v>
      </c>
      <c r="E116" s="380">
        <v>4</v>
      </c>
      <c r="F116" s="380">
        <v>358</v>
      </c>
      <c r="G116" s="379">
        <v>50</v>
      </c>
      <c r="H116" s="379">
        <v>4650</v>
      </c>
      <c r="I116" s="379">
        <v>0</v>
      </c>
      <c r="J116" s="379">
        <v>0</v>
      </c>
      <c r="K116" s="379">
        <v>0</v>
      </c>
      <c r="L116" s="379">
        <v>0</v>
      </c>
      <c r="M116" s="379">
        <v>0</v>
      </c>
      <c r="N116" s="379">
        <v>750</v>
      </c>
      <c r="O116" s="379">
        <v>5193</v>
      </c>
      <c r="P116" s="379">
        <f>7077+3200</f>
        <v>10277</v>
      </c>
      <c r="Q116" s="379">
        <v>0</v>
      </c>
      <c r="R116" s="379">
        <v>0</v>
      </c>
      <c r="S116" s="379">
        <v>0</v>
      </c>
      <c r="T116" s="379">
        <v>0</v>
      </c>
      <c r="U116" s="379">
        <v>0</v>
      </c>
      <c r="V116" s="379">
        <v>4052</v>
      </c>
    </row>
    <row r="117" spans="1:22" ht="25.5" x14ac:dyDescent="0.25">
      <c r="A117" s="596"/>
      <c r="B117" s="384" t="s">
        <v>641</v>
      </c>
      <c r="C117" s="94" t="s">
        <v>642</v>
      </c>
      <c r="D117" s="379">
        <f t="shared" si="1"/>
        <v>3600</v>
      </c>
      <c r="E117" s="380">
        <v>0</v>
      </c>
      <c r="F117" s="380">
        <v>0</v>
      </c>
      <c r="G117" s="379">
        <v>0</v>
      </c>
      <c r="H117" s="379">
        <v>0</v>
      </c>
      <c r="I117" s="379">
        <v>0</v>
      </c>
      <c r="J117" s="379">
        <v>0</v>
      </c>
      <c r="K117" s="379">
        <v>3600</v>
      </c>
      <c r="L117" s="379">
        <v>0</v>
      </c>
      <c r="M117" s="379">
        <v>0</v>
      </c>
      <c r="N117" s="379">
        <v>0</v>
      </c>
      <c r="O117" s="379">
        <v>0</v>
      </c>
      <c r="P117" s="379">
        <v>0</v>
      </c>
      <c r="Q117" s="379">
        <v>0</v>
      </c>
      <c r="R117" s="379">
        <v>0</v>
      </c>
      <c r="S117" s="379">
        <v>0</v>
      </c>
      <c r="T117" s="379">
        <v>0</v>
      </c>
      <c r="U117" s="379">
        <v>0</v>
      </c>
      <c r="V117" s="379">
        <v>0</v>
      </c>
    </row>
    <row r="118" spans="1:22" ht="25.5" x14ac:dyDescent="0.25">
      <c r="A118" s="377">
        <v>100</v>
      </c>
      <c r="B118" s="377" t="s">
        <v>437</v>
      </c>
      <c r="C118" s="94" t="s">
        <v>134</v>
      </c>
      <c r="D118" s="379">
        <f t="shared" si="1"/>
        <v>8400</v>
      </c>
      <c r="E118" s="380">
        <v>0</v>
      </c>
      <c r="F118" s="380">
        <v>0</v>
      </c>
      <c r="G118" s="379">
        <v>0</v>
      </c>
      <c r="H118" s="379">
        <v>0</v>
      </c>
      <c r="I118" s="379">
        <v>0</v>
      </c>
      <c r="J118" s="379">
        <v>0</v>
      </c>
      <c r="K118" s="379">
        <v>7400</v>
      </c>
      <c r="L118" s="379">
        <v>0</v>
      </c>
      <c r="M118" s="379">
        <v>0</v>
      </c>
      <c r="N118" s="379">
        <v>0</v>
      </c>
      <c r="O118" s="379">
        <v>0</v>
      </c>
      <c r="P118" s="379">
        <v>0</v>
      </c>
      <c r="Q118" s="379">
        <v>0</v>
      </c>
      <c r="R118" s="379">
        <v>0</v>
      </c>
      <c r="S118" s="379">
        <v>0</v>
      </c>
      <c r="T118" s="379">
        <v>1000</v>
      </c>
      <c r="U118" s="379">
        <v>0</v>
      </c>
      <c r="V118" s="379">
        <v>0</v>
      </c>
    </row>
    <row r="119" spans="1:22" x14ac:dyDescent="0.25">
      <c r="A119" s="377">
        <v>101</v>
      </c>
      <c r="B119" s="377" t="s">
        <v>323</v>
      </c>
      <c r="C119" s="382" t="s">
        <v>643</v>
      </c>
      <c r="D119" s="379">
        <f t="shared" si="1"/>
        <v>6644</v>
      </c>
      <c r="E119" s="380">
        <v>106</v>
      </c>
      <c r="F119" s="380">
        <v>211</v>
      </c>
      <c r="G119" s="379">
        <v>0</v>
      </c>
      <c r="H119" s="379">
        <v>3030</v>
      </c>
      <c r="I119" s="379">
        <v>0</v>
      </c>
      <c r="J119" s="379">
        <v>0</v>
      </c>
      <c r="K119" s="379">
        <v>0</v>
      </c>
      <c r="L119" s="379">
        <v>0</v>
      </c>
      <c r="M119" s="379">
        <v>0</v>
      </c>
      <c r="N119" s="379">
        <v>615</v>
      </c>
      <c r="O119" s="379">
        <v>1797</v>
      </c>
      <c r="P119" s="379">
        <v>0</v>
      </c>
      <c r="Q119" s="379">
        <v>0</v>
      </c>
      <c r="R119" s="379">
        <v>0</v>
      </c>
      <c r="S119" s="379">
        <v>0</v>
      </c>
      <c r="T119" s="379">
        <v>0</v>
      </c>
      <c r="U119" s="379">
        <v>585</v>
      </c>
      <c r="V119" s="379">
        <v>300</v>
      </c>
    </row>
    <row r="120" spans="1:22" x14ac:dyDescent="0.25">
      <c r="A120" s="377">
        <v>102</v>
      </c>
      <c r="B120" s="377" t="s">
        <v>216</v>
      </c>
      <c r="C120" s="378" t="s">
        <v>183</v>
      </c>
      <c r="D120" s="379">
        <f t="shared" si="1"/>
        <v>37677</v>
      </c>
      <c r="E120" s="380">
        <v>232</v>
      </c>
      <c r="F120" s="380">
        <v>405</v>
      </c>
      <c r="G120" s="379">
        <v>1400</v>
      </c>
      <c r="H120" s="379">
        <v>20273</v>
      </c>
      <c r="I120" s="379">
        <v>0</v>
      </c>
      <c r="J120" s="379">
        <v>0</v>
      </c>
      <c r="K120" s="379">
        <v>0</v>
      </c>
      <c r="L120" s="379">
        <v>0</v>
      </c>
      <c r="M120" s="379">
        <v>0</v>
      </c>
      <c r="N120" s="379">
        <v>2780</v>
      </c>
      <c r="O120" s="379">
        <v>4228</v>
      </c>
      <c r="P120" s="379">
        <v>0</v>
      </c>
      <c r="Q120" s="379">
        <v>0</v>
      </c>
      <c r="R120" s="379">
        <v>1150</v>
      </c>
      <c r="S120" s="379">
        <v>4913</v>
      </c>
      <c r="T120" s="379">
        <v>0</v>
      </c>
      <c r="U120" s="379">
        <v>1067</v>
      </c>
      <c r="V120" s="379">
        <v>1229</v>
      </c>
    </row>
    <row r="121" spans="1:22" x14ac:dyDescent="0.25">
      <c r="A121" s="377">
        <v>103</v>
      </c>
      <c r="B121" s="377" t="s">
        <v>223</v>
      </c>
      <c r="C121" s="382" t="s">
        <v>177</v>
      </c>
      <c r="D121" s="379">
        <f t="shared" si="1"/>
        <v>38971</v>
      </c>
      <c r="E121" s="380">
        <v>269</v>
      </c>
      <c r="F121" s="380">
        <v>381</v>
      </c>
      <c r="G121" s="379">
        <v>0</v>
      </c>
      <c r="H121" s="379">
        <v>5046</v>
      </c>
      <c r="I121" s="379">
        <v>0</v>
      </c>
      <c r="J121" s="379">
        <v>0</v>
      </c>
      <c r="K121" s="379">
        <v>0</v>
      </c>
      <c r="L121" s="379">
        <v>0</v>
      </c>
      <c r="M121" s="379">
        <v>0</v>
      </c>
      <c r="N121" s="379">
        <v>1425</v>
      </c>
      <c r="O121" s="379">
        <v>14483</v>
      </c>
      <c r="P121" s="379">
        <v>0</v>
      </c>
      <c r="Q121" s="379">
        <v>0</v>
      </c>
      <c r="R121" s="379">
        <v>550</v>
      </c>
      <c r="S121" s="379">
        <v>3629</v>
      </c>
      <c r="T121" s="379">
        <v>0</v>
      </c>
      <c r="U121" s="379">
        <v>939</v>
      </c>
      <c r="V121" s="379">
        <v>12249</v>
      </c>
    </row>
    <row r="122" spans="1:22" x14ac:dyDescent="0.25">
      <c r="A122" s="377">
        <v>104</v>
      </c>
      <c r="B122" s="377" t="s">
        <v>226</v>
      </c>
      <c r="C122" s="378" t="s">
        <v>175</v>
      </c>
      <c r="D122" s="379">
        <f t="shared" si="1"/>
        <v>105045</v>
      </c>
      <c r="E122" s="380">
        <v>282</v>
      </c>
      <c r="F122" s="381">
        <v>1437</v>
      </c>
      <c r="G122" s="379">
        <v>903</v>
      </c>
      <c r="H122" s="379">
        <v>11063</v>
      </c>
      <c r="I122" s="379">
        <v>0</v>
      </c>
      <c r="J122" s="379">
        <v>0</v>
      </c>
      <c r="K122" s="379">
        <v>0</v>
      </c>
      <c r="L122" s="379">
        <v>0</v>
      </c>
      <c r="M122" s="379">
        <v>0</v>
      </c>
      <c r="N122" s="379">
        <v>7066</v>
      </c>
      <c r="O122" s="379">
        <v>43243</v>
      </c>
      <c r="P122" s="379">
        <v>0</v>
      </c>
      <c r="Q122" s="379">
        <v>0</v>
      </c>
      <c r="R122" s="379">
        <v>1117</v>
      </c>
      <c r="S122" s="379">
        <v>1758</v>
      </c>
      <c r="T122" s="379">
        <v>0</v>
      </c>
      <c r="U122" s="379">
        <v>5407</v>
      </c>
      <c r="V122" s="379">
        <v>32769</v>
      </c>
    </row>
    <row r="123" spans="1:22" x14ac:dyDescent="0.25">
      <c r="A123" s="377">
        <v>105</v>
      </c>
      <c r="B123" s="377" t="s">
        <v>227</v>
      </c>
      <c r="C123" s="382" t="s">
        <v>174</v>
      </c>
      <c r="D123" s="379">
        <f t="shared" si="1"/>
        <v>47375</v>
      </c>
      <c r="E123" s="380">
        <v>188</v>
      </c>
      <c r="F123" s="380">
        <v>606</v>
      </c>
      <c r="G123" s="379">
        <v>961</v>
      </c>
      <c r="H123" s="379">
        <v>5333</v>
      </c>
      <c r="I123" s="379">
        <v>0</v>
      </c>
      <c r="J123" s="379">
        <v>0</v>
      </c>
      <c r="K123" s="379">
        <v>0</v>
      </c>
      <c r="L123" s="379">
        <v>0</v>
      </c>
      <c r="M123" s="379">
        <v>0</v>
      </c>
      <c r="N123" s="379">
        <v>2829</v>
      </c>
      <c r="O123" s="379">
        <v>17327</v>
      </c>
      <c r="P123" s="379">
        <v>0</v>
      </c>
      <c r="Q123" s="379">
        <v>0</v>
      </c>
      <c r="R123" s="379">
        <v>132</v>
      </c>
      <c r="S123" s="379">
        <v>4388</v>
      </c>
      <c r="T123" s="379">
        <v>0</v>
      </c>
      <c r="U123" s="379">
        <v>2009</v>
      </c>
      <c r="V123" s="379">
        <v>13602</v>
      </c>
    </row>
    <row r="124" spans="1:22" x14ac:dyDescent="0.25">
      <c r="A124" s="377">
        <v>106</v>
      </c>
      <c r="B124" s="377" t="s">
        <v>228</v>
      </c>
      <c r="C124" s="382" t="s">
        <v>173</v>
      </c>
      <c r="D124" s="379">
        <f t="shared" si="1"/>
        <v>59698</v>
      </c>
      <c r="E124" s="380">
        <v>427</v>
      </c>
      <c r="F124" s="380">
        <v>597</v>
      </c>
      <c r="G124" s="379">
        <v>3891</v>
      </c>
      <c r="H124" s="379">
        <v>16599</v>
      </c>
      <c r="I124" s="379">
        <v>0</v>
      </c>
      <c r="J124" s="379">
        <v>0</v>
      </c>
      <c r="K124" s="379">
        <v>0</v>
      </c>
      <c r="L124" s="379">
        <v>1025</v>
      </c>
      <c r="M124" s="379">
        <v>439</v>
      </c>
      <c r="N124" s="379">
        <v>3322</v>
      </c>
      <c r="O124" s="379">
        <v>14403</v>
      </c>
      <c r="P124" s="379">
        <v>0</v>
      </c>
      <c r="Q124" s="379">
        <v>0</v>
      </c>
      <c r="R124" s="379">
        <v>502</v>
      </c>
      <c r="S124" s="379">
        <v>6050</v>
      </c>
      <c r="T124" s="379">
        <v>0</v>
      </c>
      <c r="U124" s="379">
        <v>3146</v>
      </c>
      <c r="V124" s="379">
        <v>9297</v>
      </c>
    </row>
    <row r="125" spans="1:22" ht="25.5" x14ac:dyDescent="0.25">
      <c r="A125" s="377">
        <v>107</v>
      </c>
      <c r="B125" s="377"/>
      <c r="C125" s="382" t="s">
        <v>645</v>
      </c>
      <c r="D125" s="379">
        <f t="shared" si="1"/>
        <v>28</v>
      </c>
      <c r="E125" s="380">
        <v>0</v>
      </c>
      <c r="F125" s="380">
        <v>0</v>
      </c>
      <c r="G125" s="379">
        <v>0</v>
      </c>
      <c r="H125" s="379">
        <v>0</v>
      </c>
      <c r="I125" s="379">
        <v>0</v>
      </c>
      <c r="J125" s="379">
        <v>0</v>
      </c>
      <c r="K125" s="379">
        <v>28</v>
      </c>
      <c r="L125" s="379">
        <v>0</v>
      </c>
      <c r="M125" s="379">
        <v>0</v>
      </c>
      <c r="N125" s="379">
        <v>0</v>
      </c>
      <c r="O125" s="379">
        <v>0</v>
      </c>
      <c r="P125" s="379">
        <v>0</v>
      </c>
      <c r="Q125" s="379">
        <v>0</v>
      </c>
      <c r="R125" s="379">
        <v>0</v>
      </c>
      <c r="S125" s="379">
        <v>0</v>
      </c>
      <c r="T125" s="379">
        <v>0</v>
      </c>
      <c r="U125" s="379">
        <v>0</v>
      </c>
      <c r="V125" s="379">
        <v>0</v>
      </c>
    </row>
    <row r="126" spans="1:22" x14ac:dyDescent="0.25">
      <c r="A126" s="377">
        <v>108</v>
      </c>
      <c r="B126" s="377" t="s">
        <v>254</v>
      </c>
      <c r="C126" s="378" t="s">
        <v>165</v>
      </c>
      <c r="D126" s="379">
        <f t="shared" si="1"/>
        <v>111645</v>
      </c>
      <c r="E126" s="380">
        <v>572</v>
      </c>
      <c r="F126" s="381">
        <v>1237</v>
      </c>
      <c r="G126" s="379">
        <v>1898</v>
      </c>
      <c r="H126" s="379">
        <v>34271</v>
      </c>
      <c r="I126" s="379">
        <v>0</v>
      </c>
      <c r="J126" s="379">
        <v>0</v>
      </c>
      <c r="K126" s="379">
        <v>0</v>
      </c>
      <c r="L126" s="379">
        <v>0</v>
      </c>
      <c r="M126" s="379">
        <v>0</v>
      </c>
      <c r="N126" s="379">
        <v>2914</v>
      </c>
      <c r="O126" s="379">
        <v>34799</v>
      </c>
      <c r="P126" s="379">
        <v>0</v>
      </c>
      <c r="Q126" s="379">
        <v>0</v>
      </c>
      <c r="R126" s="379">
        <v>2249</v>
      </c>
      <c r="S126" s="379">
        <v>4000</v>
      </c>
      <c r="T126" s="379">
        <v>0</v>
      </c>
      <c r="U126" s="379">
        <v>2584</v>
      </c>
      <c r="V126" s="379">
        <v>27121</v>
      </c>
    </row>
    <row r="127" spans="1:22" x14ac:dyDescent="0.25">
      <c r="A127" s="377">
        <v>109</v>
      </c>
      <c r="B127" s="377" t="s">
        <v>259</v>
      </c>
      <c r="C127" s="378" t="s">
        <v>161</v>
      </c>
      <c r="D127" s="379">
        <f t="shared" si="1"/>
        <v>101666</v>
      </c>
      <c r="E127" s="380">
        <v>518</v>
      </c>
      <c r="F127" s="381">
        <v>1142</v>
      </c>
      <c r="G127" s="379">
        <v>1100</v>
      </c>
      <c r="H127" s="379">
        <v>23035</v>
      </c>
      <c r="I127" s="379">
        <v>0</v>
      </c>
      <c r="J127" s="379">
        <v>0</v>
      </c>
      <c r="K127" s="379">
        <v>0</v>
      </c>
      <c r="L127" s="379">
        <v>0</v>
      </c>
      <c r="M127" s="379">
        <v>0</v>
      </c>
      <c r="N127" s="379">
        <v>5165</v>
      </c>
      <c r="O127" s="379">
        <v>28730</v>
      </c>
      <c r="P127" s="379">
        <v>0</v>
      </c>
      <c r="Q127" s="379">
        <v>0</v>
      </c>
      <c r="R127" s="379">
        <v>5200</v>
      </c>
      <c r="S127" s="379">
        <v>8981</v>
      </c>
      <c r="T127" s="379">
        <v>0</v>
      </c>
      <c r="U127" s="379">
        <v>10598</v>
      </c>
      <c r="V127" s="379">
        <v>17197</v>
      </c>
    </row>
    <row r="128" spans="1:22" x14ac:dyDescent="0.25">
      <c r="A128" s="377">
        <v>110</v>
      </c>
      <c r="B128" s="377" t="s">
        <v>260</v>
      </c>
      <c r="C128" s="382" t="s">
        <v>160</v>
      </c>
      <c r="D128" s="379">
        <f t="shared" si="1"/>
        <v>35149</v>
      </c>
      <c r="E128" s="380">
        <v>245</v>
      </c>
      <c r="F128" s="380">
        <v>344</v>
      </c>
      <c r="G128" s="379">
        <v>1527</v>
      </c>
      <c r="H128" s="379">
        <v>12574</v>
      </c>
      <c r="I128" s="379">
        <v>0</v>
      </c>
      <c r="J128" s="379">
        <v>0</v>
      </c>
      <c r="K128" s="379">
        <v>0</v>
      </c>
      <c r="L128" s="379">
        <v>0</v>
      </c>
      <c r="M128" s="379">
        <v>0</v>
      </c>
      <c r="N128" s="379">
        <v>5232</v>
      </c>
      <c r="O128" s="379">
        <v>2261</v>
      </c>
      <c r="P128" s="379">
        <v>0</v>
      </c>
      <c r="Q128" s="379">
        <v>0</v>
      </c>
      <c r="R128" s="379">
        <v>0</v>
      </c>
      <c r="S128" s="379">
        <v>3177</v>
      </c>
      <c r="T128" s="379">
        <v>0</v>
      </c>
      <c r="U128" s="379">
        <v>543</v>
      </c>
      <c r="V128" s="379">
        <v>9246</v>
      </c>
    </row>
    <row r="129" spans="1:22" x14ac:dyDescent="0.25">
      <c r="A129" s="377">
        <v>111</v>
      </c>
      <c r="B129" s="377" t="s">
        <v>263</v>
      </c>
      <c r="C129" s="378" t="s">
        <v>157</v>
      </c>
      <c r="D129" s="379">
        <f t="shared" si="1"/>
        <v>55687</v>
      </c>
      <c r="E129" s="380">
        <v>317</v>
      </c>
      <c r="F129" s="380">
        <v>634</v>
      </c>
      <c r="G129" s="379">
        <v>1677</v>
      </c>
      <c r="H129" s="379">
        <v>18805</v>
      </c>
      <c r="I129" s="379">
        <v>0</v>
      </c>
      <c r="J129" s="379">
        <v>0</v>
      </c>
      <c r="K129" s="379">
        <v>0</v>
      </c>
      <c r="L129" s="379">
        <v>0</v>
      </c>
      <c r="M129" s="379">
        <v>0</v>
      </c>
      <c r="N129" s="379">
        <v>2866</v>
      </c>
      <c r="O129" s="379">
        <v>11923</v>
      </c>
      <c r="P129" s="379">
        <v>0</v>
      </c>
      <c r="Q129" s="379">
        <v>0</v>
      </c>
      <c r="R129" s="379">
        <v>810</v>
      </c>
      <c r="S129" s="379">
        <v>4637</v>
      </c>
      <c r="T129" s="379">
        <v>0</v>
      </c>
      <c r="U129" s="379">
        <v>2470</v>
      </c>
      <c r="V129" s="379">
        <v>11548</v>
      </c>
    </row>
    <row r="130" spans="1:22" x14ac:dyDescent="0.25">
      <c r="A130" s="377">
        <v>112</v>
      </c>
      <c r="B130" s="377" t="s">
        <v>264</v>
      </c>
      <c r="C130" s="382" t="s">
        <v>156</v>
      </c>
      <c r="D130" s="379">
        <f t="shared" si="1"/>
        <v>53739</v>
      </c>
      <c r="E130" s="380">
        <v>291</v>
      </c>
      <c r="F130" s="380">
        <v>590</v>
      </c>
      <c r="G130" s="379">
        <v>806</v>
      </c>
      <c r="H130" s="379">
        <v>10942</v>
      </c>
      <c r="I130" s="379">
        <v>0</v>
      </c>
      <c r="J130" s="379">
        <v>0</v>
      </c>
      <c r="K130" s="379">
        <v>0</v>
      </c>
      <c r="L130" s="379">
        <v>0</v>
      </c>
      <c r="M130" s="379">
        <v>0</v>
      </c>
      <c r="N130" s="379">
        <v>7619</v>
      </c>
      <c r="O130" s="379">
        <v>11656</v>
      </c>
      <c r="P130" s="379">
        <v>402</v>
      </c>
      <c r="Q130" s="379">
        <v>0</v>
      </c>
      <c r="R130" s="379">
        <v>0</v>
      </c>
      <c r="S130" s="379">
        <v>4380</v>
      </c>
      <c r="T130" s="379">
        <v>0</v>
      </c>
      <c r="U130" s="379">
        <v>2030</v>
      </c>
      <c r="V130" s="379">
        <v>15023</v>
      </c>
    </row>
    <row r="131" spans="1:22" x14ac:dyDescent="0.25">
      <c r="A131" s="377">
        <v>113</v>
      </c>
      <c r="B131" s="377" t="s">
        <v>266</v>
      </c>
      <c r="C131" s="382" t="s">
        <v>59</v>
      </c>
      <c r="D131" s="379">
        <f t="shared" si="1"/>
        <v>68409</v>
      </c>
      <c r="E131" s="380">
        <v>267</v>
      </c>
      <c r="F131" s="380">
        <v>735</v>
      </c>
      <c r="G131" s="379">
        <v>1122</v>
      </c>
      <c r="H131" s="379">
        <v>14102</v>
      </c>
      <c r="I131" s="379">
        <v>0</v>
      </c>
      <c r="J131" s="379">
        <v>5362</v>
      </c>
      <c r="K131" s="379">
        <v>0</v>
      </c>
      <c r="L131" s="379">
        <v>1025</v>
      </c>
      <c r="M131" s="379">
        <v>439</v>
      </c>
      <c r="N131" s="379">
        <v>6133</v>
      </c>
      <c r="O131" s="379">
        <v>18512</v>
      </c>
      <c r="P131" s="379">
        <v>0</v>
      </c>
      <c r="Q131" s="379">
        <v>0</v>
      </c>
      <c r="R131" s="379">
        <v>2320</v>
      </c>
      <c r="S131" s="379">
        <v>4875</v>
      </c>
      <c r="T131" s="379">
        <v>0</v>
      </c>
      <c r="U131" s="379">
        <v>1148</v>
      </c>
      <c r="V131" s="379">
        <v>12369</v>
      </c>
    </row>
    <row r="132" spans="1:22" x14ac:dyDescent="0.25">
      <c r="A132" s="377">
        <v>114</v>
      </c>
      <c r="B132" s="377" t="s">
        <v>270</v>
      </c>
      <c r="C132" s="378" t="s">
        <v>152</v>
      </c>
      <c r="D132" s="379">
        <f t="shared" si="1"/>
        <v>40561</v>
      </c>
      <c r="E132" s="380">
        <v>225</v>
      </c>
      <c r="F132" s="380">
        <v>449</v>
      </c>
      <c r="G132" s="379">
        <v>0</v>
      </c>
      <c r="H132" s="379">
        <v>9093</v>
      </c>
      <c r="I132" s="379">
        <v>0</v>
      </c>
      <c r="J132" s="379">
        <v>0</v>
      </c>
      <c r="K132" s="379">
        <v>0</v>
      </c>
      <c r="L132" s="379">
        <v>0</v>
      </c>
      <c r="M132" s="379">
        <v>0</v>
      </c>
      <c r="N132" s="379">
        <v>6383</v>
      </c>
      <c r="O132" s="379">
        <v>9941</v>
      </c>
      <c r="P132" s="379">
        <v>0</v>
      </c>
      <c r="Q132" s="379">
        <v>0</v>
      </c>
      <c r="R132" s="379">
        <v>600</v>
      </c>
      <c r="S132" s="379">
        <v>2875</v>
      </c>
      <c r="T132" s="379">
        <v>0</v>
      </c>
      <c r="U132" s="379">
        <v>3501</v>
      </c>
      <c r="V132" s="379">
        <v>7494</v>
      </c>
    </row>
    <row r="133" spans="1:22" x14ac:dyDescent="0.25">
      <c r="A133" s="377">
        <v>115</v>
      </c>
      <c r="B133" s="377" t="s">
        <v>278</v>
      </c>
      <c r="C133" s="382" t="s">
        <v>147</v>
      </c>
      <c r="D133" s="379">
        <f t="shared" si="1"/>
        <v>61412</v>
      </c>
      <c r="E133" s="380">
        <v>350</v>
      </c>
      <c r="F133" s="380">
        <v>701</v>
      </c>
      <c r="G133" s="379">
        <v>3530</v>
      </c>
      <c r="H133" s="379">
        <v>25617</v>
      </c>
      <c r="I133" s="379">
        <v>0</v>
      </c>
      <c r="J133" s="379">
        <v>0</v>
      </c>
      <c r="K133" s="379">
        <v>0</v>
      </c>
      <c r="L133" s="379">
        <v>0</v>
      </c>
      <c r="M133" s="379">
        <v>0</v>
      </c>
      <c r="N133" s="379">
        <v>4294</v>
      </c>
      <c r="O133" s="379">
        <v>13526</v>
      </c>
      <c r="P133" s="379">
        <v>0</v>
      </c>
      <c r="Q133" s="379">
        <v>0</v>
      </c>
      <c r="R133" s="379">
        <v>1460</v>
      </c>
      <c r="S133" s="379">
        <v>5314</v>
      </c>
      <c r="T133" s="379">
        <v>0</v>
      </c>
      <c r="U133" s="379">
        <v>722</v>
      </c>
      <c r="V133" s="379">
        <v>5898</v>
      </c>
    </row>
    <row r="134" spans="1:22" x14ac:dyDescent="0.25">
      <c r="A134" s="377">
        <v>116</v>
      </c>
      <c r="B134" s="377" t="s">
        <v>279</v>
      </c>
      <c r="C134" s="382" t="s">
        <v>146</v>
      </c>
      <c r="D134" s="379">
        <f t="shared" si="1"/>
        <v>103059</v>
      </c>
      <c r="E134" s="380">
        <v>556</v>
      </c>
      <c r="F134" s="381">
        <v>1193</v>
      </c>
      <c r="G134" s="379">
        <v>5160</v>
      </c>
      <c r="H134" s="379">
        <v>46598</v>
      </c>
      <c r="I134" s="379">
        <v>0</v>
      </c>
      <c r="J134" s="379">
        <v>0</v>
      </c>
      <c r="K134" s="379">
        <v>0</v>
      </c>
      <c r="L134" s="379">
        <v>0</v>
      </c>
      <c r="M134" s="379">
        <v>0</v>
      </c>
      <c r="N134" s="379">
        <v>5474</v>
      </c>
      <c r="O134" s="379">
        <v>18743</v>
      </c>
      <c r="P134" s="379">
        <v>0</v>
      </c>
      <c r="Q134" s="379">
        <v>0</v>
      </c>
      <c r="R134" s="379">
        <v>1272</v>
      </c>
      <c r="S134" s="379">
        <v>6203</v>
      </c>
      <c r="T134" s="379">
        <v>0</v>
      </c>
      <c r="U134" s="379">
        <v>5266</v>
      </c>
      <c r="V134" s="379">
        <v>12594</v>
      </c>
    </row>
    <row r="135" spans="1:22" x14ac:dyDescent="0.25">
      <c r="A135" s="377">
        <v>117</v>
      </c>
      <c r="B135" s="377" t="s">
        <v>281</v>
      </c>
      <c r="C135" s="382" t="s">
        <v>144</v>
      </c>
      <c r="D135" s="379">
        <f t="shared" si="1"/>
        <v>48495</v>
      </c>
      <c r="E135" s="380">
        <v>330</v>
      </c>
      <c r="F135" s="380">
        <v>497</v>
      </c>
      <c r="G135" s="379">
        <v>1178</v>
      </c>
      <c r="H135" s="379">
        <v>10914</v>
      </c>
      <c r="I135" s="379">
        <v>0</v>
      </c>
      <c r="J135" s="379">
        <v>0</v>
      </c>
      <c r="K135" s="379">
        <v>0</v>
      </c>
      <c r="L135" s="379">
        <v>0</v>
      </c>
      <c r="M135" s="379">
        <v>0</v>
      </c>
      <c r="N135" s="379">
        <v>2041</v>
      </c>
      <c r="O135" s="379">
        <v>16134</v>
      </c>
      <c r="P135" s="379">
        <v>0</v>
      </c>
      <c r="Q135" s="379">
        <v>0</v>
      </c>
      <c r="R135" s="379">
        <v>1580</v>
      </c>
      <c r="S135" s="379">
        <v>3610</v>
      </c>
      <c r="T135" s="379">
        <v>0</v>
      </c>
      <c r="U135" s="379">
        <v>1897</v>
      </c>
      <c r="V135" s="379">
        <v>10314</v>
      </c>
    </row>
    <row r="136" spans="1:22" x14ac:dyDescent="0.25">
      <c r="A136" s="377">
        <v>118</v>
      </c>
      <c r="B136" s="396" t="s">
        <v>329</v>
      </c>
      <c r="C136" s="397" t="s">
        <v>857</v>
      </c>
      <c r="D136" s="379">
        <f t="shared" si="1"/>
        <v>37892</v>
      </c>
      <c r="E136" s="380">
        <v>313</v>
      </c>
      <c r="F136" s="380">
        <v>712</v>
      </c>
      <c r="G136" s="379">
        <v>1094</v>
      </c>
      <c r="H136" s="379">
        <v>11001</v>
      </c>
      <c r="I136" s="379">
        <v>0</v>
      </c>
      <c r="J136" s="379">
        <v>0</v>
      </c>
      <c r="K136" s="379">
        <v>0</v>
      </c>
      <c r="L136" s="379">
        <v>2051</v>
      </c>
      <c r="M136" s="379">
        <v>877</v>
      </c>
      <c r="N136" s="379">
        <v>3023</v>
      </c>
      <c r="O136" s="379">
        <v>10291</v>
      </c>
      <c r="P136" s="379">
        <v>0</v>
      </c>
      <c r="Q136" s="379">
        <v>0</v>
      </c>
      <c r="R136" s="379">
        <v>0</v>
      </c>
      <c r="S136" s="379">
        <v>100</v>
      </c>
      <c r="T136" s="379">
        <v>0</v>
      </c>
      <c r="U136" s="379">
        <v>526</v>
      </c>
      <c r="V136" s="379">
        <v>7904</v>
      </c>
    </row>
    <row r="137" spans="1:22" x14ac:dyDescent="0.25">
      <c r="A137" s="377">
        <v>119</v>
      </c>
      <c r="B137" s="377"/>
      <c r="C137" s="94" t="s">
        <v>654</v>
      </c>
      <c r="D137" s="379">
        <f t="shared" si="1"/>
        <v>0</v>
      </c>
      <c r="E137" s="380">
        <v>0</v>
      </c>
      <c r="F137" s="380">
        <v>0</v>
      </c>
      <c r="G137" s="379">
        <v>0</v>
      </c>
      <c r="H137" s="379">
        <v>0</v>
      </c>
      <c r="I137" s="379">
        <v>0</v>
      </c>
      <c r="J137" s="379">
        <v>0</v>
      </c>
      <c r="K137" s="379">
        <v>0</v>
      </c>
      <c r="L137" s="379">
        <v>0</v>
      </c>
      <c r="M137" s="379">
        <v>0</v>
      </c>
      <c r="N137" s="379">
        <v>0</v>
      </c>
      <c r="O137" s="379">
        <v>0</v>
      </c>
      <c r="P137" s="379">
        <v>0</v>
      </c>
      <c r="Q137" s="379">
        <v>0</v>
      </c>
      <c r="R137" s="379">
        <v>0</v>
      </c>
      <c r="S137" s="379">
        <v>0</v>
      </c>
      <c r="T137" s="379">
        <v>0</v>
      </c>
      <c r="U137" s="379">
        <v>0</v>
      </c>
      <c r="V137" s="379">
        <v>0</v>
      </c>
    </row>
    <row r="138" spans="1:22" x14ac:dyDescent="0.25">
      <c r="A138" s="377">
        <v>120</v>
      </c>
      <c r="B138" s="377" t="s">
        <v>647</v>
      </c>
      <c r="C138" s="378" t="s">
        <v>648</v>
      </c>
      <c r="D138" s="379">
        <f t="shared" si="1"/>
        <v>25</v>
      </c>
      <c r="E138" s="380">
        <v>0</v>
      </c>
      <c r="F138" s="380">
        <v>0</v>
      </c>
      <c r="G138" s="379">
        <v>0</v>
      </c>
      <c r="H138" s="379">
        <v>0</v>
      </c>
      <c r="I138" s="379">
        <v>0</v>
      </c>
      <c r="J138" s="379">
        <v>0</v>
      </c>
      <c r="K138" s="379">
        <v>20</v>
      </c>
      <c r="L138" s="379">
        <v>0</v>
      </c>
      <c r="M138" s="379">
        <v>0</v>
      </c>
      <c r="N138" s="379">
        <v>0</v>
      </c>
      <c r="O138" s="379">
        <v>0</v>
      </c>
      <c r="P138" s="379">
        <v>0</v>
      </c>
      <c r="Q138" s="379">
        <v>5</v>
      </c>
      <c r="R138" s="379">
        <v>0</v>
      </c>
      <c r="S138" s="379">
        <v>0</v>
      </c>
      <c r="T138" s="379">
        <v>0</v>
      </c>
      <c r="U138" s="379">
        <v>0</v>
      </c>
      <c r="V138" s="379">
        <v>0</v>
      </c>
    </row>
    <row r="139" spans="1:22" x14ac:dyDescent="0.25">
      <c r="A139" s="377">
        <v>121</v>
      </c>
      <c r="B139" s="377" t="s">
        <v>297</v>
      </c>
      <c r="C139" s="382" t="s">
        <v>649</v>
      </c>
      <c r="D139" s="379">
        <f t="shared" ref="D139:D164" si="2">E139+F139+G139+H139+I139+J139+K139+L139+M139+N139+O139+P139+Q139+R139+S139+T139+U139+V139</f>
        <v>66</v>
      </c>
      <c r="E139" s="380">
        <v>0</v>
      </c>
      <c r="F139" s="380">
        <v>0</v>
      </c>
      <c r="G139" s="379">
        <v>0</v>
      </c>
      <c r="H139" s="379">
        <v>0</v>
      </c>
      <c r="I139" s="379">
        <v>0</v>
      </c>
      <c r="J139" s="379">
        <v>0</v>
      </c>
      <c r="K139" s="379">
        <v>66</v>
      </c>
      <c r="L139" s="379">
        <v>0</v>
      </c>
      <c r="M139" s="379">
        <v>0</v>
      </c>
      <c r="N139" s="379">
        <v>0</v>
      </c>
      <c r="O139" s="379">
        <v>0</v>
      </c>
      <c r="P139" s="379">
        <v>0</v>
      </c>
      <c r="Q139" s="379">
        <v>0</v>
      </c>
      <c r="R139" s="379">
        <v>0</v>
      </c>
      <c r="S139" s="379">
        <v>0</v>
      </c>
      <c r="T139" s="379">
        <v>0</v>
      </c>
      <c r="U139" s="379">
        <v>0</v>
      </c>
      <c r="V139" s="379">
        <v>0</v>
      </c>
    </row>
    <row r="140" spans="1:22" x14ac:dyDescent="0.25">
      <c r="A140" s="377">
        <v>122</v>
      </c>
      <c r="B140" s="377" t="s">
        <v>313</v>
      </c>
      <c r="C140" s="382" t="s">
        <v>120</v>
      </c>
      <c r="D140" s="379">
        <f t="shared" si="2"/>
        <v>219</v>
      </c>
      <c r="E140" s="380">
        <v>0</v>
      </c>
      <c r="F140" s="380">
        <v>0</v>
      </c>
      <c r="G140" s="379">
        <v>0</v>
      </c>
      <c r="H140" s="379">
        <v>0</v>
      </c>
      <c r="I140" s="379">
        <v>0</v>
      </c>
      <c r="J140" s="379">
        <v>0</v>
      </c>
      <c r="K140" s="379">
        <v>219</v>
      </c>
      <c r="L140" s="379">
        <v>0</v>
      </c>
      <c r="M140" s="379">
        <v>0</v>
      </c>
      <c r="N140" s="379">
        <v>0</v>
      </c>
      <c r="O140" s="379">
        <v>0</v>
      </c>
      <c r="P140" s="379">
        <v>0</v>
      </c>
      <c r="Q140" s="379">
        <v>0</v>
      </c>
      <c r="R140" s="379">
        <v>0</v>
      </c>
      <c r="S140" s="379">
        <v>0</v>
      </c>
      <c r="T140" s="379">
        <v>0</v>
      </c>
      <c r="U140" s="379">
        <v>0</v>
      </c>
      <c r="V140" s="379">
        <v>0</v>
      </c>
    </row>
    <row r="141" spans="1:22" ht="25.5" x14ac:dyDescent="0.25">
      <c r="A141" s="377">
        <v>123</v>
      </c>
      <c r="B141" s="377"/>
      <c r="C141" s="382" t="s">
        <v>657</v>
      </c>
      <c r="D141" s="379">
        <f t="shared" si="2"/>
        <v>8</v>
      </c>
      <c r="E141" s="380">
        <v>0</v>
      </c>
      <c r="F141" s="380">
        <v>0</v>
      </c>
      <c r="G141" s="379">
        <v>0</v>
      </c>
      <c r="H141" s="379">
        <v>0</v>
      </c>
      <c r="I141" s="379">
        <v>0</v>
      </c>
      <c r="J141" s="379">
        <v>0</v>
      </c>
      <c r="K141" s="379">
        <v>8</v>
      </c>
      <c r="L141" s="379">
        <v>0</v>
      </c>
      <c r="M141" s="379">
        <v>0</v>
      </c>
      <c r="N141" s="379">
        <v>0</v>
      </c>
      <c r="O141" s="379">
        <v>0</v>
      </c>
      <c r="P141" s="379">
        <v>0</v>
      </c>
      <c r="Q141" s="379">
        <v>0</v>
      </c>
      <c r="R141" s="379">
        <v>0</v>
      </c>
      <c r="S141" s="379">
        <v>0</v>
      </c>
      <c r="T141" s="379">
        <v>0</v>
      </c>
      <c r="U141" s="379">
        <v>0</v>
      </c>
      <c r="V141" s="379">
        <v>0</v>
      </c>
    </row>
    <row r="142" spans="1:22" ht="25.5" x14ac:dyDescent="0.25">
      <c r="A142" s="377">
        <v>124</v>
      </c>
      <c r="B142" s="377"/>
      <c r="C142" s="382" t="s">
        <v>658</v>
      </c>
      <c r="D142" s="379">
        <f t="shared" si="2"/>
        <v>8</v>
      </c>
      <c r="E142" s="380">
        <v>0</v>
      </c>
      <c r="F142" s="380">
        <v>0</v>
      </c>
      <c r="G142" s="379">
        <v>0</v>
      </c>
      <c r="H142" s="379">
        <v>0</v>
      </c>
      <c r="I142" s="379">
        <v>0</v>
      </c>
      <c r="J142" s="379">
        <v>0</v>
      </c>
      <c r="K142" s="379">
        <v>8</v>
      </c>
      <c r="L142" s="379">
        <v>0</v>
      </c>
      <c r="M142" s="379">
        <v>0</v>
      </c>
      <c r="N142" s="379">
        <v>0</v>
      </c>
      <c r="O142" s="379">
        <v>0</v>
      </c>
      <c r="P142" s="379">
        <v>0</v>
      </c>
      <c r="Q142" s="379">
        <v>0</v>
      </c>
      <c r="R142" s="379">
        <v>0</v>
      </c>
      <c r="S142" s="379">
        <v>0</v>
      </c>
      <c r="T142" s="379">
        <v>0</v>
      </c>
      <c r="U142" s="379">
        <v>0</v>
      </c>
      <c r="V142" s="379">
        <v>0</v>
      </c>
    </row>
    <row r="143" spans="1:22" ht="25.5" x14ac:dyDescent="0.25">
      <c r="A143" s="377">
        <v>125</v>
      </c>
      <c r="B143" s="377"/>
      <c r="C143" s="382" t="s">
        <v>659</v>
      </c>
      <c r="D143" s="379">
        <f t="shared" si="2"/>
        <v>8</v>
      </c>
      <c r="E143" s="380">
        <v>0</v>
      </c>
      <c r="F143" s="380">
        <v>0</v>
      </c>
      <c r="G143" s="379">
        <v>0</v>
      </c>
      <c r="H143" s="379">
        <v>0</v>
      </c>
      <c r="I143" s="379">
        <v>0</v>
      </c>
      <c r="J143" s="379">
        <v>0</v>
      </c>
      <c r="K143" s="379">
        <v>8</v>
      </c>
      <c r="L143" s="379">
        <v>0</v>
      </c>
      <c r="M143" s="379">
        <v>0</v>
      </c>
      <c r="N143" s="379">
        <v>0</v>
      </c>
      <c r="O143" s="379">
        <v>0</v>
      </c>
      <c r="P143" s="379">
        <v>0</v>
      </c>
      <c r="Q143" s="379">
        <v>0</v>
      </c>
      <c r="R143" s="379">
        <v>0</v>
      </c>
      <c r="S143" s="379">
        <v>0</v>
      </c>
      <c r="T143" s="379">
        <v>0</v>
      </c>
      <c r="U143" s="379">
        <v>0</v>
      </c>
      <c r="V143" s="379">
        <v>0</v>
      </c>
    </row>
    <row r="144" spans="1:22" x14ac:dyDescent="0.25">
      <c r="A144" s="377">
        <v>126</v>
      </c>
      <c r="B144" s="377" t="s">
        <v>28</v>
      </c>
      <c r="C144" s="382" t="s">
        <v>5</v>
      </c>
      <c r="D144" s="379">
        <f t="shared" si="2"/>
        <v>218498</v>
      </c>
      <c r="E144" s="380">
        <v>0</v>
      </c>
      <c r="F144" s="380">
        <v>0</v>
      </c>
      <c r="G144" s="379">
        <v>0</v>
      </c>
      <c r="H144" s="379">
        <v>0</v>
      </c>
      <c r="I144" s="379">
        <v>0</v>
      </c>
      <c r="J144" s="379">
        <v>0</v>
      </c>
      <c r="K144" s="379">
        <v>0</v>
      </c>
      <c r="L144" s="379">
        <v>0</v>
      </c>
      <c r="M144" s="379">
        <v>0</v>
      </c>
      <c r="N144" s="379">
        <v>0</v>
      </c>
      <c r="O144" s="379">
        <v>0</v>
      </c>
      <c r="P144" s="379">
        <f>217195+1303</f>
        <v>218498</v>
      </c>
      <c r="Q144" s="379">
        <v>0</v>
      </c>
      <c r="R144" s="379">
        <v>0</v>
      </c>
      <c r="S144" s="379">
        <v>0</v>
      </c>
      <c r="T144" s="379">
        <v>0</v>
      </c>
      <c r="U144" s="379">
        <v>0</v>
      </c>
      <c r="V144" s="379">
        <v>0</v>
      </c>
    </row>
    <row r="145" spans="1:22" x14ac:dyDescent="0.25">
      <c r="A145" s="377">
        <v>127</v>
      </c>
      <c r="B145" s="377" t="s">
        <v>26</v>
      </c>
      <c r="C145" s="382" t="s">
        <v>88</v>
      </c>
      <c r="D145" s="379">
        <f t="shared" si="2"/>
        <v>130000</v>
      </c>
      <c r="E145" s="380">
        <v>0</v>
      </c>
      <c r="F145" s="380">
        <v>0</v>
      </c>
      <c r="G145" s="379">
        <v>0</v>
      </c>
      <c r="H145" s="379">
        <v>0</v>
      </c>
      <c r="I145" s="379">
        <v>0</v>
      </c>
      <c r="J145" s="379">
        <v>0</v>
      </c>
      <c r="K145" s="379">
        <v>0</v>
      </c>
      <c r="L145" s="379">
        <v>0</v>
      </c>
      <c r="M145" s="379">
        <v>0</v>
      </c>
      <c r="N145" s="379">
        <v>0</v>
      </c>
      <c r="O145" s="379">
        <v>0</v>
      </c>
      <c r="P145" s="379">
        <v>130000</v>
      </c>
      <c r="Q145" s="379">
        <v>0</v>
      </c>
      <c r="R145" s="379">
        <v>0</v>
      </c>
      <c r="S145" s="379">
        <v>0</v>
      </c>
      <c r="T145" s="379">
        <v>0</v>
      </c>
      <c r="U145" s="379">
        <v>0</v>
      </c>
      <c r="V145" s="379">
        <v>0</v>
      </c>
    </row>
    <row r="146" spans="1:22" x14ac:dyDescent="0.25">
      <c r="A146" s="377">
        <v>128</v>
      </c>
      <c r="B146" s="377" t="s">
        <v>387</v>
      </c>
      <c r="C146" s="382" t="s">
        <v>73</v>
      </c>
      <c r="D146" s="379">
        <f t="shared" si="2"/>
        <v>85000</v>
      </c>
      <c r="E146" s="380">
        <v>0</v>
      </c>
      <c r="F146" s="380">
        <v>0</v>
      </c>
      <c r="G146" s="379">
        <v>0</v>
      </c>
      <c r="H146" s="379">
        <v>0</v>
      </c>
      <c r="I146" s="379">
        <v>0</v>
      </c>
      <c r="J146" s="379">
        <v>0</v>
      </c>
      <c r="K146" s="379">
        <v>0</v>
      </c>
      <c r="L146" s="379">
        <v>0</v>
      </c>
      <c r="M146" s="379">
        <v>0</v>
      </c>
      <c r="N146" s="379">
        <v>0</v>
      </c>
      <c r="O146" s="379">
        <v>0</v>
      </c>
      <c r="P146" s="379">
        <v>85000</v>
      </c>
      <c r="Q146" s="379">
        <v>0</v>
      </c>
      <c r="R146" s="379">
        <v>0</v>
      </c>
      <c r="S146" s="379">
        <v>0</v>
      </c>
      <c r="T146" s="379">
        <v>0</v>
      </c>
      <c r="U146" s="379">
        <v>0</v>
      </c>
      <c r="V146" s="379">
        <v>0</v>
      </c>
    </row>
    <row r="147" spans="1:22" x14ac:dyDescent="0.25">
      <c r="A147" s="377">
        <v>129</v>
      </c>
      <c r="B147" s="377" t="s">
        <v>385</v>
      </c>
      <c r="C147" s="382" t="s">
        <v>72</v>
      </c>
      <c r="D147" s="379">
        <f t="shared" si="2"/>
        <v>113400</v>
      </c>
      <c r="E147" s="380">
        <v>0</v>
      </c>
      <c r="F147" s="380">
        <v>0</v>
      </c>
      <c r="G147" s="379">
        <v>0</v>
      </c>
      <c r="H147" s="379">
        <v>0</v>
      </c>
      <c r="I147" s="379">
        <v>0</v>
      </c>
      <c r="J147" s="379">
        <v>0</v>
      </c>
      <c r="K147" s="379">
        <v>0</v>
      </c>
      <c r="L147" s="379">
        <v>0</v>
      </c>
      <c r="M147" s="379">
        <v>0</v>
      </c>
      <c r="N147" s="379">
        <v>0</v>
      </c>
      <c r="O147" s="379">
        <v>0</v>
      </c>
      <c r="P147" s="379">
        <v>113400</v>
      </c>
      <c r="Q147" s="379">
        <v>0</v>
      </c>
      <c r="R147" s="379">
        <v>0</v>
      </c>
      <c r="S147" s="379">
        <v>0</v>
      </c>
      <c r="T147" s="379">
        <v>0</v>
      </c>
      <c r="U147" s="379">
        <v>0</v>
      </c>
      <c r="V147" s="379">
        <v>0</v>
      </c>
    </row>
    <row r="148" spans="1:22" x14ac:dyDescent="0.25">
      <c r="A148" s="377">
        <v>130</v>
      </c>
      <c r="B148" s="377" t="s">
        <v>388</v>
      </c>
      <c r="C148" s="382" t="s">
        <v>83</v>
      </c>
      <c r="D148" s="379">
        <f t="shared" si="2"/>
        <v>8000</v>
      </c>
      <c r="E148" s="380">
        <v>0</v>
      </c>
      <c r="F148" s="380">
        <v>0</v>
      </c>
      <c r="G148" s="379">
        <v>0</v>
      </c>
      <c r="H148" s="379">
        <v>0</v>
      </c>
      <c r="I148" s="379">
        <v>0</v>
      </c>
      <c r="J148" s="379">
        <v>0</v>
      </c>
      <c r="K148" s="379">
        <v>0</v>
      </c>
      <c r="L148" s="379">
        <v>0</v>
      </c>
      <c r="M148" s="379">
        <v>0</v>
      </c>
      <c r="N148" s="379">
        <v>0</v>
      </c>
      <c r="O148" s="379">
        <v>0</v>
      </c>
      <c r="P148" s="379">
        <v>8000</v>
      </c>
      <c r="Q148" s="379">
        <v>0</v>
      </c>
      <c r="R148" s="379">
        <v>0</v>
      </c>
      <c r="S148" s="379">
        <v>0</v>
      </c>
      <c r="T148" s="379">
        <v>0</v>
      </c>
      <c r="U148" s="379">
        <v>0</v>
      </c>
      <c r="V148" s="379">
        <v>0</v>
      </c>
    </row>
    <row r="149" spans="1:22" x14ac:dyDescent="0.25">
      <c r="A149" s="377">
        <v>131</v>
      </c>
      <c r="B149" s="377" t="s">
        <v>18</v>
      </c>
      <c r="C149" s="382" t="s">
        <v>6</v>
      </c>
      <c r="D149" s="379">
        <f t="shared" si="2"/>
        <v>65356</v>
      </c>
      <c r="E149" s="380">
        <v>0</v>
      </c>
      <c r="F149" s="380">
        <v>0</v>
      </c>
      <c r="G149" s="379">
        <v>0</v>
      </c>
      <c r="H149" s="379">
        <v>0</v>
      </c>
      <c r="I149" s="379">
        <v>0</v>
      </c>
      <c r="J149" s="379">
        <v>0</v>
      </c>
      <c r="K149" s="379">
        <v>0</v>
      </c>
      <c r="L149" s="379">
        <v>0</v>
      </c>
      <c r="M149" s="379">
        <v>0</v>
      </c>
      <c r="N149" s="379">
        <v>0</v>
      </c>
      <c r="O149" s="379">
        <v>0</v>
      </c>
      <c r="P149" s="379">
        <v>65356</v>
      </c>
      <c r="Q149" s="379">
        <v>0</v>
      </c>
      <c r="R149" s="379">
        <v>0</v>
      </c>
      <c r="S149" s="379">
        <v>0</v>
      </c>
      <c r="T149" s="379">
        <v>0</v>
      </c>
      <c r="U149" s="379">
        <v>0</v>
      </c>
      <c r="V149" s="379">
        <v>0</v>
      </c>
    </row>
    <row r="150" spans="1:22" x14ac:dyDescent="0.25">
      <c r="A150" s="377">
        <v>132</v>
      </c>
      <c r="B150" s="377" t="s">
        <v>389</v>
      </c>
      <c r="C150" s="382" t="s">
        <v>71</v>
      </c>
      <c r="D150" s="379">
        <f t="shared" si="2"/>
        <v>57642</v>
      </c>
      <c r="E150" s="380">
        <v>0</v>
      </c>
      <c r="F150" s="380">
        <v>0</v>
      </c>
      <c r="G150" s="379">
        <v>0</v>
      </c>
      <c r="H150" s="379">
        <v>0</v>
      </c>
      <c r="I150" s="379">
        <f>21500-15000</f>
        <v>6500</v>
      </c>
      <c r="J150" s="379">
        <v>0</v>
      </c>
      <c r="K150" s="379">
        <v>22142</v>
      </c>
      <c r="L150" s="379">
        <v>0</v>
      </c>
      <c r="M150" s="379">
        <v>0</v>
      </c>
      <c r="N150" s="379">
        <v>0</v>
      </c>
      <c r="O150" s="379">
        <v>0</v>
      </c>
      <c r="P150" s="379">
        <v>4000</v>
      </c>
      <c r="Q150" s="379">
        <v>0</v>
      </c>
      <c r="R150" s="379">
        <v>0</v>
      </c>
      <c r="S150" s="379">
        <v>0</v>
      </c>
      <c r="T150" s="379">
        <f>10000+15000</f>
        <v>25000</v>
      </c>
      <c r="U150" s="379">
        <v>0</v>
      </c>
      <c r="V150" s="379">
        <v>0</v>
      </c>
    </row>
    <row r="151" spans="1:22" x14ac:dyDescent="0.25">
      <c r="A151" s="377">
        <v>133</v>
      </c>
      <c r="B151" s="377" t="s">
        <v>17</v>
      </c>
      <c r="C151" s="382" t="s">
        <v>7</v>
      </c>
      <c r="D151" s="379">
        <f t="shared" si="2"/>
        <v>91000</v>
      </c>
      <c r="E151" s="380">
        <v>0</v>
      </c>
      <c r="F151" s="380">
        <v>0</v>
      </c>
      <c r="G151" s="379">
        <v>0</v>
      </c>
      <c r="H151" s="379">
        <v>0</v>
      </c>
      <c r="I151" s="379">
        <v>0</v>
      </c>
      <c r="J151" s="379">
        <v>0</v>
      </c>
      <c r="K151" s="379">
        <v>0</v>
      </c>
      <c r="L151" s="379">
        <v>0</v>
      </c>
      <c r="M151" s="379">
        <v>0</v>
      </c>
      <c r="N151" s="379">
        <v>0</v>
      </c>
      <c r="O151" s="379">
        <v>0</v>
      </c>
      <c r="P151" s="379">
        <v>91000</v>
      </c>
      <c r="Q151" s="379">
        <v>0</v>
      </c>
      <c r="R151" s="379">
        <v>0</v>
      </c>
      <c r="S151" s="379">
        <v>0</v>
      </c>
      <c r="T151" s="379">
        <v>0</v>
      </c>
      <c r="U151" s="379">
        <v>0</v>
      </c>
      <c r="V151" s="379">
        <v>0</v>
      </c>
    </row>
    <row r="152" spans="1:22" x14ac:dyDescent="0.25">
      <c r="A152" s="377">
        <v>134</v>
      </c>
      <c r="B152" s="377" t="s">
        <v>390</v>
      </c>
      <c r="C152" s="382" t="s">
        <v>391</v>
      </c>
      <c r="D152" s="379">
        <f t="shared" si="2"/>
        <v>10328</v>
      </c>
      <c r="E152" s="380">
        <v>0</v>
      </c>
      <c r="F152" s="380">
        <v>0</v>
      </c>
      <c r="G152" s="379">
        <v>0</v>
      </c>
      <c r="H152" s="379">
        <v>0</v>
      </c>
      <c r="I152" s="379">
        <v>0</v>
      </c>
      <c r="J152" s="379">
        <v>10178</v>
      </c>
      <c r="K152" s="379">
        <v>0</v>
      </c>
      <c r="L152" s="379">
        <v>0</v>
      </c>
      <c r="M152" s="379">
        <v>0</v>
      </c>
      <c r="N152" s="379">
        <v>0</v>
      </c>
      <c r="O152" s="379">
        <v>0</v>
      </c>
      <c r="P152" s="379">
        <v>150</v>
      </c>
      <c r="Q152" s="379">
        <v>0</v>
      </c>
      <c r="R152" s="379">
        <v>0</v>
      </c>
      <c r="S152" s="379">
        <v>0</v>
      </c>
      <c r="T152" s="379">
        <v>0</v>
      </c>
      <c r="U152" s="379">
        <v>0</v>
      </c>
      <c r="V152" s="379">
        <v>0</v>
      </c>
    </row>
    <row r="153" spans="1:22" x14ac:dyDescent="0.25">
      <c r="A153" s="377">
        <v>135</v>
      </c>
      <c r="B153" s="377" t="s">
        <v>392</v>
      </c>
      <c r="C153" s="382" t="s">
        <v>69</v>
      </c>
      <c r="D153" s="379">
        <f t="shared" si="2"/>
        <v>57592</v>
      </c>
      <c r="E153" s="380">
        <v>0</v>
      </c>
      <c r="F153" s="380">
        <v>0</v>
      </c>
      <c r="G153" s="379">
        <v>0</v>
      </c>
      <c r="H153" s="379">
        <v>0</v>
      </c>
      <c r="I153" s="379">
        <v>0</v>
      </c>
      <c r="J153" s="379">
        <v>0</v>
      </c>
      <c r="K153" s="379">
        <v>0</v>
      </c>
      <c r="L153" s="379">
        <f>3075+200</f>
        <v>3275</v>
      </c>
      <c r="M153" s="379">
        <v>1317</v>
      </c>
      <c r="N153" s="379">
        <v>0</v>
      </c>
      <c r="O153" s="379">
        <v>0</v>
      </c>
      <c r="P153" s="379">
        <v>53000</v>
      </c>
      <c r="Q153" s="379">
        <v>0</v>
      </c>
      <c r="R153" s="379">
        <v>0</v>
      </c>
      <c r="S153" s="379">
        <v>0</v>
      </c>
      <c r="T153" s="379">
        <v>0</v>
      </c>
      <c r="U153" s="379">
        <v>0</v>
      </c>
      <c r="V153" s="379">
        <v>0</v>
      </c>
    </row>
    <row r="154" spans="1:22" x14ac:dyDescent="0.25">
      <c r="A154" s="377">
        <v>136</v>
      </c>
      <c r="B154" s="377" t="s">
        <v>21</v>
      </c>
      <c r="C154" s="382" t="s">
        <v>68</v>
      </c>
      <c r="D154" s="379">
        <f t="shared" si="2"/>
        <v>1009</v>
      </c>
      <c r="E154" s="380">
        <v>0</v>
      </c>
      <c r="F154" s="380">
        <v>0</v>
      </c>
      <c r="G154" s="379">
        <v>0</v>
      </c>
      <c r="H154" s="379">
        <v>0</v>
      </c>
      <c r="I154" s="379">
        <v>0</v>
      </c>
      <c r="J154" s="379">
        <v>0</v>
      </c>
      <c r="K154" s="379">
        <v>0</v>
      </c>
      <c r="L154" s="379">
        <v>0</v>
      </c>
      <c r="M154" s="379">
        <v>0</v>
      </c>
      <c r="N154" s="379">
        <v>0</v>
      </c>
      <c r="O154" s="379">
        <v>0</v>
      </c>
      <c r="P154" s="379">
        <v>1009</v>
      </c>
      <c r="Q154" s="379">
        <v>0</v>
      </c>
      <c r="R154" s="379">
        <v>0</v>
      </c>
      <c r="S154" s="379">
        <v>0</v>
      </c>
      <c r="T154" s="379">
        <v>0</v>
      </c>
      <c r="U154" s="379">
        <v>0</v>
      </c>
      <c r="V154" s="379">
        <v>0</v>
      </c>
    </row>
    <row r="155" spans="1:22" x14ac:dyDescent="0.25">
      <c r="A155" s="595">
        <v>137</v>
      </c>
      <c r="B155" s="383" t="s">
        <v>22</v>
      </c>
      <c r="C155" s="382" t="s">
        <v>84</v>
      </c>
      <c r="D155" s="379">
        <f t="shared" si="2"/>
        <v>75757</v>
      </c>
      <c r="E155" s="380">
        <v>554</v>
      </c>
      <c r="F155" s="381">
        <v>1304</v>
      </c>
      <c r="G155" s="379">
        <v>11702</v>
      </c>
      <c r="H155" s="379">
        <v>19151</v>
      </c>
      <c r="I155" s="379">
        <v>0</v>
      </c>
      <c r="J155" s="379">
        <v>0</v>
      </c>
      <c r="K155" s="379">
        <v>0</v>
      </c>
      <c r="L155" s="379">
        <v>0</v>
      </c>
      <c r="M155" s="379">
        <v>0</v>
      </c>
      <c r="N155" s="379">
        <v>6437</v>
      </c>
      <c r="O155" s="379">
        <v>15198</v>
      </c>
      <c r="P155" s="379">
        <v>4030</v>
      </c>
      <c r="Q155" s="379">
        <v>0</v>
      </c>
      <c r="R155" s="379">
        <v>0</v>
      </c>
      <c r="S155" s="379">
        <v>4000</v>
      </c>
      <c r="T155" s="379">
        <v>0</v>
      </c>
      <c r="U155" s="379">
        <v>6226</v>
      </c>
      <c r="V155" s="379">
        <v>7155</v>
      </c>
    </row>
    <row r="156" spans="1:22" ht="51.75" x14ac:dyDescent="0.25">
      <c r="A156" s="596"/>
      <c r="B156" s="384" t="s">
        <v>293</v>
      </c>
      <c r="C156" s="398" t="s">
        <v>858</v>
      </c>
      <c r="D156" s="379">
        <f t="shared" si="2"/>
        <v>159645</v>
      </c>
      <c r="E156" s="380">
        <v>949</v>
      </c>
      <c r="F156" s="381">
        <v>1906</v>
      </c>
      <c r="G156" s="379">
        <v>6276</v>
      </c>
      <c r="H156" s="379">
        <v>59850</v>
      </c>
      <c r="I156" s="379">
        <v>0</v>
      </c>
      <c r="J156" s="379">
        <v>0</v>
      </c>
      <c r="K156" s="379">
        <v>0</v>
      </c>
      <c r="L156" s="379">
        <v>0</v>
      </c>
      <c r="M156" s="379">
        <v>0</v>
      </c>
      <c r="N156" s="379">
        <v>3692</v>
      </c>
      <c r="O156" s="379">
        <v>47656</v>
      </c>
      <c r="P156" s="379">
        <v>0</v>
      </c>
      <c r="Q156" s="379">
        <v>0</v>
      </c>
      <c r="R156" s="379">
        <v>2376</v>
      </c>
      <c r="S156" s="379">
        <v>0</v>
      </c>
      <c r="T156" s="379">
        <v>0</v>
      </c>
      <c r="U156" s="379">
        <v>4237</v>
      </c>
      <c r="V156" s="379">
        <v>32703</v>
      </c>
    </row>
    <row r="157" spans="1:22" x14ac:dyDescent="0.25">
      <c r="A157" s="595">
        <v>138</v>
      </c>
      <c r="B157" s="383">
        <v>22126</v>
      </c>
      <c r="C157" s="382" t="s">
        <v>434</v>
      </c>
      <c r="D157" s="379">
        <f t="shared" si="2"/>
        <v>3000</v>
      </c>
      <c r="E157" s="380">
        <v>0</v>
      </c>
      <c r="F157" s="380">
        <v>0</v>
      </c>
      <c r="G157" s="379">
        <v>0</v>
      </c>
      <c r="H157" s="379">
        <v>0</v>
      </c>
      <c r="I157" s="379">
        <v>0</v>
      </c>
      <c r="J157" s="379">
        <v>0</v>
      </c>
      <c r="K157" s="379">
        <v>0</v>
      </c>
      <c r="L157" s="379">
        <v>0</v>
      </c>
      <c r="M157" s="379">
        <v>0</v>
      </c>
      <c r="N157" s="379">
        <v>0</v>
      </c>
      <c r="O157" s="379">
        <v>0</v>
      </c>
      <c r="P157" s="379">
        <v>3000</v>
      </c>
      <c r="Q157" s="379">
        <v>0</v>
      </c>
      <c r="R157" s="379">
        <v>0</v>
      </c>
      <c r="S157" s="379">
        <v>0</v>
      </c>
      <c r="T157" s="379">
        <v>0</v>
      </c>
      <c r="U157" s="379">
        <v>0</v>
      </c>
      <c r="V157" s="379">
        <v>0</v>
      </c>
    </row>
    <row r="158" spans="1:22" ht="63.75" x14ac:dyDescent="0.25">
      <c r="A158" s="596"/>
      <c r="B158" s="384" t="s">
        <v>405</v>
      </c>
      <c r="C158" s="399" t="s">
        <v>859</v>
      </c>
      <c r="D158" s="379">
        <f t="shared" si="2"/>
        <v>1442</v>
      </c>
      <c r="E158" s="380">
        <v>0</v>
      </c>
      <c r="F158" s="380">
        <v>0</v>
      </c>
      <c r="G158" s="379">
        <v>0</v>
      </c>
      <c r="H158" s="379">
        <v>0</v>
      </c>
      <c r="I158" s="379">
        <v>0</v>
      </c>
      <c r="J158" s="379">
        <v>0</v>
      </c>
      <c r="K158" s="379">
        <v>0</v>
      </c>
      <c r="L158" s="379">
        <v>0</v>
      </c>
      <c r="M158" s="379">
        <v>0</v>
      </c>
      <c r="N158" s="379">
        <v>0</v>
      </c>
      <c r="O158" s="379">
        <v>0</v>
      </c>
      <c r="P158" s="379">
        <v>1442</v>
      </c>
      <c r="Q158" s="379">
        <v>0</v>
      </c>
      <c r="R158" s="379">
        <v>0</v>
      </c>
      <c r="S158" s="379">
        <v>0</v>
      </c>
      <c r="T158" s="379">
        <v>0</v>
      </c>
      <c r="U158" s="379">
        <v>0</v>
      </c>
      <c r="V158" s="379">
        <v>0</v>
      </c>
    </row>
    <row r="159" spans="1:22" x14ac:dyDescent="0.25">
      <c r="A159" s="377">
        <v>139</v>
      </c>
      <c r="B159" s="377" t="s">
        <v>661</v>
      </c>
      <c r="C159" s="382" t="s">
        <v>662</v>
      </c>
      <c r="D159" s="379">
        <f t="shared" si="2"/>
        <v>9830</v>
      </c>
      <c r="E159" s="380">
        <v>0</v>
      </c>
      <c r="F159" s="380">
        <v>0</v>
      </c>
      <c r="G159" s="379">
        <v>0</v>
      </c>
      <c r="H159" s="379">
        <v>0</v>
      </c>
      <c r="I159" s="379">
        <v>0</v>
      </c>
      <c r="J159" s="379">
        <v>0</v>
      </c>
      <c r="K159" s="379">
        <v>0</v>
      </c>
      <c r="L159" s="379">
        <v>0</v>
      </c>
      <c r="M159" s="379">
        <v>0</v>
      </c>
      <c r="N159" s="379">
        <v>0</v>
      </c>
      <c r="O159" s="379">
        <v>0</v>
      </c>
      <c r="P159" s="379">
        <v>9830</v>
      </c>
      <c r="Q159" s="379">
        <v>0</v>
      </c>
      <c r="R159" s="379">
        <v>0</v>
      </c>
      <c r="S159" s="379">
        <v>0</v>
      </c>
      <c r="T159" s="379">
        <v>0</v>
      </c>
      <c r="U159" s="379">
        <v>0</v>
      </c>
      <c r="V159" s="379">
        <v>0</v>
      </c>
    </row>
    <row r="160" spans="1:22" x14ac:dyDescent="0.25">
      <c r="A160" s="377">
        <v>140</v>
      </c>
      <c r="B160" s="377">
        <v>914</v>
      </c>
      <c r="C160" s="400" t="s">
        <v>860</v>
      </c>
      <c r="D160" s="379">
        <f t="shared" si="2"/>
        <v>26480</v>
      </c>
      <c r="E160" s="380">
        <v>0</v>
      </c>
      <c r="F160" s="380">
        <v>0</v>
      </c>
      <c r="G160" s="379">
        <v>0</v>
      </c>
      <c r="H160" s="379">
        <v>0</v>
      </c>
      <c r="I160" s="379">
        <v>2648</v>
      </c>
      <c r="J160" s="379">
        <v>0</v>
      </c>
      <c r="K160" s="379">
        <v>23832</v>
      </c>
      <c r="L160" s="379">
        <v>0</v>
      </c>
      <c r="M160" s="379">
        <v>0</v>
      </c>
      <c r="N160" s="379">
        <v>0</v>
      </c>
      <c r="O160" s="379">
        <v>0</v>
      </c>
      <c r="P160" s="379">
        <v>0</v>
      </c>
      <c r="Q160" s="379">
        <v>0</v>
      </c>
      <c r="R160" s="379">
        <v>0</v>
      </c>
      <c r="S160" s="379">
        <v>0</v>
      </c>
      <c r="T160" s="379">
        <v>0</v>
      </c>
      <c r="U160" s="379">
        <v>0</v>
      </c>
      <c r="V160" s="379">
        <v>0</v>
      </c>
    </row>
    <row r="161" spans="1:22" x14ac:dyDescent="0.25">
      <c r="A161" s="377">
        <v>141</v>
      </c>
      <c r="B161" s="377" t="s">
        <v>425</v>
      </c>
      <c r="C161" s="401" t="s">
        <v>426</v>
      </c>
      <c r="D161" s="379">
        <f t="shared" si="2"/>
        <v>10080</v>
      </c>
      <c r="E161" s="380">
        <v>0</v>
      </c>
      <c r="F161" s="380">
        <v>0</v>
      </c>
      <c r="G161" s="379">
        <v>0</v>
      </c>
      <c r="H161" s="379">
        <v>0</v>
      </c>
      <c r="I161" s="379">
        <v>1008</v>
      </c>
      <c r="J161" s="379">
        <v>0</v>
      </c>
      <c r="K161" s="379">
        <v>9072</v>
      </c>
      <c r="L161" s="379">
        <v>0</v>
      </c>
      <c r="M161" s="379">
        <v>0</v>
      </c>
      <c r="N161" s="379">
        <v>0</v>
      </c>
      <c r="O161" s="379">
        <v>0</v>
      </c>
      <c r="P161" s="379">
        <v>0</v>
      </c>
      <c r="Q161" s="379">
        <v>0</v>
      </c>
      <c r="R161" s="379">
        <v>0</v>
      </c>
      <c r="S161" s="379">
        <v>0</v>
      </c>
      <c r="T161" s="379">
        <v>0</v>
      </c>
      <c r="U161" s="379">
        <v>0</v>
      </c>
      <c r="V161" s="379">
        <v>0</v>
      </c>
    </row>
    <row r="162" spans="1:22" x14ac:dyDescent="0.25">
      <c r="A162" s="377">
        <v>142</v>
      </c>
      <c r="B162" s="394" t="s">
        <v>427</v>
      </c>
      <c r="C162" s="402" t="s">
        <v>861</v>
      </c>
      <c r="D162" s="379">
        <f t="shared" si="2"/>
        <v>5480</v>
      </c>
      <c r="E162" s="380">
        <v>0</v>
      </c>
      <c r="F162" s="380">
        <v>0</v>
      </c>
      <c r="G162" s="379">
        <v>0</v>
      </c>
      <c r="H162" s="379">
        <v>0</v>
      </c>
      <c r="I162" s="379">
        <v>548</v>
      </c>
      <c r="J162" s="379">
        <v>0</v>
      </c>
      <c r="K162" s="379">
        <v>4932</v>
      </c>
      <c r="L162" s="379">
        <v>0</v>
      </c>
      <c r="M162" s="379">
        <v>0</v>
      </c>
      <c r="N162" s="379">
        <v>0</v>
      </c>
      <c r="O162" s="379">
        <v>0</v>
      </c>
      <c r="P162" s="379">
        <v>0</v>
      </c>
      <c r="Q162" s="379">
        <v>0</v>
      </c>
      <c r="R162" s="379">
        <v>0</v>
      </c>
      <c r="S162" s="379">
        <v>0</v>
      </c>
      <c r="T162" s="379">
        <v>0</v>
      </c>
      <c r="U162" s="379">
        <v>0</v>
      </c>
      <c r="V162" s="379">
        <v>0</v>
      </c>
    </row>
    <row r="163" spans="1:22" x14ac:dyDescent="0.25">
      <c r="A163" s="377">
        <v>143</v>
      </c>
      <c r="B163" s="377" t="s">
        <v>429</v>
      </c>
      <c r="C163" s="401" t="s">
        <v>862</v>
      </c>
      <c r="D163" s="379">
        <f t="shared" si="2"/>
        <v>2600</v>
      </c>
      <c r="E163" s="380">
        <v>0</v>
      </c>
      <c r="F163" s="380">
        <v>0</v>
      </c>
      <c r="G163" s="379">
        <v>0</v>
      </c>
      <c r="H163" s="379">
        <v>0</v>
      </c>
      <c r="I163" s="379">
        <v>260</v>
      </c>
      <c r="J163" s="379">
        <v>0</v>
      </c>
      <c r="K163" s="379">
        <v>2340</v>
      </c>
      <c r="L163" s="379">
        <v>0</v>
      </c>
      <c r="M163" s="379">
        <v>0</v>
      </c>
      <c r="N163" s="379">
        <v>0</v>
      </c>
      <c r="O163" s="379">
        <v>0</v>
      </c>
      <c r="P163" s="379">
        <v>0</v>
      </c>
      <c r="Q163" s="379">
        <v>0</v>
      </c>
      <c r="R163" s="379">
        <v>0</v>
      </c>
      <c r="S163" s="379">
        <v>0</v>
      </c>
      <c r="T163" s="379">
        <v>0</v>
      </c>
      <c r="U163" s="379">
        <v>0</v>
      </c>
      <c r="V163" s="379">
        <v>0</v>
      </c>
    </row>
    <row r="164" spans="1:22" x14ac:dyDescent="0.25">
      <c r="A164" s="377">
        <v>144</v>
      </c>
      <c r="B164" s="377" t="s">
        <v>863</v>
      </c>
      <c r="C164" s="382" t="s">
        <v>864</v>
      </c>
      <c r="D164" s="379">
        <f t="shared" si="2"/>
        <v>640</v>
      </c>
      <c r="E164" s="380">
        <v>0</v>
      </c>
      <c r="F164" s="380">
        <v>0</v>
      </c>
      <c r="G164" s="379">
        <v>0</v>
      </c>
      <c r="H164" s="379">
        <v>0</v>
      </c>
      <c r="I164" s="379">
        <v>64</v>
      </c>
      <c r="J164" s="379">
        <v>0</v>
      </c>
      <c r="K164" s="379">
        <v>576</v>
      </c>
      <c r="L164" s="379">
        <v>0</v>
      </c>
      <c r="M164" s="379">
        <v>0</v>
      </c>
      <c r="N164" s="379">
        <v>0</v>
      </c>
      <c r="O164" s="379">
        <v>0</v>
      </c>
      <c r="P164" s="379">
        <v>0</v>
      </c>
      <c r="Q164" s="379">
        <v>0</v>
      </c>
      <c r="R164" s="379">
        <v>0</v>
      </c>
      <c r="S164" s="379">
        <v>0</v>
      </c>
      <c r="T164" s="379">
        <v>0</v>
      </c>
      <c r="U164" s="379">
        <v>0</v>
      </c>
      <c r="V164" s="379">
        <v>0</v>
      </c>
    </row>
    <row r="165" spans="1:22" ht="25.5" x14ac:dyDescent="0.25">
      <c r="A165" s="403"/>
      <c r="B165" s="403"/>
      <c r="C165" s="382" t="s">
        <v>78</v>
      </c>
      <c r="D165" s="379">
        <f>302720-200-200-1763-897</f>
        <v>299660</v>
      </c>
      <c r="E165" s="380">
        <v>0</v>
      </c>
      <c r="F165" s="380">
        <v>0</v>
      </c>
      <c r="G165" s="379">
        <v>0</v>
      </c>
      <c r="H165" s="379">
        <v>0</v>
      </c>
      <c r="I165" s="379">
        <v>484</v>
      </c>
      <c r="J165" s="379">
        <v>0</v>
      </c>
      <c r="K165" s="379">
        <f>4388-200</f>
        <v>4188</v>
      </c>
      <c r="L165" s="379">
        <v>0</v>
      </c>
      <c r="M165" s="379">
        <v>0</v>
      </c>
      <c r="N165" s="379">
        <v>266248</v>
      </c>
      <c r="O165" s="379">
        <v>0</v>
      </c>
      <c r="P165" s="379">
        <v>0</v>
      </c>
      <c r="Q165" s="379">
        <v>0</v>
      </c>
      <c r="R165" s="379">
        <v>0</v>
      </c>
      <c r="S165" s="379">
        <v>0</v>
      </c>
      <c r="T165" s="379">
        <v>0</v>
      </c>
      <c r="U165" s="379">
        <v>0</v>
      </c>
      <c r="V165" s="379">
        <v>0</v>
      </c>
    </row>
    <row r="166" spans="1:22" x14ac:dyDescent="0.25">
      <c r="A166" s="404"/>
      <c r="B166" s="404"/>
      <c r="C166" s="404" t="s">
        <v>8</v>
      </c>
      <c r="D166" s="405">
        <f>SUM(D10:D165)</f>
        <v>10341098</v>
      </c>
      <c r="E166" s="405">
        <f t="shared" ref="E166:V166" si="3">SUM(E10:E165)</f>
        <v>45787</v>
      </c>
      <c r="F166" s="405">
        <f t="shared" si="3"/>
        <v>105494</v>
      </c>
      <c r="G166" s="405">
        <f t="shared" si="3"/>
        <v>286853</v>
      </c>
      <c r="H166" s="405">
        <f t="shared" si="3"/>
        <v>2435131</v>
      </c>
      <c r="I166" s="405">
        <f t="shared" si="3"/>
        <v>44926</v>
      </c>
      <c r="J166" s="405">
        <f t="shared" si="3"/>
        <v>205160</v>
      </c>
      <c r="K166" s="405">
        <f t="shared" si="3"/>
        <v>177400</v>
      </c>
      <c r="L166" s="405">
        <f t="shared" si="3"/>
        <v>39351</v>
      </c>
      <c r="M166" s="405">
        <f t="shared" si="3"/>
        <v>16681</v>
      </c>
      <c r="N166" s="405">
        <f t="shared" si="3"/>
        <v>791309</v>
      </c>
      <c r="O166" s="405">
        <f t="shared" si="3"/>
        <v>2360860</v>
      </c>
      <c r="P166" s="405">
        <f t="shared" si="3"/>
        <v>810289</v>
      </c>
      <c r="Q166" s="405">
        <f t="shared" si="3"/>
        <v>42275</v>
      </c>
      <c r="R166" s="405">
        <f t="shared" si="3"/>
        <v>147559</v>
      </c>
      <c r="S166" s="405">
        <f t="shared" si="3"/>
        <v>431356</v>
      </c>
      <c r="T166" s="405">
        <f t="shared" si="3"/>
        <v>57515</v>
      </c>
      <c r="U166" s="405">
        <f t="shared" si="3"/>
        <v>281371</v>
      </c>
      <c r="V166" s="405">
        <f t="shared" si="3"/>
        <v>2033041</v>
      </c>
    </row>
    <row r="167" spans="1:22" x14ac:dyDescent="0.25">
      <c r="A167" s="406"/>
      <c r="B167" s="406"/>
      <c r="C167" s="406"/>
    </row>
    <row r="168" spans="1:22" x14ac:dyDescent="0.25">
      <c r="A168" s="406"/>
      <c r="B168" s="406"/>
      <c r="C168" s="406"/>
    </row>
    <row r="169" spans="1:22" x14ac:dyDescent="0.25">
      <c r="D169" s="335"/>
      <c r="F169" s="335"/>
      <c r="I169" s="335"/>
      <c r="J169" s="335"/>
      <c r="K169" s="335"/>
      <c r="L169" s="335"/>
      <c r="M169" s="335"/>
      <c r="N169" s="335"/>
    </row>
    <row r="170" spans="1:22" x14ac:dyDescent="0.25">
      <c r="D170" s="335"/>
      <c r="G170" s="335"/>
      <c r="H170" s="335"/>
      <c r="K170" s="335"/>
      <c r="N170" s="335"/>
    </row>
    <row r="171" spans="1:22" x14ac:dyDescent="0.25">
      <c r="G171" s="335"/>
      <c r="H171" s="335"/>
      <c r="K171" s="335"/>
    </row>
    <row r="172" spans="1:22" x14ac:dyDescent="0.25">
      <c r="G172" s="335"/>
    </row>
    <row r="173" spans="1:22" x14ac:dyDescent="0.25">
      <c r="A173" s="314"/>
      <c r="B173" s="314"/>
      <c r="C173" s="314"/>
      <c r="D173" s="335"/>
      <c r="G173" s="335"/>
    </row>
    <row r="174" spans="1:22" x14ac:dyDescent="0.25">
      <c r="A174" s="314"/>
      <c r="B174" s="314"/>
      <c r="C174" s="314"/>
      <c r="G174" s="335"/>
      <c r="K174" s="335"/>
    </row>
    <row r="175" spans="1:22" x14ac:dyDescent="0.25">
      <c r="A175" s="314"/>
      <c r="B175" s="314"/>
      <c r="C175" s="314"/>
      <c r="D175" s="335"/>
    </row>
  </sheetData>
  <mergeCells count="33">
    <mergeCell ref="C1:U1"/>
    <mergeCell ref="A3:A8"/>
    <mergeCell ref="B3:B8"/>
    <mergeCell ref="C3:C8"/>
    <mergeCell ref="D3:D8"/>
    <mergeCell ref="E3:V3"/>
    <mergeCell ref="E4:F7"/>
    <mergeCell ref="G4:I5"/>
    <mergeCell ref="J4:J8"/>
    <mergeCell ref="K4:P5"/>
    <mergeCell ref="A36:A37"/>
    <mergeCell ref="Q4:S5"/>
    <mergeCell ref="T4:V5"/>
    <mergeCell ref="G6:H7"/>
    <mergeCell ref="I6:I8"/>
    <mergeCell ref="K6:K8"/>
    <mergeCell ref="L6:M6"/>
    <mergeCell ref="N6:O7"/>
    <mergeCell ref="P6:P8"/>
    <mergeCell ref="Q6:Q8"/>
    <mergeCell ref="R6:S7"/>
    <mergeCell ref="T6:T8"/>
    <mergeCell ref="U6:V7"/>
    <mergeCell ref="L7:L8"/>
    <mergeCell ref="M7:M8"/>
    <mergeCell ref="A14:A15"/>
    <mergeCell ref="A157:A158"/>
    <mergeCell ref="A39:A40"/>
    <mergeCell ref="A47:A49"/>
    <mergeCell ref="A52:A53"/>
    <mergeCell ref="A111:A112"/>
    <mergeCell ref="A116:A117"/>
    <mergeCell ref="A155:A15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G16" sqref="G16:G17"/>
    </sheetView>
  </sheetViews>
  <sheetFormatPr defaultRowHeight="12.75" x14ac:dyDescent="0.2"/>
  <cols>
    <col min="1" max="1" width="4.140625" style="407" customWidth="1"/>
    <col min="2" max="2" width="7.42578125" style="407" customWidth="1"/>
    <col min="3" max="3" width="31.28515625" style="407" customWidth="1"/>
    <col min="4" max="5" width="9.140625" style="407"/>
    <col min="6" max="18" width="10.140625" style="407" customWidth="1"/>
    <col min="19" max="16384" width="9.140625" style="407"/>
  </cols>
  <sheetData>
    <row r="1" spans="1:19" ht="18.75" customHeight="1" x14ac:dyDescent="0.2"/>
    <row r="2" spans="1:19" ht="18.75" x14ac:dyDescent="0.3">
      <c r="C2" s="408" t="s">
        <v>879</v>
      </c>
    </row>
    <row r="4" spans="1:19" ht="12" customHeight="1" x14ac:dyDescent="0.2">
      <c r="A4" s="618" t="s">
        <v>880</v>
      </c>
      <c r="B4" s="618" t="s">
        <v>13</v>
      </c>
      <c r="C4" s="621" t="s">
        <v>9</v>
      </c>
      <c r="D4" s="482" t="s">
        <v>881</v>
      </c>
      <c r="E4" s="614" t="s">
        <v>882</v>
      </c>
      <c r="F4" s="614"/>
      <c r="G4" s="614"/>
      <c r="H4" s="614"/>
      <c r="I4" s="614"/>
      <c r="J4" s="614"/>
      <c r="K4" s="615"/>
      <c r="L4" s="614" t="s">
        <v>883</v>
      </c>
      <c r="M4" s="614"/>
      <c r="N4" s="614"/>
      <c r="O4" s="614"/>
      <c r="P4" s="614"/>
      <c r="Q4" s="614"/>
      <c r="R4" s="614"/>
      <c r="S4" s="417"/>
    </row>
    <row r="5" spans="1:19" ht="24" customHeight="1" x14ac:dyDescent="0.2">
      <c r="A5" s="619"/>
      <c r="B5" s="619"/>
      <c r="C5" s="621"/>
      <c r="D5" s="622"/>
      <c r="E5" s="614" t="s">
        <v>884</v>
      </c>
      <c r="F5" s="614" t="s">
        <v>547</v>
      </c>
      <c r="G5" s="614"/>
      <c r="H5" s="614" t="s">
        <v>885</v>
      </c>
      <c r="I5" s="614"/>
      <c r="J5" s="614"/>
      <c r="K5" s="615"/>
      <c r="L5" s="614" t="s">
        <v>884</v>
      </c>
      <c r="M5" s="614" t="s">
        <v>547</v>
      </c>
      <c r="N5" s="614"/>
      <c r="O5" s="614" t="s">
        <v>885</v>
      </c>
      <c r="P5" s="614"/>
      <c r="Q5" s="614"/>
      <c r="R5" s="614"/>
      <c r="S5" s="417"/>
    </row>
    <row r="6" spans="1:19" ht="12" customHeight="1" x14ac:dyDescent="0.2">
      <c r="A6" s="619"/>
      <c r="B6" s="619"/>
      <c r="C6" s="621"/>
      <c r="D6" s="622"/>
      <c r="E6" s="614"/>
      <c r="F6" s="614"/>
      <c r="G6" s="614"/>
      <c r="H6" s="614" t="s">
        <v>886</v>
      </c>
      <c r="I6" s="614"/>
      <c r="J6" s="614" t="s">
        <v>887</v>
      </c>
      <c r="K6" s="615"/>
      <c r="L6" s="614"/>
      <c r="M6" s="614"/>
      <c r="N6" s="614"/>
      <c r="O6" s="614" t="s">
        <v>886</v>
      </c>
      <c r="P6" s="614"/>
      <c r="Q6" s="614" t="s">
        <v>887</v>
      </c>
      <c r="R6" s="614"/>
      <c r="S6" s="417"/>
    </row>
    <row r="7" spans="1:19" ht="72" customHeight="1" x14ac:dyDescent="0.2">
      <c r="A7" s="620"/>
      <c r="B7" s="620"/>
      <c r="C7" s="621"/>
      <c r="D7" s="562"/>
      <c r="E7" s="614"/>
      <c r="F7" s="131" t="s">
        <v>888</v>
      </c>
      <c r="G7" s="131" t="s">
        <v>889</v>
      </c>
      <c r="H7" s="131" t="s">
        <v>888</v>
      </c>
      <c r="I7" s="131" t="s">
        <v>889</v>
      </c>
      <c r="J7" s="131" t="s">
        <v>888</v>
      </c>
      <c r="K7" s="418" t="s">
        <v>889</v>
      </c>
      <c r="L7" s="614"/>
      <c r="M7" s="418" t="s">
        <v>888</v>
      </c>
      <c r="N7" s="418" t="s">
        <v>889</v>
      </c>
      <c r="O7" s="418" t="s">
        <v>888</v>
      </c>
      <c r="P7" s="418" t="s">
        <v>889</v>
      </c>
      <c r="Q7" s="418" t="s">
        <v>888</v>
      </c>
      <c r="R7" s="131" t="s">
        <v>889</v>
      </c>
      <c r="S7" s="417"/>
    </row>
    <row r="8" spans="1:19" s="424" customFormat="1" ht="12" customHeight="1" x14ac:dyDescent="0.2">
      <c r="A8" s="409">
        <v>1</v>
      </c>
      <c r="B8" s="410">
        <v>2</v>
      </c>
      <c r="C8" s="410">
        <v>3</v>
      </c>
      <c r="D8" s="386">
        <v>4</v>
      </c>
      <c r="E8" s="425">
        <v>5</v>
      </c>
      <c r="F8" s="425">
        <v>6</v>
      </c>
      <c r="G8" s="425">
        <v>7</v>
      </c>
      <c r="H8" s="425">
        <v>8</v>
      </c>
      <c r="I8" s="425">
        <v>9</v>
      </c>
      <c r="J8" s="425">
        <v>10</v>
      </c>
      <c r="K8" s="426">
        <v>11</v>
      </c>
      <c r="L8" s="425">
        <v>12</v>
      </c>
      <c r="M8" s="425">
        <v>13</v>
      </c>
      <c r="N8" s="425">
        <v>14</v>
      </c>
      <c r="O8" s="425">
        <v>15</v>
      </c>
      <c r="P8" s="425">
        <v>16</v>
      </c>
      <c r="Q8" s="425">
        <v>17</v>
      </c>
      <c r="R8" s="425">
        <v>18</v>
      </c>
      <c r="S8" s="427"/>
    </row>
    <row r="9" spans="1:19" x14ac:dyDescent="0.2">
      <c r="A9" s="411">
        <v>1</v>
      </c>
      <c r="B9" s="412" t="s">
        <v>27</v>
      </c>
      <c r="C9" s="413" t="s">
        <v>4</v>
      </c>
      <c r="D9" s="419">
        <f>E9+L9</f>
        <v>12290</v>
      </c>
      <c r="E9" s="419">
        <f>F9+G9</f>
        <v>5042</v>
      </c>
      <c r="F9" s="419">
        <f>H9+J9</f>
        <v>4033</v>
      </c>
      <c r="G9" s="419">
        <f>I9+K9</f>
        <v>1009</v>
      </c>
      <c r="H9" s="419">
        <v>3038</v>
      </c>
      <c r="I9" s="420">
        <v>760</v>
      </c>
      <c r="J9" s="420">
        <v>995</v>
      </c>
      <c r="K9" s="421">
        <v>249</v>
      </c>
      <c r="L9" s="419">
        <f>M9+N9</f>
        <v>7248</v>
      </c>
      <c r="M9" s="419">
        <f>O9+Q9</f>
        <v>5793</v>
      </c>
      <c r="N9" s="419">
        <f>P9+R9</f>
        <v>1455</v>
      </c>
      <c r="O9" s="419">
        <v>4356</v>
      </c>
      <c r="P9" s="419">
        <v>1095</v>
      </c>
      <c r="Q9" s="419">
        <v>1437</v>
      </c>
      <c r="R9" s="420">
        <v>360</v>
      </c>
      <c r="S9" s="422"/>
    </row>
    <row r="10" spans="1:19" x14ac:dyDescent="0.2">
      <c r="A10" s="411">
        <v>2</v>
      </c>
      <c r="B10" s="412" t="s">
        <v>225</v>
      </c>
      <c r="C10" s="413" t="s">
        <v>110</v>
      </c>
      <c r="D10" s="419">
        <f t="shared" ref="D10:D31" si="0">E10+L10</f>
        <v>8225</v>
      </c>
      <c r="E10" s="419">
        <f t="shared" ref="E10:E31" si="1">F10+G10</f>
        <v>3367</v>
      </c>
      <c r="F10" s="419">
        <f>H10+J10</f>
        <v>2705</v>
      </c>
      <c r="G10" s="419">
        <f t="shared" ref="G10:G31" si="2">I10+K10</f>
        <v>662</v>
      </c>
      <c r="H10" s="419">
        <v>2096</v>
      </c>
      <c r="I10" s="420">
        <v>510</v>
      </c>
      <c r="J10" s="420">
        <v>609</v>
      </c>
      <c r="K10" s="421">
        <v>152</v>
      </c>
      <c r="L10" s="419">
        <f t="shared" ref="L10:L31" si="3">M10+N10</f>
        <v>4858</v>
      </c>
      <c r="M10" s="419">
        <f t="shared" ref="M10:N31" si="4">O10+Q10</f>
        <v>3879</v>
      </c>
      <c r="N10" s="419">
        <f t="shared" si="4"/>
        <v>979</v>
      </c>
      <c r="O10" s="419">
        <v>2999</v>
      </c>
      <c r="P10" s="420">
        <v>759</v>
      </c>
      <c r="Q10" s="420">
        <v>880</v>
      </c>
      <c r="R10" s="420">
        <v>220</v>
      </c>
      <c r="S10" s="422"/>
    </row>
    <row r="11" spans="1:19" x14ac:dyDescent="0.2">
      <c r="A11" s="411">
        <v>3</v>
      </c>
      <c r="B11" s="412" t="s">
        <v>233</v>
      </c>
      <c r="C11" s="413" t="s">
        <v>96</v>
      </c>
      <c r="D11" s="419">
        <f t="shared" si="0"/>
        <v>6893</v>
      </c>
      <c r="E11" s="419">
        <f t="shared" si="1"/>
        <v>2101</v>
      </c>
      <c r="F11" s="419">
        <f t="shared" ref="F11:F31" si="5">H11+J11</f>
        <v>1620</v>
      </c>
      <c r="G11" s="419">
        <f t="shared" si="2"/>
        <v>481</v>
      </c>
      <c r="H11" s="419">
        <v>1307</v>
      </c>
      <c r="I11" s="420">
        <v>356</v>
      </c>
      <c r="J11" s="420">
        <v>313</v>
      </c>
      <c r="K11" s="421">
        <v>125</v>
      </c>
      <c r="L11" s="419">
        <f t="shared" si="3"/>
        <v>4792</v>
      </c>
      <c r="M11" s="419">
        <f t="shared" si="4"/>
        <v>4262</v>
      </c>
      <c r="N11" s="419">
        <f t="shared" si="4"/>
        <v>530</v>
      </c>
      <c r="O11" s="419">
        <v>3337</v>
      </c>
      <c r="P11" s="420">
        <v>340</v>
      </c>
      <c r="Q11" s="420">
        <v>925</v>
      </c>
      <c r="R11" s="420">
        <v>190</v>
      </c>
      <c r="S11" s="422"/>
    </row>
    <row r="12" spans="1:19" x14ac:dyDescent="0.2">
      <c r="A12" s="411">
        <v>4</v>
      </c>
      <c r="B12" s="412" t="s">
        <v>266</v>
      </c>
      <c r="C12" s="413" t="s">
        <v>59</v>
      </c>
      <c r="D12" s="419">
        <f t="shared" si="0"/>
        <v>5362</v>
      </c>
      <c r="E12" s="419">
        <f t="shared" si="1"/>
        <v>675</v>
      </c>
      <c r="F12" s="419">
        <f t="shared" si="5"/>
        <v>425</v>
      </c>
      <c r="G12" s="419">
        <f t="shared" si="2"/>
        <v>250</v>
      </c>
      <c r="H12" s="420">
        <v>1</v>
      </c>
      <c r="I12" s="420">
        <v>133</v>
      </c>
      <c r="J12" s="420">
        <v>424</v>
      </c>
      <c r="K12" s="421">
        <v>117</v>
      </c>
      <c r="L12" s="419">
        <f t="shared" si="3"/>
        <v>4687</v>
      </c>
      <c r="M12" s="419">
        <f t="shared" si="4"/>
        <v>3843</v>
      </c>
      <c r="N12" s="419">
        <f t="shared" si="4"/>
        <v>844</v>
      </c>
      <c r="O12" s="419">
        <v>3207</v>
      </c>
      <c r="P12" s="420">
        <v>696</v>
      </c>
      <c r="Q12" s="420">
        <v>636</v>
      </c>
      <c r="R12" s="420">
        <v>148</v>
      </c>
      <c r="S12" s="422"/>
    </row>
    <row r="13" spans="1:19" x14ac:dyDescent="0.2">
      <c r="A13" s="411">
        <v>5</v>
      </c>
      <c r="B13" s="412" t="s">
        <v>19</v>
      </c>
      <c r="C13" s="413" t="s">
        <v>234</v>
      </c>
      <c r="D13" s="419">
        <f t="shared" si="0"/>
        <v>13874</v>
      </c>
      <c r="E13" s="419">
        <f t="shared" si="1"/>
        <v>5668</v>
      </c>
      <c r="F13" s="419">
        <f t="shared" si="5"/>
        <v>4532</v>
      </c>
      <c r="G13" s="419">
        <f t="shared" si="2"/>
        <v>1136</v>
      </c>
      <c r="H13" s="419">
        <v>3503</v>
      </c>
      <c r="I13" s="420">
        <v>878</v>
      </c>
      <c r="J13" s="419">
        <v>1029</v>
      </c>
      <c r="K13" s="421">
        <v>258</v>
      </c>
      <c r="L13" s="419">
        <f t="shared" si="3"/>
        <v>8206</v>
      </c>
      <c r="M13" s="419">
        <f t="shared" si="4"/>
        <v>6567</v>
      </c>
      <c r="N13" s="419">
        <f t="shared" si="4"/>
        <v>1639</v>
      </c>
      <c r="O13" s="419">
        <v>5081</v>
      </c>
      <c r="P13" s="419">
        <v>1268</v>
      </c>
      <c r="Q13" s="419">
        <v>1486</v>
      </c>
      <c r="R13" s="420">
        <v>371</v>
      </c>
      <c r="S13" s="422"/>
    </row>
    <row r="14" spans="1:19" x14ac:dyDescent="0.2">
      <c r="A14" s="411">
        <v>6</v>
      </c>
      <c r="B14" s="412" t="s">
        <v>277</v>
      </c>
      <c r="C14" s="413" t="s">
        <v>104</v>
      </c>
      <c r="D14" s="419">
        <f t="shared" si="0"/>
        <v>8103</v>
      </c>
      <c r="E14" s="419">
        <f t="shared" si="1"/>
        <v>3296</v>
      </c>
      <c r="F14" s="419">
        <f t="shared" si="5"/>
        <v>2635</v>
      </c>
      <c r="G14" s="419">
        <f t="shared" si="2"/>
        <v>661</v>
      </c>
      <c r="H14" s="419">
        <v>1944</v>
      </c>
      <c r="I14" s="420">
        <v>487</v>
      </c>
      <c r="J14" s="420">
        <v>691</v>
      </c>
      <c r="K14" s="421">
        <v>174</v>
      </c>
      <c r="L14" s="419">
        <f t="shared" si="3"/>
        <v>4807</v>
      </c>
      <c r="M14" s="419">
        <f t="shared" si="4"/>
        <v>3847</v>
      </c>
      <c r="N14" s="419">
        <f t="shared" si="4"/>
        <v>960</v>
      </c>
      <c r="O14" s="419">
        <v>2845</v>
      </c>
      <c r="P14" s="420">
        <v>710</v>
      </c>
      <c r="Q14" s="419">
        <v>1002</v>
      </c>
      <c r="R14" s="420">
        <v>250</v>
      </c>
      <c r="S14" s="422"/>
    </row>
    <row r="15" spans="1:19" ht="25.5" x14ac:dyDescent="0.2">
      <c r="A15" s="411">
        <v>7</v>
      </c>
      <c r="B15" s="412">
        <v>16008</v>
      </c>
      <c r="C15" s="413" t="s">
        <v>103</v>
      </c>
      <c r="D15" s="419">
        <f t="shared" si="0"/>
        <v>3095</v>
      </c>
      <c r="E15" s="419">
        <f t="shared" si="1"/>
        <v>3095</v>
      </c>
      <c r="F15" s="419">
        <f t="shared" si="5"/>
        <v>1874</v>
      </c>
      <c r="G15" s="419">
        <f t="shared" si="2"/>
        <v>1221</v>
      </c>
      <c r="H15" s="419">
        <v>1874</v>
      </c>
      <c r="I15" s="420">
        <v>1221</v>
      </c>
      <c r="J15" s="420">
        <v>0</v>
      </c>
      <c r="K15" s="421">
        <v>0</v>
      </c>
      <c r="L15" s="419">
        <f t="shared" si="3"/>
        <v>0</v>
      </c>
      <c r="M15" s="419">
        <f t="shared" si="4"/>
        <v>0</v>
      </c>
      <c r="N15" s="419">
        <f t="shared" si="4"/>
        <v>0</v>
      </c>
      <c r="O15" s="420">
        <v>0</v>
      </c>
      <c r="P15" s="420">
        <v>0</v>
      </c>
      <c r="Q15" s="420">
        <v>0</v>
      </c>
      <c r="R15" s="420">
        <v>0</v>
      </c>
      <c r="S15" s="422"/>
    </row>
    <row r="16" spans="1:19" ht="51" x14ac:dyDescent="0.2">
      <c r="A16" s="411">
        <v>8</v>
      </c>
      <c r="B16" s="412" t="s">
        <v>238</v>
      </c>
      <c r="C16" s="414" t="s">
        <v>581</v>
      </c>
      <c r="D16" s="419">
        <f t="shared" si="0"/>
        <v>15046</v>
      </c>
      <c r="E16" s="419">
        <f t="shared" si="1"/>
        <v>1947</v>
      </c>
      <c r="F16" s="419">
        <f t="shared" si="5"/>
        <v>1634</v>
      </c>
      <c r="G16" s="419">
        <f t="shared" si="2"/>
        <v>313</v>
      </c>
      <c r="H16" s="419">
        <v>1634</v>
      </c>
      <c r="I16" s="420">
        <v>313</v>
      </c>
      <c r="J16" s="420">
        <v>0</v>
      </c>
      <c r="K16" s="421">
        <v>0</v>
      </c>
      <c r="L16" s="419">
        <f t="shared" si="3"/>
        <v>13099</v>
      </c>
      <c r="M16" s="419">
        <f t="shared" si="4"/>
        <v>10916</v>
      </c>
      <c r="N16" s="419">
        <f t="shared" si="4"/>
        <v>2183</v>
      </c>
      <c r="O16" s="420">
        <v>10916</v>
      </c>
      <c r="P16" s="420">
        <v>2183</v>
      </c>
      <c r="Q16" s="420">
        <v>0</v>
      </c>
      <c r="R16" s="420">
        <v>0</v>
      </c>
      <c r="S16" s="422"/>
    </row>
    <row r="17" spans="1:19" x14ac:dyDescent="0.2">
      <c r="A17" s="411">
        <v>9</v>
      </c>
      <c r="B17" s="412" t="s">
        <v>244</v>
      </c>
      <c r="C17" s="413" t="s">
        <v>245</v>
      </c>
      <c r="D17" s="419">
        <f t="shared" si="0"/>
        <v>19289</v>
      </c>
      <c r="E17" s="419">
        <f t="shared" si="1"/>
        <v>7620</v>
      </c>
      <c r="F17" s="419">
        <f t="shared" si="5"/>
        <v>6044</v>
      </c>
      <c r="G17" s="419">
        <f t="shared" si="2"/>
        <v>1576</v>
      </c>
      <c r="H17" s="419">
        <v>5319</v>
      </c>
      <c r="I17" s="419">
        <v>1394</v>
      </c>
      <c r="J17" s="420">
        <v>725</v>
      </c>
      <c r="K17" s="421">
        <v>182</v>
      </c>
      <c r="L17" s="419">
        <f t="shared" si="3"/>
        <v>11669</v>
      </c>
      <c r="M17" s="419">
        <f t="shared" si="4"/>
        <v>9388</v>
      </c>
      <c r="N17" s="419">
        <f t="shared" si="4"/>
        <v>2281</v>
      </c>
      <c r="O17" s="419">
        <v>8340</v>
      </c>
      <c r="P17" s="419">
        <v>2021</v>
      </c>
      <c r="Q17" s="419">
        <v>1048</v>
      </c>
      <c r="R17" s="420">
        <v>260</v>
      </c>
      <c r="S17" s="422"/>
    </row>
    <row r="18" spans="1:19" x14ac:dyDescent="0.2">
      <c r="A18" s="411">
        <v>10</v>
      </c>
      <c r="B18" s="412" t="s">
        <v>390</v>
      </c>
      <c r="C18" s="413" t="s">
        <v>391</v>
      </c>
      <c r="D18" s="419">
        <f t="shared" si="0"/>
        <v>10178</v>
      </c>
      <c r="E18" s="419">
        <f t="shared" si="1"/>
        <v>4572</v>
      </c>
      <c r="F18" s="419">
        <f t="shared" si="5"/>
        <v>3736</v>
      </c>
      <c r="G18" s="419">
        <f t="shared" si="2"/>
        <v>836</v>
      </c>
      <c r="H18" s="419">
        <v>3142</v>
      </c>
      <c r="I18" s="420">
        <v>736</v>
      </c>
      <c r="J18" s="420">
        <v>594</v>
      </c>
      <c r="K18" s="421">
        <v>100</v>
      </c>
      <c r="L18" s="419">
        <f t="shared" si="3"/>
        <v>5606</v>
      </c>
      <c r="M18" s="419">
        <f t="shared" si="4"/>
        <v>4385</v>
      </c>
      <c r="N18" s="419">
        <f t="shared" si="4"/>
        <v>1221</v>
      </c>
      <c r="O18" s="419">
        <v>4011</v>
      </c>
      <c r="P18" s="419">
        <v>1079</v>
      </c>
      <c r="Q18" s="420">
        <v>374</v>
      </c>
      <c r="R18" s="420">
        <v>142</v>
      </c>
      <c r="S18" s="422"/>
    </row>
    <row r="19" spans="1:19" x14ac:dyDescent="0.2">
      <c r="A19" s="411">
        <v>11</v>
      </c>
      <c r="B19" s="412" t="s">
        <v>248</v>
      </c>
      <c r="C19" s="413" t="s">
        <v>785</v>
      </c>
      <c r="D19" s="419">
        <f t="shared" si="0"/>
        <v>5364</v>
      </c>
      <c r="E19" s="419">
        <f t="shared" si="1"/>
        <v>1505</v>
      </c>
      <c r="F19" s="419">
        <f t="shared" si="5"/>
        <v>1184</v>
      </c>
      <c r="G19" s="419">
        <f t="shared" si="2"/>
        <v>321</v>
      </c>
      <c r="H19" s="420">
        <v>0</v>
      </c>
      <c r="I19" s="420">
        <v>0</v>
      </c>
      <c r="J19" s="419">
        <v>1184</v>
      </c>
      <c r="K19" s="421">
        <v>321</v>
      </c>
      <c r="L19" s="419">
        <f t="shared" si="3"/>
        <v>3859</v>
      </c>
      <c r="M19" s="419">
        <f t="shared" si="4"/>
        <v>3103</v>
      </c>
      <c r="N19" s="419">
        <f t="shared" si="4"/>
        <v>756</v>
      </c>
      <c r="O19" s="420">
        <v>0</v>
      </c>
      <c r="P19" s="420">
        <v>0</v>
      </c>
      <c r="Q19" s="419">
        <v>3103</v>
      </c>
      <c r="R19" s="420">
        <v>756</v>
      </c>
      <c r="S19" s="422"/>
    </row>
    <row r="20" spans="1:19" x14ac:dyDescent="0.2">
      <c r="A20" s="411">
        <v>12</v>
      </c>
      <c r="B20" s="412" t="s">
        <v>251</v>
      </c>
      <c r="C20" s="413" t="s">
        <v>108</v>
      </c>
      <c r="D20" s="419">
        <f t="shared" si="0"/>
        <v>7186</v>
      </c>
      <c r="E20" s="419">
        <f t="shared" si="1"/>
        <v>2855</v>
      </c>
      <c r="F20" s="419">
        <f t="shared" si="5"/>
        <v>2265</v>
      </c>
      <c r="G20" s="419">
        <f t="shared" si="2"/>
        <v>590</v>
      </c>
      <c r="H20" s="419">
        <v>1777</v>
      </c>
      <c r="I20" s="420">
        <v>463</v>
      </c>
      <c r="J20" s="420">
        <v>488</v>
      </c>
      <c r="K20" s="421">
        <v>127</v>
      </c>
      <c r="L20" s="419">
        <f t="shared" si="3"/>
        <v>4331</v>
      </c>
      <c r="M20" s="419">
        <f t="shared" si="4"/>
        <v>3481</v>
      </c>
      <c r="N20" s="419">
        <f t="shared" si="4"/>
        <v>850</v>
      </c>
      <c r="O20" s="419">
        <v>2732</v>
      </c>
      <c r="P20" s="420">
        <v>666</v>
      </c>
      <c r="Q20" s="420">
        <v>749</v>
      </c>
      <c r="R20" s="420">
        <v>184</v>
      </c>
      <c r="S20" s="422"/>
    </row>
    <row r="21" spans="1:19" x14ac:dyDescent="0.2">
      <c r="A21" s="411">
        <v>13</v>
      </c>
      <c r="B21" s="412" t="s">
        <v>256</v>
      </c>
      <c r="C21" s="413" t="s">
        <v>107</v>
      </c>
      <c r="D21" s="419">
        <f t="shared" si="0"/>
        <v>4221</v>
      </c>
      <c r="E21" s="419">
        <f t="shared" si="1"/>
        <v>1721</v>
      </c>
      <c r="F21" s="419">
        <f t="shared" si="5"/>
        <v>1373</v>
      </c>
      <c r="G21" s="419">
        <f t="shared" si="2"/>
        <v>348</v>
      </c>
      <c r="H21" s="419">
        <v>1059</v>
      </c>
      <c r="I21" s="420">
        <v>268</v>
      </c>
      <c r="J21" s="420">
        <v>314</v>
      </c>
      <c r="K21" s="421">
        <v>80</v>
      </c>
      <c r="L21" s="419">
        <f t="shared" si="3"/>
        <v>2500</v>
      </c>
      <c r="M21" s="419">
        <f t="shared" si="4"/>
        <v>2005</v>
      </c>
      <c r="N21" s="419">
        <f t="shared" si="4"/>
        <v>495</v>
      </c>
      <c r="O21" s="419">
        <v>1548</v>
      </c>
      <c r="P21" s="420">
        <v>383</v>
      </c>
      <c r="Q21" s="420">
        <v>457</v>
      </c>
      <c r="R21" s="420">
        <v>112</v>
      </c>
      <c r="S21" s="422"/>
    </row>
    <row r="22" spans="1:19" x14ac:dyDescent="0.2">
      <c r="A22" s="411">
        <v>14</v>
      </c>
      <c r="B22" s="412" t="s">
        <v>235</v>
      </c>
      <c r="C22" s="413" t="s">
        <v>95</v>
      </c>
      <c r="D22" s="419">
        <f t="shared" si="0"/>
        <v>11808</v>
      </c>
      <c r="E22" s="419">
        <f t="shared" si="1"/>
        <v>3513</v>
      </c>
      <c r="F22" s="419">
        <f t="shared" si="5"/>
        <v>2691</v>
      </c>
      <c r="G22" s="419">
        <f t="shared" si="2"/>
        <v>822</v>
      </c>
      <c r="H22" s="419">
        <v>1868</v>
      </c>
      <c r="I22" s="420">
        <v>616</v>
      </c>
      <c r="J22" s="420">
        <v>823</v>
      </c>
      <c r="K22" s="421">
        <v>206</v>
      </c>
      <c r="L22" s="419">
        <f t="shared" si="3"/>
        <v>8295</v>
      </c>
      <c r="M22" s="419">
        <f t="shared" si="4"/>
        <v>6781</v>
      </c>
      <c r="N22" s="419">
        <f t="shared" si="4"/>
        <v>1514</v>
      </c>
      <c r="O22" s="419">
        <v>5575</v>
      </c>
      <c r="P22" s="419">
        <v>1213</v>
      </c>
      <c r="Q22" s="419">
        <v>1206</v>
      </c>
      <c r="R22" s="420">
        <v>301</v>
      </c>
      <c r="S22" s="422"/>
    </row>
    <row r="23" spans="1:19" x14ac:dyDescent="0.2">
      <c r="A23" s="411">
        <v>15</v>
      </c>
      <c r="B23" s="412" t="s">
        <v>274</v>
      </c>
      <c r="C23" s="413" t="s">
        <v>101</v>
      </c>
      <c r="D23" s="419">
        <f t="shared" si="0"/>
        <v>2652</v>
      </c>
      <c r="E23" s="419">
        <f t="shared" si="1"/>
        <v>1083</v>
      </c>
      <c r="F23" s="419">
        <f t="shared" si="5"/>
        <v>866</v>
      </c>
      <c r="G23" s="419">
        <f t="shared" si="2"/>
        <v>217</v>
      </c>
      <c r="H23" s="420">
        <v>0</v>
      </c>
      <c r="I23" s="420">
        <v>0</v>
      </c>
      <c r="J23" s="420">
        <v>866</v>
      </c>
      <c r="K23" s="421">
        <v>217</v>
      </c>
      <c r="L23" s="419">
        <f t="shared" si="3"/>
        <v>1569</v>
      </c>
      <c r="M23" s="419">
        <f t="shared" si="4"/>
        <v>1256</v>
      </c>
      <c r="N23" s="419">
        <f t="shared" si="4"/>
        <v>313</v>
      </c>
      <c r="O23" s="420">
        <v>0</v>
      </c>
      <c r="P23" s="420">
        <v>0</v>
      </c>
      <c r="Q23" s="419">
        <v>1256</v>
      </c>
      <c r="R23" s="420">
        <v>313</v>
      </c>
      <c r="S23" s="422"/>
    </row>
    <row r="24" spans="1:19" ht="25.5" x14ac:dyDescent="0.2">
      <c r="A24" s="411">
        <v>16</v>
      </c>
      <c r="B24" s="412" t="s">
        <v>336</v>
      </c>
      <c r="C24" s="413" t="s">
        <v>610</v>
      </c>
      <c r="D24" s="419">
        <f t="shared" si="0"/>
        <v>8310</v>
      </c>
      <c r="E24" s="419">
        <f t="shared" si="1"/>
        <v>3965</v>
      </c>
      <c r="F24" s="419">
        <f t="shared" si="5"/>
        <v>3008</v>
      </c>
      <c r="G24" s="419">
        <f t="shared" si="2"/>
        <v>957</v>
      </c>
      <c r="H24" s="420">
        <v>0</v>
      </c>
      <c r="I24" s="420">
        <v>0</v>
      </c>
      <c r="J24" s="419">
        <f>2652+356</f>
        <v>3008</v>
      </c>
      <c r="K24" s="421">
        <f>682+275</f>
        <v>957</v>
      </c>
      <c r="L24" s="419">
        <f t="shared" si="3"/>
        <v>4345</v>
      </c>
      <c r="M24" s="419">
        <f t="shared" si="4"/>
        <v>3637</v>
      </c>
      <c r="N24" s="419">
        <f t="shared" si="4"/>
        <v>708</v>
      </c>
      <c r="O24" s="420">
        <v>0</v>
      </c>
      <c r="P24" s="420">
        <v>0</v>
      </c>
      <c r="Q24" s="419">
        <f>3993-356</f>
        <v>3637</v>
      </c>
      <c r="R24" s="420">
        <f>983-275</f>
        <v>708</v>
      </c>
      <c r="S24" s="422"/>
    </row>
    <row r="25" spans="1:19" x14ac:dyDescent="0.2">
      <c r="A25" s="411">
        <v>17</v>
      </c>
      <c r="B25" s="412" t="s">
        <v>342</v>
      </c>
      <c r="C25" s="413" t="s">
        <v>617</v>
      </c>
      <c r="D25" s="419">
        <f t="shared" si="0"/>
        <v>9428</v>
      </c>
      <c r="E25" s="419">
        <f t="shared" si="1"/>
        <v>3321</v>
      </c>
      <c r="F25" s="419">
        <f t="shared" si="5"/>
        <v>2586</v>
      </c>
      <c r="G25" s="419">
        <f t="shared" si="2"/>
        <v>735</v>
      </c>
      <c r="H25" s="419">
        <v>2586</v>
      </c>
      <c r="I25" s="420">
        <v>735</v>
      </c>
      <c r="J25" s="420">
        <v>0</v>
      </c>
      <c r="K25" s="421">
        <v>0</v>
      </c>
      <c r="L25" s="419">
        <f t="shared" si="3"/>
        <v>6107</v>
      </c>
      <c r="M25" s="419">
        <f t="shared" si="4"/>
        <v>4948</v>
      </c>
      <c r="N25" s="419">
        <f t="shared" si="4"/>
        <v>1159</v>
      </c>
      <c r="O25" s="419">
        <v>4948</v>
      </c>
      <c r="P25" s="419">
        <v>1159</v>
      </c>
      <c r="Q25" s="420">
        <v>0</v>
      </c>
      <c r="R25" s="420">
        <v>0</v>
      </c>
      <c r="S25" s="422"/>
    </row>
    <row r="26" spans="1:19" x14ac:dyDescent="0.2">
      <c r="A26" s="411">
        <v>18</v>
      </c>
      <c r="B26" s="412" t="s">
        <v>346</v>
      </c>
      <c r="C26" s="413" t="s">
        <v>619</v>
      </c>
      <c r="D26" s="419">
        <f t="shared" si="0"/>
        <v>13986</v>
      </c>
      <c r="E26" s="419">
        <f t="shared" si="1"/>
        <v>3672</v>
      </c>
      <c r="F26" s="419">
        <f t="shared" si="5"/>
        <v>2508</v>
      </c>
      <c r="G26" s="419">
        <f t="shared" si="2"/>
        <v>1164</v>
      </c>
      <c r="H26" s="419">
        <v>2508</v>
      </c>
      <c r="I26" s="419">
        <v>1164</v>
      </c>
      <c r="J26" s="420">
        <v>0</v>
      </c>
      <c r="K26" s="421">
        <v>0</v>
      </c>
      <c r="L26" s="419">
        <f t="shared" si="3"/>
        <v>10314</v>
      </c>
      <c r="M26" s="419">
        <f t="shared" si="4"/>
        <v>8632</v>
      </c>
      <c r="N26" s="419">
        <f t="shared" si="4"/>
        <v>1682</v>
      </c>
      <c r="O26" s="419">
        <v>8632</v>
      </c>
      <c r="P26" s="419">
        <v>1682</v>
      </c>
      <c r="Q26" s="420">
        <v>0</v>
      </c>
      <c r="R26" s="420">
        <v>0</v>
      </c>
      <c r="S26" s="422"/>
    </row>
    <row r="27" spans="1:19" x14ac:dyDescent="0.2">
      <c r="A27" s="411">
        <v>19</v>
      </c>
      <c r="B27" s="412" t="s">
        <v>352</v>
      </c>
      <c r="C27" s="413" t="s">
        <v>489</v>
      </c>
      <c r="D27" s="419">
        <f t="shared" si="0"/>
        <v>9234</v>
      </c>
      <c r="E27" s="419">
        <f t="shared" si="1"/>
        <v>3743</v>
      </c>
      <c r="F27" s="419">
        <f t="shared" si="5"/>
        <v>2991</v>
      </c>
      <c r="G27" s="419">
        <f t="shared" si="2"/>
        <v>752</v>
      </c>
      <c r="H27" s="419">
        <v>2991</v>
      </c>
      <c r="I27" s="420">
        <v>752</v>
      </c>
      <c r="J27" s="420">
        <v>0</v>
      </c>
      <c r="K27" s="421">
        <v>0</v>
      </c>
      <c r="L27" s="419">
        <f t="shared" si="3"/>
        <v>5491</v>
      </c>
      <c r="M27" s="419">
        <f t="shared" si="4"/>
        <v>4396</v>
      </c>
      <c r="N27" s="419">
        <f t="shared" si="4"/>
        <v>1095</v>
      </c>
      <c r="O27" s="419">
        <v>4396</v>
      </c>
      <c r="P27" s="419">
        <v>1095</v>
      </c>
      <c r="Q27" s="420">
        <v>0</v>
      </c>
      <c r="R27" s="420">
        <v>0</v>
      </c>
      <c r="S27" s="422"/>
    </row>
    <row r="28" spans="1:19" ht="15" customHeight="1" x14ac:dyDescent="0.2">
      <c r="A28" s="411">
        <v>20</v>
      </c>
      <c r="B28" s="412" t="s">
        <v>362</v>
      </c>
      <c r="C28" s="413" t="s">
        <v>363</v>
      </c>
      <c r="D28" s="419">
        <f t="shared" si="0"/>
        <v>7128</v>
      </c>
      <c r="E28" s="419">
        <f t="shared" si="1"/>
        <v>2925</v>
      </c>
      <c r="F28" s="419">
        <f t="shared" si="5"/>
        <v>2339</v>
      </c>
      <c r="G28" s="419">
        <f t="shared" si="2"/>
        <v>586</v>
      </c>
      <c r="H28" s="419">
        <v>1814</v>
      </c>
      <c r="I28" s="420">
        <v>456</v>
      </c>
      <c r="J28" s="420">
        <v>525</v>
      </c>
      <c r="K28" s="421">
        <v>130</v>
      </c>
      <c r="L28" s="419">
        <f t="shared" si="3"/>
        <v>4203</v>
      </c>
      <c r="M28" s="419">
        <f t="shared" si="4"/>
        <v>3358</v>
      </c>
      <c r="N28" s="419">
        <f t="shared" si="4"/>
        <v>845</v>
      </c>
      <c r="O28" s="419">
        <v>2634</v>
      </c>
      <c r="P28" s="420">
        <v>657</v>
      </c>
      <c r="Q28" s="420">
        <v>724</v>
      </c>
      <c r="R28" s="420">
        <v>188</v>
      </c>
      <c r="S28" s="422"/>
    </row>
    <row r="29" spans="1:19" x14ac:dyDescent="0.2">
      <c r="A29" s="411">
        <v>21</v>
      </c>
      <c r="B29" s="412" t="s">
        <v>370</v>
      </c>
      <c r="C29" s="413" t="s">
        <v>93</v>
      </c>
      <c r="D29" s="419">
        <f t="shared" si="0"/>
        <v>8357</v>
      </c>
      <c r="E29" s="419">
        <f t="shared" si="1"/>
        <v>3395</v>
      </c>
      <c r="F29" s="419">
        <f t="shared" si="5"/>
        <v>2704</v>
      </c>
      <c r="G29" s="419">
        <f t="shared" si="2"/>
        <v>691</v>
      </c>
      <c r="H29" s="419">
        <v>2137</v>
      </c>
      <c r="I29" s="420">
        <v>547</v>
      </c>
      <c r="J29" s="420">
        <v>567</v>
      </c>
      <c r="K29" s="421">
        <v>144</v>
      </c>
      <c r="L29" s="419">
        <f t="shared" si="3"/>
        <v>4962</v>
      </c>
      <c r="M29" s="419">
        <f t="shared" si="4"/>
        <v>3965</v>
      </c>
      <c r="N29" s="419">
        <f t="shared" si="4"/>
        <v>997</v>
      </c>
      <c r="O29" s="419">
        <v>3135</v>
      </c>
      <c r="P29" s="420">
        <v>790</v>
      </c>
      <c r="Q29" s="420">
        <v>830</v>
      </c>
      <c r="R29" s="420">
        <v>207</v>
      </c>
      <c r="S29" s="422"/>
    </row>
    <row r="30" spans="1:19" x14ac:dyDescent="0.2">
      <c r="A30" s="411">
        <v>22</v>
      </c>
      <c r="B30" s="412" t="s">
        <v>378</v>
      </c>
      <c r="C30" s="413" t="s">
        <v>86</v>
      </c>
      <c r="D30" s="419">
        <f t="shared" si="0"/>
        <v>5304</v>
      </c>
      <c r="E30" s="419">
        <f t="shared" si="1"/>
        <v>2165</v>
      </c>
      <c r="F30" s="419">
        <f t="shared" si="5"/>
        <v>1730</v>
      </c>
      <c r="G30" s="419">
        <f t="shared" si="2"/>
        <v>435</v>
      </c>
      <c r="H30" s="420">
        <v>0</v>
      </c>
      <c r="I30" s="420">
        <v>0</v>
      </c>
      <c r="J30" s="419">
        <v>1730</v>
      </c>
      <c r="K30" s="421">
        <v>435</v>
      </c>
      <c r="L30" s="419">
        <f t="shared" si="3"/>
        <v>3139</v>
      </c>
      <c r="M30" s="419">
        <f t="shared" si="4"/>
        <v>2513</v>
      </c>
      <c r="N30" s="419">
        <f t="shared" si="4"/>
        <v>626</v>
      </c>
      <c r="O30" s="420">
        <v>0</v>
      </c>
      <c r="P30" s="420">
        <v>0</v>
      </c>
      <c r="Q30" s="419">
        <v>2513</v>
      </c>
      <c r="R30" s="420">
        <v>626</v>
      </c>
      <c r="S30" s="422"/>
    </row>
    <row r="31" spans="1:19" x14ac:dyDescent="0.2">
      <c r="A31" s="411">
        <v>23</v>
      </c>
      <c r="B31" s="412" t="s">
        <v>380</v>
      </c>
      <c r="C31" s="413" t="s">
        <v>85</v>
      </c>
      <c r="D31" s="419">
        <f t="shared" si="0"/>
        <v>9827</v>
      </c>
      <c r="E31" s="419">
        <f t="shared" si="1"/>
        <v>3086</v>
      </c>
      <c r="F31" s="419">
        <f t="shared" si="5"/>
        <v>2269</v>
      </c>
      <c r="G31" s="419">
        <f t="shared" si="2"/>
        <v>817</v>
      </c>
      <c r="H31" s="419">
        <v>2269</v>
      </c>
      <c r="I31" s="420">
        <v>817</v>
      </c>
      <c r="J31" s="420">
        <v>0</v>
      </c>
      <c r="K31" s="421">
        <v>0</v>
      </c>
      <c r="L31" s="419">
        <f t="shared" si="3"/>
        <v>6741</v>
      </c>
      <c r="M31" s="419">
        <f t="shared" si="4"/>
        <v>5559</v>
      </c>
      <c r="N31" s="419">
        <f t="shared" si="4"/>
        <v>1182</v>
      </c>
      <c r="O31" s="419">
        <v>5559</v>
      </c>
      <c r="P31" s="419">
        <v>1182</v>
      </c>
      <c r="Q31" s="420">
        <v>0</v>
      </c>
      <c r="R31" s="420">
        <v>0</v>
      </c>
      <c r="S31" s="422"/>
    </row>
    <row r="32" spans="1:19" ht="15" customHeight="1" x14ac:dyDescent="0.2">
      <c r="A32" s="616" t="s">
        <v>8</v>
      </c>
      <c r="B32" s="617"/>
      <c r="C32" s="617"/>
      <c r="D32" s="423">
        <f>SUM(D9:D31)</f>
        <v>205160</v>
      </c>
      <c r="E32" s="423">
        <f t="shared" ref="E32:R32" si="6">SUM(E9:E31)</f>
        <v>74332</v>
      </c>
      <c r="F32" s="423">
        <f t="shared" si="6"/>
        <v>57752</v>
      </c>
      <c r="G32" s="423">
        <f t="shared" si="6"/>
        <v>16580</v>
      </c>
      <c r="H32" s="423">
        <f t="shared" si="6"/>
        <v>42867</v>
      </c>
      <c r="I32" s="423">
        <f t="shared" si="6"/>
        <v>12606</v>
      </c>
      <c r="J32" s="423">
        <f t="shared" si="6"/>
        <v>14885</v>
      </c>
      <c r="K32" s="423">
        <f t="shared" si="6"/>
        <v>3974</v>
      </c>
      <c r="L32" s="423">
        <f t="shared" si="6"/>
        <v>130828</v>
      </c>
      <c r="M32" s="423">
        <f t="shared" si="6"/>
        <v>106514</v>
      </c>
      <c r="N32" s="423">
        <f t="shared" si="6"/>
        <v>24314</v>
      </c>
      <c r="O32" s="423">
        <f t="shared" si="6"/>
        <v>84251</v>
      </c>
      <c r="P32" s="423">
        <f t="shared" si="6"/>
        <v>18978</v>
      </c>
      <c r="Q32" s="423">
        <f t="shared" si="6"/>
        <v>22263</v>
      </c>
      <c r="R32" s="423">
        <f t="shared" si="6"/>
        <v>5336</v>
      </c>
      <c r="S32" s="422"/>
    </row>
    <row r="33" spans="3:19" x14ac:dyDescent="0.2">
      <c r="E33" s="415"/>
      <c r="S33" s="417"/>
    </row>
    <row r="34" spans="3:19" ht="12.75" customHeight="1" x14ac:dyDescent="0.2">
      <c r="C34" s="416"/>
    </row>
    <row r="35" spans="3:19" ht="12.75" customHeight="1" x14ac:dyDescent="0.2">
      <c r="C35" s="416"/>
    </row>
  </sheetData>
  <mergeCells count="17">
    <mergeCell ref="A32:C32"/>
    <mergeCell ref="M5:N6"/>
    <mergeCell ref="A4:A7"/>
    <mergeCell ref="B4:B7"/>
    <mergeCell ref="C4:C7"/>
    <mergeCell ref="D4:D7"/>
    <mergeCell ref="E4:K4"/>
    <mergeCell ref="L4:R4"/>
    <mergeCell ref="E5:E7"/>
    <mergeCell ref="O5:R5"/>
    <mergeCell ref="H6:I6"/>
    <mergeCell ref="J6:K6"/>
    <mergeCell ref="O6:P6"/>
    <mergeCell ref="Q6:R6"/>
    <mergeCell ref="F5:G6"/>
    <mergeCell ref="H5:K5"/>
    <mergeCell ref="L5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zoomScale="110" zoomScaleNormal="110" zoomScaleSheetLayoutView="7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12.75" x14ac:dyDescent="0.2"/>
  <cols>
    <col min="1" max="1" width="7.28515625" style="24" customWidth="1"/>
    <col min="2" max="2" width="15.85546875" style="22" customWidth="1"/>
    <col min="3" max="3" width="6.7109375" style="23" customWidth="1"/>
    <col min="4" max="5" width="5.7109375" style="23" customWidth="1"/>
    <col min="6" max="6" width="4.85546875" style="23" customWidth="1"/>
    <col min="7" max="7" width="5.5703125" style="23" customWidth="1"/>
    <col min="8" max="8" width="4.5703125" style="22" customWidth="1"/>
    <col min="9" max="9" width="4.5703125" style="23" customWidth="1"/>
    <col min="10" max="10" width="5.5703125" style="23" customWidth="1"/>
    <col min="11" max="11" width="6.140625" style="23" customWidth="1"/>
    <col min="12" max="12" width="5.85546875" style="22" customWidth="1"/>
    <col min="13" max="13" width="5.42578125" style="22" customWidth="1"/>
    <col min="14" max="14" width="5.5703125" style="22" customWidth="1"/>
    <col min="15" max="15" width="5.7109375" style="22" customWidth="1"/>
    <col min="16" max="16" width="5.5703125" style="23" customWidth="1"/>
    <col min="17" max="17" width="5.140625" style="23" customWidth="1"/>
    <col min="18" max="18" width="5.140625" style="22" customWidth="1"/>
    <col min="19" max="19" width="5.140625" style="23" customWidth="1"/>
    <col min="20" max="20" width="4.5703125" style="22" customWidth="1"/>
    <col min="21" max="21" width="5.5703125" style="22" customWidth="1"/>
    <col min="22" max="22" width="4.28515625" style="22" customWidth="1"/>
    <col min="23" max="23" width="6.28515625" style="23" customWidth="1"/>
    <col min="24" max="24" width="4.5703125" style="23" customWidth="1"/>
    <col min="25" max="25" width="5.5703125" style="23" customWidth="1"/>
    <col min="26" max="26" width="4.85546875" style="23" customWidth="1"/>
    <col min="27" max="27" width="6.85546875" style="22" customWidth="1"/>
    <col min="28" max="28" width="5.85546875" style="22" customWidth="1"/>
    <col min="29" max="29" width="7.42578125" style="23" customWidth="1"/>
    <col min="30" max="16384" width="9.140625" style="22"/>
  </cols>
  <sheetData>
    <row r="1" spans="1:29" ht="17.25" customHeight="1" x14ac:dyDescent="0.2">
      <c r="A1" s="450" t="s">
        <v>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</row>
    <row r="2" spans="1:29" s="51" customFormat="1" ht="132.75" customHeight="1" x14ac:dyDescent="0.2">
      <c r="A2" s="452" t="s">
        <v>76</v>
      </c>
      <c r="B2" s="452" t="s">
        <v>75</v>
      </c>
      <c r="C2" s="52" t="s">
        <v>74</v>
      </c>
      <c r="D2" s="52" t="s">
        <v>0</v>
      </c>
      <c r="E2" s="52" t="s">
        <v>73</v>
      </c>
      <c r="F2" s="52" t="s">
        <v>72</v>
      </c>
      <c r="G2" s="52" t="s">
        <v>71</v>
      </c>
      <c r="H2" s="52" t="s">
        <v>70</v>
      </c>
      <c r="I2" s="52" t="s">
        <v>69</v>
      </c>
      <c r="J2" s="52" t="s">
        <v>68</v>
      </c>
      <c r="K2" s="52" t="s">
        <v>67</v>
      </c>
      <c r="L2" s="52" t="s">
        <v>66</v>
      </c>
      <c r="M2" s="52" t="s">
        <v>65</v>
      </c>
      <c r="N2" s="52" t="s">
        <v>64</v>
      </c>
      <c r="O2" s="52" t="s">
        <v>63</v>
      </c>
      <c r="P2" s="52" t="s">
        <v>62</v>
      </c>
      <c r="Q2" s="52" t="s">
        <v>61</v>
      </c>
      <c r="R2" s="52" t="s">
        <v>60</v>
      </c>
      <c r="S2" s="52" t="s">
        <v>59</v>
      </c>
      <c r="T2" s="52" t="s">
        <v>58</v>
      </c>
      <c r="U2" s="52" t="s">
        <v>57</v>
      </c>
      <c r="V2" s="52" t="s">
        <v>56</v>
      </c>
      <c r="W2" s="52" t="s">
        <v>55</v>
      </c>
      <c r="X2" s="52" t="s">
        <v>54</v>
      </c>
      <c r="Y2" s="52" t="s">
        <v>53</v>
      </c>
      <c r="Z2" s="52" t="s">
        <v>52</v>
      </c>
      <c r="AA2" s="52" t="s">
        <v>51</v>
      </c>
      <c r="AB2" s="52" t="s">
        <v>1</v>
      </c>
      <c r="AC2" s="52" t="s">
        <v>50</v>
      </c>
    </row>
    <row r="3" spans="1:29" s="51" customFormat="1" ht="31.5" customHeight="1" x14ac:dyDescent="0.2">
      <c r="A3" s="453"/>
      <c r="B3" s="453"/>
      <c r="C3" s="52">
        <v>22102</v>
      </c>
      <c r="D3" s="52">
        <v>22100</v>
      </c>
      <c r="E3" s="52">
        <v>22103</v>
      </c>
      <c r="F3" s="52">
        <v>22113</v>
      </c>
      <c r="G3" s="52">
        <v>6</v>
      </c>
      <c r="H3" s="52">
        <v>22112</v>
      </c>
      <c r="I3" s="52" t="s">
        <v>392</v>
      </c>
      <c r="J3" s="52">
        <v>22125</v>
      </c>
      <c r="K3" s="52">
        <v>22127</v>
      </c>
      <c r="L3" s="52">
        <v>22131</v>
      </c>
      <c r="M3" s="52">
        <v>22109</v>
      </c>
      <c r="N3" s="52">
        <v>30</v>
      </c>
      <c r="O3" s="52">
        <v>23</v>
      </c>
      <c r="P3" s="52">
        <v>12</v>
      </c>
      <c r="Q3" s="52">
        <v>8</v>
      </c>
      <c r="R3" s="52">
        <v>32</v>
      </c>
      <c r="S3" s="52">
        <v>6001</v>
      </c>
      <c r="T3" s="52">
        <v>10001</v>
      </c>
      <c r="U3" s="127">
        <v>12001</v>
      </c>
      <c r="V3" s="52">
        <v>14024</v>
      </c>
      <c r="W3" s="52">
        <v>16001</v>
      </c>
      <c r="X3" s="52">
        <v>14001</v>
      </c>
      <c r="Y3" s="52">
        <v>188</v>
      </c>
      <c r="Z3" s="52">
        <v>28</v>
      </c>
      <c r="AA3" s="52"/>
      <c r="AB3" s="52"/>
      <c r="AC3" s="52"/>
    </row>
    <row r="4" spans="1:29" s="25" customFormat="1" ht="11.25" customHeight="1" x14ac:dyDescent="0.2">
      <c r="A4" s="49">
        <v>1</v>
      </c>
      <c r="B4" s="50">
        <v>2</v>
      </c>
      <c r="C4" s="49">
        <v>3</v>
      </c>
      <c r="D4" s="49">
        <v>5</v>
      </c>
      <c r="E4" s="49">
        <v>7</v>
      </c>
      <c r="F4" s="49">
        <v>9</v>
      </c>
      <c r="G4" s="49">
        <v>11</v>
      </c>
      <c r="H4" s="49">
        <v>13</v>
      </c>
      <c r="I4" s="49">
        <v>15</v>
      </c>
      <c r="J4" s="49">
        <v>17</v>
      </c>
      <c r="K4" s="49">
        <v>19</v>
      </c>
      <c r="L4" s="49">
        <v>21</v>
      </c>
      <c r="M4" s="49">
        <v>23</v>
      </c>
      <c r="N4" s="49">
        <v>25</v>
      </c>
      <c r="O4" s="49">
        <v>27</v>
      </c>
      <c r="P4" s="49">
        <v>29</v>
      </c>
      <c r="Q4" s="49">
        <v>31</v>
      </c>
      <c r="R4" s="49">
        <v>33</v>
      </c>
      <c r="S4" s="49">
        <v>35</v>
      </c>
      <c r="T4" s="49">
        <v>37</v>
      </c>
      <c r="U4" s="50"/>
      <c r="V4" s="49">
        <v>39</v>
      </c>
      <c r="W4" s="49">
        <v>41</v>
      </c>
      <c r="X4" s="49">
        <v>43</v>
      </c>
      <c r="Y4" s="49">
        <v>45</v>
      </c>
      <c r="Z4" s="49">
        <v>47</v>
      </c>
      <c r="AA4" s="49">
        <v>49</v>
      </c>
      <c r="AB4" s="49">
        <v>51</v>
      </c>
      <c r="AC4" s="49">
        <v>53</v>
      </c>
    </row>
    <row r="5" spans="1:29" s="48" customFormat="1" ht="20.25" customHeight="1" x14ac:dyDescent="0.2">
      <c r="A5" s="448" t="s">
        <v>49</v>
      </c>
      <c r="B5" s="449"/>
      <c r="C5" s="26">
        <f t="shared" ref="C5:AC5" si="0">C6+C7</f>
        <v>130</v>
      </c>
      <c r="D5" s="26">
        <f t="shared" si="0"/>
        <v>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v>65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 t="shared" si="0"/>
        <v>0</v>
      </c>
      <c r="W5" s="26">
        <f t="shared" si="0"/>
        <v>0</v>
      </c>
      <c r="X5" s="26">
        <f t="shared" si="0"/>
        <v>0</v>
      </c>
      <c r="Y5" s="26">
        <f t="shared" si="0"/>
        <v>20</v>
      </c>
      <c r="Z5" s="26">
        <f t="shared" si="0"/>
        <v>40</v>
      </c>
      <c r="AA5" s="26">
        <f t="shared" si="0"/>
        <v>255</v>
      </c>
      <c r="AB5" s="26">
        <f t="shared" si="0"/>
        <v>0</v>
      </c>
      <c r="AC5" s="26">
        <f t="shared" si="0"/>
        <v>255</v>
      </c>
    </row>
    <row r="6" spans="1:29" s="25" customFormat="1" ht="13.5" customHeight="1" x14ac:dyDescent="0.2">
      <c r="A6" s="33">
        <v>1</v>
      </c>
      <c r="B6" s="35">
        <v>170435</v>
      </c>
      <c r="C6" s="27">
        <f>110+10</f>
        <v>120</v>
      </c>
      <c r="D6" s="27"/>
      <c r="E6" s="27"/>
      <c r="F6" s="27"/>
      <c r="G6" s="46"/>
      <c r="H6" s="27"/>
      <c r="I6" s="27"/>
      <c r="J6" s="27"/>
      <c r="K6" s="27">
        <v>60</v>
      </c>
      <c r="L6" s="27"/>
      <c r="M6" s="27"/>
      <c r="N6" s="27"/>
      <c r="O6" s="27"/>
      <c r="P6" s="27"/>
      <c r="Q6" s="27"/>
      <c r="R6" s="27"/>
      <c r="S6" s="27"/>
      <c r="T6" s="31"/>
      <c r="U6" s="31"/>
      <c r="V6" s="45"/>
      <c r="W6" s="31"/>
      <c r="X6" s="27"/>
      <c r="Y6" s="27">
        <v>15</v>
      </c>
      <c r="Z6" s="27">
        <v>34</v>
      </c>
      <c r="AA6" s="27">
        <f>J6+L6+V6+R6+N6+O6+P6+Q6+K6+W6+S6+T6+X6+M6+Y6+H6+C6+I6+D6+E6+G6+F6+Z6+U6</f>
        <v>229</v>
      </c>
      <c r="AB6" s="28"/>
      <c r="AC6" s="27">
        <f>AA6+AB6</f>
        <v>229</v>
      </c>
    </row>
    <row r="7" spans="1:29" s="25" customFormat="1" ht="13.5" customHeight="1" x14ac:dyDescent="0.2">
      <c r="A7" s="30">
        <v>2</v>
      </c>
      <c r="B7" s="29">
        <v>185824</v>
      </c>
      <c r="C7" s="31">
        <f>5+5</f>
        <v>10</v>
      </c>
      <c r="D7" s="31"/>
      <c r="E7" s="31"/>
      <c r="F7" s="31"/>
      <c r="G7" s="45"/>
      <c r="H7" s="31"/>
      <c r="I7" s="31"/>
      <c r="J7" s="31"/>
      <c r="K7" s="31">
        <v>5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45"/>
      <c r="W7" s="31"/>
      <c r="X7" s="31"/>
      <c r="Y7" s="31">
        <v>5</v>
      </c>
      <c r="Z7" s="31">
        <v>6</v>
      </c>
      <c r="AA7" s="27">
        <f>J7+L7+V7+R7+N7+O7+P7+Q7+K7+W7+S7+T7+X7+M7+Y7+H7+C7+I7+D7+E7+G7+F7+Z7+U7</f>
        <v>26</v>
      </c>
      <c r="AB7" s="28"/>
      <c r="AC7" s="27">
        <f>AA7+AB7</f>
        <v>26</v>
      </c>
    </row>
    <row r="8" spans="1:29" s="48" customFormat="1" ht="24" customHeight="1" x14ac:dyDescent="0.2">
      <c r="A8" s="448" t="s">
        <v>48</v>
      </c>
      <c r="B8" s="449"/>
      <c r="C8" s="26">
        <f t="shared" ref="C8:AC8" si="1">C9+C10</f>
        <v>400</v>
      </c>
      <c r="D8" s="26">
        <f t="shared" si="1"/>
        <v>0</v>
      </c>
      <c r="E8" s="26">
        <f t="shared" si="1"/>
        <v>0</v>
      </c>
      <c r="F8" s="26">
        <f t="shared" si="1"/>
        <v>33</v>
      </c>
      <c r="G8" s="26">
        <f t="shared" si="1"/>
        <v>230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v>47</v>
      </c>
      <c r="L8" s="26">
        <f t="shared" si="1"/>
        <v>0</v>
      </c>
      <c r="M8" s="26">
        <f t="shared" si="1"/>
        <v>0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6">
        <v>200</v>
      </c>
      <c r="R8" s="26">
        <f t="shared" si="1"/>
        <v>40</v>
      </c>
      <c r="S8" s="26">
        <f t="shared" si="1"/>
        <v>0</v>
      </c>
      <c r="T8" s="26">
        <f t="shared" si="1"/>
        <v>0</v>
      </c>
      <c r="U8" s="26">
        <f t="shared" si="1"/>
        <v>0</v>
      </c>
      <c r="V8" s="26">
        <f t="shared" si="1"/>
        <v>0</v>
      </c>
      <c r="W8" s="26">
        <f t="shared" si="1"/>
        <v>0</v>
      </c>
      <c r="X8" s="26">
        <f t="shared" si="1"/>
        <v>0</v>
      </c>
      <c r="Y8" s="26">
        <f t="shared" si="1"/>
        <v>190</v>
      </c>
      <c r="Z8" s="26">
        <f t="shared" si="1"/>
        <v>280</v>
      </c>
      <c r="AA8" s="26">
        <f t="shared" si="1"/>
        <v>1420</v>
      </c>
      <c r="AB8" s="26">
        <f t="shared" si="1"/>
        <v>0</v>
      </c>
      <c r="AC8" s="26">
        <f t="shared" si="1"/>
        <v>1420</v>
      </c>
    </row>
    <row r="9" spans="1:29" s="25" customFormat="1" ht="13.5" customHeight="1" x14ac:dyDescent="0.2">
      <c r="A9" s="30">
        <v>3</v>
      </c>
      <c r="B9" s="29">
        <v>132049</v>
      </c>
      <c r="C9" s="27">
        <v>280</v>
      </c>
      <c r="D9" s="27"/>
      <c r="E9" s="27"/>
      <c r="F9" s="27"/>
      <c r="G9" s="27">
        <v>150</v>
      </c>
      <c r="H9" s="27"/>
      <c r="I9" s="27"/>
      <c r="J9" s="27"/>
      <c r="K9" s="27">
        <v>12</v>
      </c>
      <c r="L9" s="27"/>
      <c r="M9" s="27"/>
      <c r="N9" s="27"/>
      <c r="O9" s="27"/>
      <c r="P9" s="27"/>
      <c r="Q9" s="27">
        <v>100</v>
      </c>
      <c r="R9" s="27">
        <v>40</v>
      </c>
      <c r="S9" s="27"/>
      <c r="T9" s="31"/>
      <c r="U9" s="31"/>
      <c r="V9" s="31"/>
      <c r="W9" s="31"/>
      <c r="X9" s="27"/>
      <c r="Y9" s="27">
        <v>155</v>
      </c>
      <c r="Z9" s="27">
        <v>280</v>
      </c>
      <c r="AA9" s="27">
        <f>J9+L9+V9+R9+N9+O9+P9+Q9+K9+W9+S9+T9+X9+M9+Y9+H9+C9+I9+D9+E9+G9+F9+Z9+U9</f>
        <v>1017</v>
      </c>
      <c r="AB9" s="28"/>
      <c r="AC9" s="47">
        <f>AA9+AB9</f>
        <v>1017</v>
      </c>
    </row>
    <row r="10" spans="1:29" s="25" customFormat="1" ht="13.5" customHeight="1" x14ac:dyDescent="0.2">
      <c r="A10" s="30">
        <v>4</v>
      </c>
      <c r="B10" s="29">
        <v>199681</v>
      </c>
      <c r="C10" s="31">
        <v>120</v>
      </c>
      <c r="D10" s="31"/>
      <c r="E10" s="31"/>
      <c r="F10" s="27">
        <f>12+4+7+10</f>
        <v>33</v>
      </c>
      <c r="G10" s="45">
        <v>80</v>
      </c>
      <c r="H10" s="32"/>
      <c r="I10" s="31"/>
      <c r="J10" s="31"/>
      <c r="K10" s="31">
        <v>35</v>
      </c>
      <c r="L10" s="27"/>
      <c r="M10" s="32"/>
      <c r="N10" s="32"/>
      <c r="O10" s="32"/>
      <c r="P10" s="31"/>
      <c r="Q10" s="31">
        <v>100</v>
      </c>
      <c r="R10" s="32"/>
      <c r="S10" s="31"/>
      <c r="T10" s="31"/>
      <c r="U10" s="31"/>
      <c r="V10" s="43"/>
      <c r="W10" s="31"/>
      <c r="X10" s="31"/>
      <c r="Y10" s="31">
        <v>35</v>
      </c>
      <c r="Z10" s="31"/>
      <c r="AA10" s="27">
        <f>J10+L10+V10+R10+N10+O10+P10+Q10+K10+W10+S10+T10+X10+M10+Y10+H10+C10+I10+D10+E10+G10+F10+Z10+U10</f>
        <v>403</v>
      </c>
      <c r="AB10" s="28"/>
      <c r="AC10" s="47">
        <f>AA10+AB10</f>
        <v>403</v>
      </c>
    </row>
    <row r="11" spans="1:29" s="25" customFormat="1" ht="20.25" customHeight="1" x14ac:dyDescent="0.2">
      <c r="A11" s="448" t="s">
        <v>47</v>
      </c>
      <c r="B11" s="449"/>
      <c r="C11" s="26">
        <f t="shared" ref="C11:AC11" si="2">C12</f>
        <v>50</v>
      </c>
      <c r="D11" s="26">
        <f t="shared" si="2"/>
        <v>0</v>
      </c>
      <c r="E11" s="26">
        <f t="shared" si="2"/>
        <v>0</v>
      </c>
      <c r="F11" s="26">
        <f t="shared" si="2"/>
        <v>34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v>60</v>
      </c>
      <c r="L11" s="26">
        <f t="shared" si="2"/>
        <v>0</v>
      </c>
      <c r="M11" s="26">
        <f t="shared" si="2"/>
        <v>0</v>
      </c>
      <c r="N11" s="26">
        <f t="shared" si="2"/>
        <v>0</v>
      </c>
      <c r="O11" s="26">
        <f t="shared" si="2"/>
        <v>0</v>
      </c>
      <c r="P11" s="26">
        <f t="shared" si="2"/>
        <v>0</v>
      </c>
      <c r="Q11" s="26">
        <v>0</v>
      </c>
      <c r="R11" s="26">
        <f t="shared" si="2"/>
        <v>0</v>
      </c>
      <c r="S11" s="26">
        <f t="shared" si="2"/>
        <v>0</v>
      </c>
      <c r="T11" s="26">
        <f t="shared" si="2"/>
        <v>0</v>
      </c>
      <c r="U11" s="26">
        <f t="shared" si="2"/>
        <v>0</v>
      </c>
      <c r="V11" s="26">
        <f t="shared" si="2"/>
        <v>0</v>
      </c>
      <c r="W11" s="26">
        <f t="shared" si="2"/>
        <v>0</v>
      </c>
      <c r="X11" s="26">
        <f t="shared" si="2"/>
        <v>0</v>
      </c>
      <c r="Y11" s="26">
        <f t="shared" si="2"/>
        <v>0</v>
      </c>
      <c r="Z11" s="26">
        <f t="shared" si="2"/>
        <v>40</v>
      </c>
      <c r="AA11" s="26">
        <f t="shared" si="2"/>
        <v>184</v>
      </c>
      <c r="AB11" s="26">
        <f t="shared" si="2"/>
        <v>0</v>
      </c>
      <c r="AC11" s="26">
        <f t="shared" si="2"/>
        <v>184</v>
      </c>
    </row>
    <row r="12" spans="1:29" s="25" customFormat="1" ht="15" customHeight="1" x14ac:dyDescent="0.2">
      <c r="A12" s="30">
        <v>5</v>
      </c>
      <c r="B12" s="29">
        <v>136709</v>
      </c>
      <c r="C12" s="31">
        <v>50</v>
      </c>
      <c r="D12" s="31"/>
      <c r="E12" s="31"/>
      <c r="F12" s="31">
        <f>30+4</f>
        <v>34</v>
      </c>
      <c r="G12" s="45"/>
      <c r="H12" s="31"/>
      <c r="I12" s="31"/>
      <c r="J12" s="31"/>
      <c r="K12" s="31">
        <v>60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45"/>
      <c r="W12" s="31"/>
      <c r="X12" s="31"/>
      <c r="Y12" s="31"/>
      <c r="Z12" s="31">
        <f>40</f>
        <v>40</v>
      </c>
      <c r="AA12" s="27">
        <f>J12+L12+V12+R12+N12+O12+P12+Q12+K12+W12+S12+T12+X12+M12+Y12+H12+C12+I12+D12+E12+G12+F12+Z12+U12</f>
        <v>184</v>
      </c>
      <c r="AB12" s="28"/>
      <c r="AC12" s="27">
        <f>AA12+AB12</f>
        <v>184</v>
      </c>
    </row>
    <row r="13" spans="1:29" s="25" customFormat="1" ht="20.25" customHeight="1" x14ac:dyDescent="0.2">
      <c r="A13" s="448" t="s">
        <v>46</v>
      </c>
      <c r="B13" s="449"/>
      <c r="C13" s="26">
        <f t="shared" ref="C13:AC13" si="3">C14+C15</f>
        <v>37</v>
      </c>
      <c r="D13" s="26">
        <f t="shared" si="3"/>
        <v>0</v>
      </c>
      <c r="E13" s="26">
        <f t="shared" si="3"/>
        <v>0</v>
      </c>
      <c r="F13" s="26">
        <f t="shared" si="3"/>
        <v>12</v>
      </c>
      <c r="G13" s="26">
        <f t="shared" si="3"/>
        <v>0</v>
      </c>
      <c r="H13" s="26">
        <f t="shared" si="3"/>
        <v>0</v>
      </c>
      <c r="I13" s="26">
        <f t="shared" si="3"/>
        <v>0</v>
      </c>
      <c r="J13" s="26">
        <f t="shared" si="3"/>
        <v>0</v>
      </c>
      <c r="K13" s="26">
        <v>0</v>
      </c>
      <c r="L13" s="26">
        <f t="shared" si="3"/>
        <v>0</v>
      </c>
      <c r="M13" s="26">
        <f t="shared" si="3"/>
        <v>0</v>
      </c>
      <c r="N13" s="26">
        <f t="shared" si="3"/>
        <v>0</v>
      </c>
      <c r="O13" s="26">
        <f t="shared" si="3"/>
        <v>25</v>
      </c>
      <c r="P13" s="26">
        <f t="shared" si="3"/>
        <v>0</v>
      </c>
      <c r="Q13" s="26">
        <v>0</v>
      </c>
      <c r="R13" s="26">
        <f t="shared" si="3"/>
        <v>0</v>
      </c>
      <c r="S13" s="26">
        <f t="shared" si="3"/>
        <v>0</v>
      </c>
      <c r="T13" s="26">
        <f t="shared" si="3"/>
        <v>0</v>
      </c>
      <c r="U13" s="26">
        <f t="shared" si="3"/>
        <v>0</v>
      </c>
      <c r="V13" s="26">
        <f t="shared" si="3"/>
        <v>0</v>
      </c>
      <c r="W13" s="26">
        <f t="shared" si="3"/>
        <v>0</v>
      </c>
      <c r="X13" s="26">
        <f t="shared" si="3"/>
        <v>0</v>
      </c>
      <c r="Y13" s="26">
        <f t="shared" si="3"/>
        <v>0</v>
      </c>
      <c r="Z13" s="26">
        <f t="shared" si="3"/>
        <v>50</v>
      </c>
      <c r="AA13" s="26">
        <f t="shared" si="3"/>
        <v>124</v>
      </c>
      <c r="AB13" s="26">
        <f t="shared" si="3"/>
        <v>0</v>
      </c>
      <c r="AC13" s="26">
        <f t="shared" si="3"/>
        <v>124</v>
      </c>
    </row>
    <row r="14" spans="1:29" s="25" customFormat="1" ht="12.75" customHeight="1" x14ac:dyDescent="0.2">
      <c r="A14" s="30">
        <v>6</v>
      </c>
      <c r="B14" s="29">
        <v>154940</v>
      </c>
      <c r="C14" s="31">
        <f>40-6+3</f>
        <v>37</v>
      </c>
      <c r="D14" s="31"/>
      <c r="E14" s="31"/>
      <c r="F14" s="27">
        <f>25-3-5-5</f>
        <v>12</v>
      </c>
      <c r="G14" s="45"/>
      <c r="H14" s="31"/>
      <c r="I14" s="31"/>
      <c r="J14" s="31"/>
      <c r="K14" s="31"/>
      <c r="L14" s="31"/>
      <c r="M14" s="31"/>
      <c r="N14" s="31"/>
      <c r="O14" s="31">
        <f>22+6-3</f>
        <v>25</v>
      </c>
      <c r="P14" s="31"/>
      <c r="Q14" s="31"/>
      <c r="R14" s="31"/>
      <c r="S14" s="31"/>
      <c r="T14" s="31"/>
      <c r="U14" s="31"/>
      <c r="V14" s="45"/>
      <c r="W14" s="31"/>
      <c r="X14" s="31"/>
      <c r="Y14" s="31"/>
      <c r="Z14" s="31">
        <f>50</f>
        <v>50</v>
      </c>
      <c r="AA14" s="27">
        <f>J14+L14+V14+R14+N14+O14+P14+Q14+K14+W14+S14+T14+X14+M14+Y14+H14+C14+I14+D14+E14+G14+F14+Z14+U14</f>
        <v>124</v>
      </c>
      <c r="AB14" s="28"/>
      <c r="AC14" s="27">
        <f>AA14+AB14</f>
        <v>124</v>
      </c>
    </row>
    <row r="15" spans="1:29" s="25" customFormat="1" ht="18.75" customHeight="1" x14ac:dyDescent="0.2">
      <c r="A15" s="30">
        <v>7</v>
      </c>
      <c r="B15" s="29">
        <v>456758</v>
      </c>
      <c r="C15" s="31"/>
      <c r="D15" s="31"/>
      <c r="E15" s="31"/>
      <c r="F15" s="31"/>
      <c r="G15" s="45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7">
        <f>J15+L15+V15+R15+N15+O15+P15+Q15+K15+W15+S15+T15+X15+M15+Y15+H15+C15+I15+D15+E15+G15+F15+Z15+U15</f>
        <v>0</v>
      </c>
      <c r="AB15" s="28"/>
      <c r="AC15" s="27">
        <f>AA15+AB15</f>
        <v>0</v>
      </c>
    </row>
    <row r="16" spans="1:29" s="25" customFormat="1" ht="21.75" customHeight="1" x14ac:dyDescent="0.2">
      <c r="A16" s="448" t="s">
        <v>45</v>
      </c>
      <c r="B16" s="449"/>
      <c r="C16" s="26">
        <f t="shared" ref="C16:AC16" si="4">C17</f>
        <v>0</v>
      </c>
      <c r="D16" s="26">
        <f t="shared" si="4"/>
        <v>0</v>
      </c>
      <c r="E16" s="26">
        <f t="shared" si="4"/>
        <v>0</v>
      </c>
      <c r="F16" s="26">
        <f t="shared" si="4"/>
        <v>8</v>
      </c>
      <c r="G16" s="26">
        <f t="shared" si="4"/>
        <v>0</v>
      </c>
      <c r="H16" s="26">
        <f t="shared" si="4"/>
        <v>0</v>
      </c>
      <c r="I16" s="26">
        <f t="shared" si="4"/>
        <v>0</v>
      </c>
      <c r="J16" s="26">
        <f t="shared" si="4"/>
        <v>0</v>
      </c>
      <c r="K16" s="26">
        <v>0</v>
      </c>
      <c r="L16" s="26">
        <f t="shared" si="4"/>
        <v>0</v>
      </c>
      <c r="M16" s="26">
        <f t="shared" si="4"/>
        <v>0</v>
      </c>
      <c r="N16" s="26">
        <f t="shared" si="4"/>
        <v>0</v>
      </c>
      <c r="O16" s="26">
        <f t="shared" si="4"/>
        <v>0</v>
      </c>
      <c r="P16" s="26">
        <f t="shared" si="4"/>
        <v>0</v>
      </c>
      <c r="Q16" s="26">
        <v>0</v>
      </c>
      <c r="R16" s="26">
        <f t="shared" si="4"/>
        <v>0</v>
      </c>
      <c r="S16" s="26">
        <f t="shared" si="4"/>
        <v>0</v>
      </c>
      <c r="T16" s="26">
        <f t="shared" si="4"/>
        <v>0</v>
      </c>
      <c r="U16" s="26">
        <f t="shared" si="4"/>
        <v>0</v>
      </c>
      <c r="V16" s="26">
        <f t="shared" si="4"/>
        <v>0</v>
      </c>
      <c r="W16" s="26">
        <f t="shared" si="4"/>
        <v>0</v>
      </c>
      <c r="X16" s="26">
        <f t="shared" si="4"/>
        <v>0</v>
      </c>
      <c r="Y16" s="26">
        <f t="shared" si="4"/>
        <v>0</v>
      </c>
      <c r="Z16" s="26">
        <f t="shared" si="4"/>
        <v>0</v>
      </c>
      <c r="AA16" s="26">
        <f t="shared" si="4"/>
        <v>8</v>
      </c>
      <c r="AB16" s="26">
        <f t="shared" si="4"/>
        <v>0</v>
      </c>
      <c r="AC16" s="26">
        <f t="shared" si="4"/>
        <v>8</v>
      </c>
    </row>
    <row r="17" spans="1:29" s="25" customFormat="1" ht="14.25" customHeight="1" x14ac:dyDescent="0.2">
      <c r="A17" s="30">
        <v>8</v>
      </c>
      <c r="B17" s="29">
        <v>271427</v>
      </c>
      <c r="C17" s="31"/>
      <c r="D17" s="31"/>
      <c r="E17" s="31"/>
      <c r="F17" s="31">
        <f>10-2</f>
        <v>8</v>
      </c>
      <c r="G17" s="45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45"/>
      <c r="W17" s="31"/>
      <c r="X17" s="31"/>
      <c r="Y17" s="31"/>
      <c r="Z17" s="31"/>
      <c r="AA17" s="27">
        <f>J17+L17+V17+R17+N17+O17+P17+Q17+K17+W17+S17+T17+X17+M17+Y17+H17+C17+I17+D17+E17+G17+F17+Z17+U17</f>
        <v>8</v>
      </c>
      <c r="AB17" s="28"/>
      <c r="AC17" s="27">
        <f>AA17+AB17</f>
        <v>8</v>
      </c>
    </row>
    <row r="18" spans="1:29" s="25" customFormat="1" ht="18" customHeight="1" x14ac:dyDescent="0.2">
      <c r="A18" s="448" t="s">
        <v>44</v>
      </c>
      <c r="B18" s="449"/>
      <c r="C18" s="26">
        <f t="shared" ref="C18:AC18" si="5">C19</f>
        <v>0</v>
      </c>
      <c r="D18" s="26">
        <f t="shared" si="5"/>
        <v>0</v>
      </c>
      <c r="E18" s="26">
        <f t="shared" si="5"/>
        <v>0</v>
      </c>
      <c r="F18" s="26">
        <f t="shared" si="5"/>
        <v>0</v>
      </c>
      <c r="G18" s="26">
        <f t="shared" si="5"/>
        <v>0</v>
      </c>
      <c r="H18" s="26">
        <f t="shared" si="5"/>
        <v>52</v>
      </c>
      <c r="I18" s="26">
        <f t="shared" si="5"/>
        <v>0</v>
      </c>
      <c r="J18" s="26">
        <f t="shared" si="5"/>
        <v>0</v>
      </c>
      <c r="K18" s="26">
        <v>0</v>
      </c>
      <c r="L18" s="26">
        <f t="shared" si="5"/>
        <v>0</v>
      </c>
      <c r="M18" s="26">
        <f t="shared" si="5"/>
        <v>0</v>
      </c>
      <c r="N18" s="26">
        <f t="shared" si="5"/>
        <v>0</v>
      </c>
      <c r="O18" s="26">
        <f t="shared" si="5"/>
        <v>0</v>
      </c>
      <c r="P18" s="26">
        <f t="shared" si="5"/>
        <v>0</v>
      </c>
      <c r="Q18" s="26">
        <v>0</v>
      </c>
      <c r="R18" s="26">
        <f t="shared" si="5"/>
        <v>0</v>
      </c>
      <c r="S18" s="26">
        <f t="shared" si="5"/>
        <v>0</v>
      </c>
      <c r="T18" s="26">
        <f t="shared" si="5"/>
        <v>0</v>
      </c>
      <c r="U18" s="26">
        <f t="shared" si="5"/>
        <v>0</v>
      </c>
      <c r="V18" s="26">
        <f t="shared" si="5"/>
        <v>0</v>
      </c>
      <c r="W18" s="26">
        <f t="shared" si="5"/>
        <v>0</v>
      </c>
      <c r="X18" s="26">
        <f t="shared" si="5"/>
        <v>0</v>
      </c>
      <c r="Y18" s="26">
        <f t="shared" si="5"/>
        <v>0</v>
      </c>
      <c r="Z18" s="26">
        <f t="shared" si="5"/>
        <v>0</v>
      </c>
      <c r="AA18" s="26">
        <f t="shared" si="5"/>
        <v>52</v>
      </c>
      <c r="AB18" s="26">
        <f t="shared" si="5"/>
        <v>0</v>
      </c>
      <c r="AC18" s="26">
        <f t="shared" si="5"/>
        <v>52</v>
      </c>
    </row>
    <row r="19" spans="1:29" s="25" customFormat="1" ht="15.75" customHeight="1" x14ac:dyDescent="0.2">
      <c r="A19" s="30">
        <v>9</v>
      </c>
      <c r="B19" s="29">
        <v>104656</v>
      </c>
      <c r="C19" s="31"/>
      <c r="D19" s="31"/>
      <c r="E19" s="31"/>
      <c r="F19" s="31"/>
      <c r="G19" s="45"/>
      <c r="H19" s="31">
        <v>52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45"/>
      <c r="W19" s="31"/>
      <c r="X19" s="31"/>
      <c r="Y19" s="31"/>
      <c r="Z19" s="31"/>
      <c r="AA19" s="27">
        <f>J19+L19+V19+R19+N19+O19+P19+Q19+K19+W19+S19+T19+X19+M19+Y19+H19+C19+I19+D19+E19+G19+F19+Z19+U19</f>
        <v>52</v>
      </c>
      <c r="AB19" s="28"/>
      <c r="AC19" s="27">
        <f>AA19+AB19</f>
        <v>52</v>
      </c>
    </row>
    <row r="20" spans="1:29" s="25" customFormat="1" ht="12.75" customHeight="1" x14ac:dyDescent="0.2">
      <c r="A20" s="448" t="s">
        <v>43</v>
      </c>
      <c r="B20" s="449"/>
      <c r="C20" s="26">
        <f t="shared" ref="C20:AC20" si="6">C21+C22</f>
        <v>0</v>
      </c>
      <c r="D20" s="26">
        <f t="shared" si="6"/>
        <v>0</v>
      </c>
      <c r="E20" s="26">
        <f t="shared" si="6"/>
        <v>0</v>
      </c>
      <c r="F20" s="26">
        <f t="shared" si="6"/>
        <v>0</v>
      </c>
      <c r="G20" s="26">
        <f t="shared" si="6"/>
        <v>0</v>
      </c>
      <c r="H20" s="26">
        <f t="shared" si="6"/>
        <v>0</v>
      </c>
      <c r="I20" s="26">
        <f t="shared" si="6"/>
        <v>0</v>
      </c>
      <c r="J20" s="26">
        <f t="shared" si="6"/>
        <v>0</v>
      </c>
      <c r="K20" s="26">
        <v>0</v>
      </c>
      <c r="L20" s="26">
        <f t="shared" si="6"/>
        <v>0</v>
      </c>
      <c r="M20" s="26">
        <f t="shared" si="6"/>
        <v>0</v>
      </c>
      <c r="N20" s="26">
        <f t="shared" si="6"/>
        <v>0</v>
      </c>
      <c r="O20" s="26">
        <f t="shared" si="6"/>
        <v>0</v>
      </c>
      <c r="P20" s="26">
        <f t="shared" si="6"/>
        <v>0</v>
      </c>
      <c r="Q20" s="26">
        <v>100</v>
      </c>
      <c r="R20" s="26">
        <f t="shared" si="6"/>
        <v>0</v>
      </c>
      <c r="S20" s="26">
        <f t="shared" si="6"/>
        <v>0</v>
      </c>
      <c r="T20" s="26">
        <f t="shared" si="6"/>
        <v>0</v>
      </c>
      <c r="U20" s="26">
        <f t="shared" si="6"/>
        <v>0</v>
      </c>
      <c r="V20" s="26">
        <f t="shared" si="6"/>
        <v>0</v>
      </c>
      <c r="W20" s="26">
        <f t="shared" si="6"/>
        <v>30</v>
      </c>
      <c r="X20" s="26">
        <f t="shared" si="6"/>
        <v>0</v>
      </c>
      <c r="Y20" s="26">
        <f t="shared" si="6"/>
        <v>0</v>
      </c>
      <c r="Z20" s="26">
        <f t="shared" si="6"/>
        <v>0</v>
      </c>
      <c r="AA20" s="26">
        <f t="shared" si="6"/>
        <v>130</v>
      </c>
      <c r="AB20" s="26">
        <f t="shared" si="6"/>
        <v>0</v>
      </c>
      <c r="AC20" s="26">
        <f t="shared" si="6"/>
        <v>130</v>
      </c>
    </row>
    <row r="21" spans="1:29" s="25" customFormat="1" ht="14.25" customHeight="1" x14ac:dyDescent="0.2">
      <c r="A21" s="30">
        <v>10</v>
      </c>
      <c r="B21" s="29">
        <v>554139</v>
      </c>
      <c r="C21" s="31"/>
      <c r="D21" s="31"/>
      <c r="E21" s="31"/>
      <c r="F21" s="31"/>
      <c r="G21" s="45"/>
      <c r="H21" s="32"/>
      <c r="I21" s="31"/>
      <c r="J21" s="31"/>
      <c r="K21" s="31"/>
      <c r="L21" s="32"/>
      <c r="M21" s="32"/>
      <c r="N21" s="32"/>
      <c r="O21" s="32"/>
      <c r="P21" s="31"/>
      <c r="Q21" s="31">
        <v>80</v>
      </c>
      <c r="R21" s="32"/>
      <c r="S21" s="31"/>
      <c r="T21" s="31"/>
      <c r="U21" s="31"/>
      <c r="V21" s="43"/>
      <c r="W21" s="31">
        <v>30</v>
      </c>
      <c r="X21" s="31"/>
      <c r="Y21" s="31"/>
      <c r="Z21" s="31"/>
      <c r="AA21" s="27">
        <f>J21+L21+V21+R21+N21+O21+P21+Q21+K21+W21+S21+T21+X21+M21+Y21+H21+C21+I21+D21+E21+G21+F21+Z21+U21</f>
        <v>110</v>
      </c>
      <c r="AB21" s="28"/>
      <c r="AC21" s="27">
        <f>AA21+AB21</f>
        <v>110</v>
      </c>
    </row>
    <row r="22" spans="1:29" s="25" customFormat="1" ht="14.25" customHeight="1" x14ac:dyDescent="0.2">
      <c r="A22" s="30">
        <v>11</v>
      </c>
      <c r="B22" s="29">
        <v>1624324</v>
      </c>
      <c r="C22" s="41"/>
      <c r="D22" s="41"/>
      <c r="E22" s="41"/>
      <c r="F22" s="41"/>
      <c r="G22" s="44"/>
      <c r="H22" s="42"/>
      <c r="I22" s="41"/>
      <c r="J22" s="41"/>
      <c r="K22" s="41"/>
      <c r="L22" s="42"/>
      <c r="M22" s="42"/>
      <c r="N22" s="42"/>
      <c r="O22" s="42"/>
      <c r="P22" s="41"/>
      <c r="Q22" s="41">
        <v>20</v>
      </c>
      <c r="R22" s="42"/>
      <c r="S22" s="41"/>
      <c r="T22" s="31"/>
      <c r="U22" s="31"/>
      <c r="V22" s="43"/>
      <c r="W22" s="31"/>
      <c r="X22" s="41"/>
      <c r="Y22" s="41"/>
      <c r="Z22" s="41"/>
      <c r="AA22" s="27">
        <f>J22+L22+V22+R22+N22+O22+P22+Q22+K22+W22+S22+T22+X22+M22+Y22+H22+C22+I22+D22+E22+G22+F22+Z22+U22</f>
        <v>20</v>
      </c>
      <c r="AB22" s="28"/>
      <c r="AC22" s="27">
        <f>AA22+AB22</f>
        <v>20</v>
      </c>
    </row>
    <row r="23" spans="1:29" s="25" customFormat="1" ht="21" customHeight="1" x14ac:dyDescent="0.2">
      <c r="A23" s="448" t="s">
        <v>42</v>
      </c>
      <c r="B23" s="449"/>
      <c r="C23" s="26">
        <f t="shared" ref="C23:AC23" si="7">SUM(C24:C29)</f>
        <v>355</v>
      </c>
      <c r="D23" s="26">
        <f t="shared" si="7"/>
        <v>0</v>
      </c>
      <c r="E23" s="26">
        <f t="shared" si="7"/>
        <v>0</v>
      </c>
      <c r="F23" s="26">
        <f t="shared" si="7"/>
        <v>110</v>
      </c>
      <c r="G23" s="26">
        <f t="shared" si="7"/>
        <v>0</v>
      </c>
      <c r="H23" s="26">
        <f t="shared" si="7"/>
        <v>0</v>
      </c>
      <c r="I23" s="26">
        <f t="shared" si="7"/>
        <v>0</v>
      </c>
      <c r="J23" s="26">
        <f t="shared" si="7"/>
        <v>78</v>
      </c>
      <c r="K23" s="26">
        <v>142</v>
      </c>
      <c r="L23" s="26">
        <f t="shared" si="7"/>
        <v>0</v>
      </c>
      <c r="M23" s="26">
        <f t="shared" si="7"/>
        <v>0</v>
      </c>
      <c r="N23" s="26">
        <f t="shared" si="7"/>
        <v>0</v>
      </c>
      <c r="O23" s="26">
        <f t="shared" si="7"/>
        <v>0</v>
      </c>
      <c r="P23" s="26">
        <f t="shared" si="7"/>
        <v>22</v>
      </c>
      <c r="Q23" s="26">
        <v>0</v>
      </c>
      <c r="R23" s="26">
        <f t="shared" si="7"/>
        <v>0</v>
      </c>
      <c r="S23" s="26">
        <f t="shared" si="7"/>
        <v>3</v>
      </c>
      <c r="T23" s="26">
        <f t="shared" si="7"/>
        <v>19</v>
      </c>
      <c r="U23" s="26">
        <f t="shared" si="7"/>
        <v>0</v>
      </c>
      <c r="V23" s="26">
        <f t="shared" si="7"/>
        <v>0</v>
      </c>
      <c r="W23" s="26">
        <f t="shared" si="7"/>
        <v>192</v>
      </c>
      <c r="X23" s="26">
        <f t="shared" si="7"/>
        <v>0</v>
      </c>
      <c r="Y23" s="26">
        <f t="shared" si="7"/>
        <v>0</v>
      </c>
      <c r="Z23" s="26">
        <f t="shared" si="7"/>
        <v>120</v>
      </c>
      <c r="AA23" s="26">
        <f t="shared" si="7"/>
        <v>1041</v>
      </c>
      <c r="AB23" s="26">
        <f t="shared" si="7"/>
        <v>0</v>
      </c>
      <c r="AC23" s="26">
        <f t="shared" si="7"/>
        <v>1041</v>
      </c>
    </row>
    <row r="24" spans="1:29" s="25" customFormat="1" ht="14.25" customHeight="1" x14ac:dyDescent="0.2">
      <c r="A24" s="30">
        <v>12</v>
      </c>
      <c r="B24" s="29">
        <v>168234</v>
      </c>
      <c r="C24" s="27">
        <v>305</v>
      </c>
      <c r="D24" s="27"/>
      <c r="E24" s="27"/>
      <c r="F24" s="27">
        <f>65-15</f>
        <v>50</v>
      </c>
      <c r="G24" s="46"/>
      <c r="H24" s="27"/>
      <c r="I24" s="27"/>
      <c r="J24" s="27">
        <v>60</v>
      </c>
      <c r="K24" s="27">
        <v>124</v>
      </c>
      <c r="L24" s="27"/>
      <c r="M24" s="27"/>
      <c r="N24" s="27"/>
      <c r="O24" s="27"/>
      <c r="P24" s="27">
        <v>6</v>
      </c>
      <c r="Q24" s="27"/>
      <c r="R24" s="46"/>
      <c r="S24" s="31">
        <f>2-1</f>
        <v>1</v>
      </c>
      <c r="T24" s="31">
        <v>9</v>
      </c>
      <c r="U24" s="31"/>
      <c r="V24" s="45"/>
      <c r="W24" s="31">
        <v>180</v>
      </c>
      <c r="X24" s="31"/>
      <c r="Y24" s="31"/>
      <c r="Z24" s="27">
        <f>60+60</f>
        <v>120</v>
      </c>
      <c r="AA24" s="27">
        <f t="shared" ref="AA24:AA29" si="8">J24+L24+V24+R24+N24+O24+P24+Q24+K24+W24+S24+T24+X24+M24+Y24+H24+C24+I24+D24+E24+G24+F24+Z24+U24</f>
        <v>855</v>
      </c>
      <c r="AB24" s="28"/>
      <c r="AC24" s="27">
        <f t="shared" ref="AC24:AC29" si="9">AA24+AB24</f>
        <v>855</v>
      </c>
    </row>
    <row r="25" spans="1:29" s="25" customFormat="1" ht="14.25" customHeight="1" x14ac:dyDescent="0.2">
      <c r="A25" s="30">
        <v>13</v>
      </c>
      <c r="B25" s="29">
        <v>254325</v>
      </c>
      <c r="C25" s="27">
        <v>5</v>
      </c>
      <c r="D25" s="27"/>
      <c r="E25" s="27"/>
      <c r="F25" s="27"/>
      <c r="G25" s="27"/>
      <c r="H25" s="34"/>
      <c r="I25" s="27"/>
      <c r="J25" s="27"/>
      <c r="K25" s="27"/>
      <c r="L25" s="34"/>
      <c r="M25" s="34"/>
      <c r="N25" s="34"/>
      <c r="O25" s="34"/>
      <c r="P25" s="27"/>
      <c r="Q25" s="27"/>
      <c r="R25" s="34"/>
      <c r="S25" s="31">
        <f>3-2</f>
        <v>1</v>
      </c>
      <c r="T25" s="31">
        <f>10-10</f>
        <v>0</v>
      </c>
      <c r="U25" s="31"/>
      <c r="V25" s="32"/>
      <c r="W25" s="31"/>
      <c r="X25" s="31"/>
      <c r="Y25" s="31"/>
      <c r="Z25" s="27"/>
      <c r="AA25" s="27">
        <f t="shared" si="8"/>
        <v>6</v>
      </c>
      <c r="AB25" s="28"/>
      <c r="AC25" s="27">
        <f t="shared" si="9"/>
        <v>6</v>
      </c>
    </row>
    <row r="26" spans="1:29" s="25" customFormat="1" ht="14.25" customHeight="1" x14ac:dyDescent="0.2">
      <c r="A26" s="30">
        <v>14</v>
      </c>
      <c r="B26" s="29">
        <v>163116</v>
      </c>
      <c r="C26" s="31">
        <v>15</v>
      </c>
      <c r="D26" s="31"/>
      <c r="E26" s="31"/>
      <c r="F26" s="31"/>
      <c r="G26" s="45"/>
      <c r="H26" s="32"/>
      <c r="I26" s="31"/>
      <c r="J26" s="31">
        <v>3</v>
      </c>
      <c r="K26" s="31">
        <v>8</v>
      </c>
      <c r="L26" s="32"/>
      <c r="M26" s="32"/>
      <c r="N26" s="32"/>
      <c r="O26" s="32"/>
      <c r="P26" s="31"/>
      <c r="Q26" s="31"/>
      <c r="R26" s="32"/>
      <c r="S26" s="31"/>
      <c r="T26" s="31"/>
      <c r="U26" s="31"/>
      <c r="V26" s="43"/>
      <c r="W26" s="31">
        <v>12</v>
      </c>
      <c r="X26" s="31"/>
      <c r="Y26" s="31"/>
      <c r="Z26" s="31"/>
      <c r="AA26" s="27">
        <f t="shared" si="8"/>
        <v>38</v>
      </c>
      <c r="AB26" s="28"/>
      <c r="AC26" s="27">
        <f t="shared" si="9"/>
        <v>38</v>
      </c>
    </row>
    <row r="27" spans="1:29" s="25" customFormat="1" ht="12.75" customHeight="1" x14ac:dyDescent="0.2">
      <c r="A27" s="30">
        <v>15</v>
      </c>
      <c r="B27" s="29">
        <v>234431</v>
      </c>
      <c r="C27" s="41"/>
      <c r="D27" s="41"/>
      <c r="E27" s="41"/>
      <c r="F27" s="41">
        <v>60</v>
      </c>
      <c r="G27" s="44"/>
      <c r="H27" s="42"/>
      <c r="I27" s="41"/>
      <c r="J27" s="41"/>
      <c r="K27" s="41"/>
      <c r="L27" s="42"/>
      <c r="M27" s="42"/>
      <c r="N27" s="42"/>
      <c r="O27" s="42"/>
      <c r="P27" s="31">
        <v>16</v>
      </c>
      <c r="Q27" s="41"/>
      <c r="R27" s="42"/>
      <c r="S27" s="31"/>
      <c r="T27" s="31"/>
      <c r="U27" s="31"/>
      <c r="V27" s="43"/>
      <c r="W27" s="31"/>
      <c r="X27" s="31"/>
      <c r="Y27" s="31"/>
      <c r="Z27" s="41"/>
      <c r="AA27" s="27">
        <f t="shared" si="8"/>
        <v>76</v>
      </c>
      <c r="AB27" s="28"/>
      <c r="AC27" s="27">
        <f t="shared" si="9"/>
        <v>76</v>
      </c>
    </row>
    <row r="28" spans="1:29" s="25" customFormat="1" ht="14.25" customHeight="1" x14ac:dyDescent="0.2">
      <c r="A28" s="30">
        <v>16</v>
      </c>
      <c r="B28" s="29">
        <v>302151</v>
      </c>
      <c r="C28" s="31">
        <v>15</v>
      </c>
      <c r="D28" s="31"/>
      <c r="E28" s="31"/>
      <c r="F28" s="31"/>
      <c r="G28" s="45"/>
      <c r="H28" s="32"/>
      <c r="I28" s="31"/>
      <c r="J28" s="31"/>
      <c r="K28" s="31"/>
      <c r="L28" s="32"/>
      <c r="M28" s="32"/>
      <c r="N28" s="32"/>
      <c r="O28" s="32"/>
      <c r="P28" s="31"/>
      <c r="Q28" s="31"/>
      <c r="R28" s="32"/>
      <c r="S28" s="31">
        <f>0+1</f>
        <v>1</v>
      </c>
      <c r="T28" s="31">
        <f>0+10</f>
        <v>10</v>
      </c>
      <c r="U28" s="31"/>
      <c r="V28" s="43"/>
      <c r="W28" s="31"/>
      <c r="X28" s="31"/>
      <c r="Y28" s="31"/>
      <c r="Z28" s="31"/>
      <c r="AA28" s="27">
        <f t="shared" si="8"/>
        <v>26</v>
      </c>
      <c r="AB28" s="28"/>
      <c r="AC28" s="27">
        <f t="shared" si="9"/>
        <v>26</v>
      </c>
    </row>
    <row r="29" spans="1:29" s="25" customFormat="1" ht="14.25" customHeight="1" x14ac:dyDescent="0.2">
      <c r="A29" s="30">
        <v>17</v>
      </c>
      <c r="B29" s="29">
        <v>409766</v>
      </c>
      <c r="C29" s="41">
        <v>15</v>
      </c>
      <c r="D29" s="41"/>
      <c r="E29" s="41"/>
      <c r="F29" s="41"/>
      <c r="G29" s="44"/>
      <c r="H29" s="42"/>
      <c r="I29" s="41"/>
      <c r="J29" s="41">
        <v>15</v>
      </c>
      <c r="K29" s="41">
        <v>10</v>
      </c>
      <c r="L29" s="42"/>
      <c r="M29" s="42"/>
      <c r="N29" s="42"/>
      <c r="O29" s="42"/>
      <c r="P29" s="41"/>
      <c r="Q29" s="41"/>
      <c r="R29" s="42"/>
      <c r="S29" s="31"/>
      <c r="T29" s="31"/>
      <c r="U29" s="31"/>
      <c r="V29" s="43"/>
      <c r="W29" s="31"/>
      <c r="X29" s="31"/>
      <c r="Y29" s="31"/>
      <c r="Z29" s="41"/>
      <c r="AA29" s="27">
        <f t="shared" si="8"/>
        <v>40</v>
      </c>
      <c r="AB29" s="28"/>
      <c r="AC29" s="27">
        <f t="shared" si="9"/>
        <v>40</v>
      </c>
    </row>
    <row r="30" spans="1:29" s="25" customFormat="1" ht="18.75" customHeight="1" x14ac:dyDescent="0.2">
      <c r="A30" s="448" t="s">
        <v>41</v>
      </c>
      <c r="B30" s="449"/>
      <c r="C30" s="26">
        <f t="shared" ref="C30:AC30" si="10">C31+C32</f>
        <v>130</v>
      </c>
      <c r="D30" s="26">
        <f t="shared" si="10"/>
        <v>0</v>
      </c>
      <c r="E30" s="26">
        <f t="shared" si="10"/>
        <v>0</v>
      </c>
      <c r="F30" s="26">
        <f t="shared" si="10"/>
        <v>180</v>
      </c>
      <c r="G30" s="26">
        <f t="shared" si="10"/>
        <v>498</v>
      </c>
      <c r="H30" s="26">
        <f t="shared" si="10"/>
        <v>0</v>
      </c>
      <c r="I30" s="26">
        <f t="shared" si="10"/>
        <v>0</v>
      </c>
      <c r="J30" s="26">
        <f t="shared" si="10"/>
        <v>0</v>
      </c>
      <c r="K30" s="26">
        <v>0</v>
      </c>
      <c r="L30" s="26">
        <f t="shared" si="10"/>
        <v>0</v>
      </c>
      <c r="M30" s="26">
        <f t="shared" si="10"/>
        <v>0</v>
      </c>
      <c r="N30" s="26">
        <f t="shared" si="10"/>
        <v>0</v>
      </c>
      <c r="O30" s="26">
        <f t="shared" si="10"/>
        <v>0</v>
      </c>
      <c r="P30" s="26">
        <f t="shared" si="10"/>
        <v>118</v>
      </c>
      <c r="Q30" s="26">
        <v>0</v>
      </c>
      <c r="R30" s="26">
        <f t="shared" si="10"/>
        <v>0</v>
      </c>
      <c r="S30" s="26">
        <f t="shared" si="10"/>
        <v>0</v>
      </c>
      <c r="T30" s="26">
        <f t="shared" si="10"/>
        <v>0</v>
      </c>
      <c r="U30" s="26">
        <f t="shared" si="10"/>
        <v>0</v>
      </c>
      <c r="V30" s="26">
        <f t="shared" si="10"/>
        <v>0</v>
      </c>
      <c r="W30" s="26">
        <f t="shared" si="10"/>
        <v>0</v>
      </c>
      <c r="X30" s="26">
        <f t="shared" si="10"/>
        <v>0</v>
      </c>
      <c r="Y30" s="26">
        <f t="shared" si="10"/>
        <v>0</v>
      </c>
      <c r="Z30" s="26">
        <f t="shared" si="10"/>
        <v>20</v>
      </c>
      <c r="AA30" s="26">
        <f t="shared" si="10"/>
        <v>946</v>
      </c>
      <c r="AB30" s="26">
        <f t="shared" si="10"/>
        <v>0</v>
      </c>
      <c r="AC30" s="26">
        <f t="shared" si="10"/>
        <v>946</v>
      </c>
    </row>
    <row r="31" spans="1:29" s="25" customFormat="1" ht="14.25" customHeight="1" x14ac:dyDescent="0.2">
      <c r="A31" s="30">
        <v>18</v>
      </c>
      <c r="B31" s="29">
        <v>255509</v>
      </c>
      <c r="C31" s="27">
        <f>105-15</f>
        <v>90</v>
      </c>
      <c r="D31" s="27"/>
      <c r="E31" s="27"/>
      <c r="F31" s="27">
        <v>134</v>
      </c>
      <c r="G31" s="27">
        <f>230+15+25</f>
        <v>270</v>
      </c>
      <c r="H31" s="27"/>
      <c r="I31" s="27"/>
      <c r="J31" s="27"/>
      <c r="K31" s="27"/>
      <c r="L31" s="27"/>
      <c r="M31" s="27"/>
      <c r="N31" s="27"/>
      <c r="O31" s="27"/>
      <c r="P31" s="27">
        <f>100-2</f>
        <v>98</v>
      </c>
      <c r="Q31" s="27"/>
      <c r="R31" s="27"/>
      <c r="S31" s="27"/>
      <c r="T31" s="27"/>
      <c r="U31" s="27"/>
      <c r="V31" s="27"/>
      <c r="W31" s="27"/>
      <c r="X31" s="27"/>
      <c r="Y31" s="27"/>
      <c r="Z31" s="27">
        <f>61-29-17</f>
        <v>15</v>
      </c>
      <c r="AA31" s="27">
        <f>J31+L31+V31+R31+N31+O31+P31+Q31+K31+W31+S31+T31+X31+M31+Y31+H31+C31+I31+D31+E31+G31+F31+Z31+U31</f>
        <v>607</v>
      </c>
      <c r="AB31" s="28"/>
      <c r="AC31" s="27">
        <f>AA31+AB31</f>
        <v>607</v>
      </c>
    </row>
    <row r="32" spans="1:29" s="25" customFormat="1" ht="14.25" customHeight="1" x14ac:dyDescent="0.2">
      <c r="A32" s="30">
        <v>19</v>
      </c>
      <c r="B32" s="29">
        <v>372794</v>
      </c>
      <c r="C32" s="27">
        <f>55-15</f>
        <v>40</v>
      </c>
      <c r="D32" s="27"/>
      <c r="E32" s="27"/>
      <c r="F32" s="27">
        <v>46</v>
      </c>
      <c r="G32" s="27">
        <f>188+15+25</f>
        <v>228</v>
      </c>
      <c r="H32" s="27"/>
      <c r="I32" s="27"/>
      <c r="J32" s="27"/>
      <c r="K32" s="27"/>
      <c r="L32" s="27"/>
      <c r="M32" s="27"/>
      <c r="N32" s="27"/>
      <c r="O32" s="27"/>
      <c r="P32" s="27">
        <v>20</v>
      </c>
      <c r="Q32" s="27"/>
      <c r="R32" s="27"/>
      <c r="S32" s="27"/>
      <c r="T32" s="27"/>
      <c r="U32" s="27"/>
      <c r="V32" s="27"/>
      <c r="W32" s="27"/>
      <c r="X32" s="27"/>
      <c r="Y32" s="27"/>
      <c r="Z32" s="27">
        <f>17-9-3</f>
        <v>5</v>
      </c>
      <c r="AA32" s="27">
        <f>J32+L32+V32+R32+N32+O32+P32+Q32+K32+W32+S32+T32+X32+M32+Y32+H32+C32+I32+D32+E32+G32+F32+Z32+U32</f>
        <v>339</v>
      </c>
      <c r="AB32" s="28"/>
      <c r="AC32" s="27">
        <f>AA32+AB32</f>
        <v>339</v>
      </c>
    </row>
    <row r="33" spans="1:29" s="25" customFormat="1" ht="18.75" customHeight="1" x14ac:dyDescent="0.2">
      <c r="A33" s="448" t="s">
        <v>40</v>
      </c>
      <c r="B33" s="449"/>
      <c r="C33" s="26">
        <f t="shared" ref="C33:AC33" si="11">C34+C35+C36+C37+C38+C39</f>
        <v>130</v>
      </c>
      <c r="D33" s="26">
        <f t="shared" si="11"/>
        <v>1450</v>
      </c>
      <c r="E33" s="26">
        <f t="shared" si="11"/>
        <v>0</v>
      </c>
      <c r="F33" s="26">
        <f t="shared" si="11"/>
        <v>70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v>0</v>
      </c>
      <c r="L33" s="26">
        <f t="shared" si="11"/>
        <v>0</v>
      </c>
      <c r="M33" s="26">
        <f t="shared" si="11"/>
        <v>0</v>
      </c>
      <c r="N33" s="26">
        <f t="shared" si="11"/>
        <v>0</v>
      </c>
      <c r="O33" s="26">
        <f t="shared" si="11"/>
        <v>0</v>
      </c>
      <c r="P33" s="26">
        <f t="shared" si="11"/>
        <v>0</v>
      </c>
      <c r="Q33" s="26">
        <v>0</v>
      </c>
      <c r="R33" s="26">
        <f t="shared" si="11"/>
        <v>0</v>
      </c>
      <c r="S33" s="26">
        <f t="shared" si="11"/>
        <v>0</v>
      </c>
      <c r="T33" s="26">
        <f t="shared" si="11"/>
        <v>0</v>
      </c>
      <c r="U33" s="26">
        <f t="shared" si="11"/>
        <v>0</v>
      </c>
      <c r="V33" s="26">
        <f t="shared" si="11"/>
        <v>0</v>
      </c>
      <c r="W33" s="26">
        <f t="shared" si="11"/>
        <v>89</v>
      </c>
      <c r="X33" s="26">
        <f t="shared" si="11"/>
        <v>5</v>
      </c>
      <c r="Y33" s="26">
        <f t="shared" si="11"/>
        <v>0</v>
      </c>
      <c r="Z33" s="26">
        <f t="shared" si="11"/>
        <v>150</v>
      </c>
      <c r="AA33" s="26">
        <f t="shared" si="11"/>
        <v>1894</v>
      </c>
      <c r="AB33" s="26">
        <f t="shared" si="11"/>
        <v>0</v>
      </c>
      <c r="AC33" s="26">
        <f t="shared" si="11"/>
        <v>1894</v>
      </c>
    </row>
    <row r="34" spans="1:29" s="25" customFormat="1" ht="14.25" customHeight="1" x14ac:dyDescent="0.2">
      <c r="A34" s="30">
        <v>20</v>
      </c>
      <c r="B34" s="29">
        <v>131998</v>
      </c>
      <c r="C34" s="31">
        <f>70</f>
        <v>70</v>
      </c>
      <c r="D34" s="31">
        <v>1100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>
        <f>77+12</f>
        <v>89</v>
      </c>
      <c r="X34" s="31">
        <v>5</v>
      </c>
      <c r="Y34" s="31"/>
      <c r="Z34" s="31">
        <v>100</v>
      </c>
      <c r="AA34" s="31">
        <f t="shared" ref="AA34:AA39" si="12">J34+L34+V34+R34+N34+O34+P34+Q34+K34+W34+S34+T34+X34+M34+Y34+H34+C34+I34+D34+E34+G34+F34+Z34+U34</f>
        <v>1364</v>
      </c>
      <c r="AB34" s="28"/>
      <c r="AC34" s="27">
        <f t="shared" ref="AC34:AC39" si="13">AA34+AB34</f>
        <v>1364</v>
      </c>
    </row>
    <row r="35" spans="1:29" s="25" customFormat="1" ht="14.25" customHeight="1" x14ac:dyDescent="0.2">
      <c r="A35" s="30">
        <v>21</v>
      </c>
      <c r="B35" s="29">
        <v>103013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>
        <f t="shared" si="12"/>
        <v>0</v>
      </c>
      <c r="AB35" s="28"/>
      <c r="AC35" s="27">
        <f t="shared" si="13"/>
        <v>0</v>
      </c>
    </row>
    <row r="36" spans="1:29" s="25" customFormat="1" ht="14.25" customHeight="1" x14ac:dyDescent="0.2">
      <c r="A36" s="30">
        <v>22</v>
      </c>
      <c r="B36" s="29">
        <v>139328</v>
      </c>
      <c r="C36" s="31">
        <v>60</v>
      </c>
      <c r="D36" s="31">
        <v>250</v>
      </c>
      <c r="E36" s="31"/>
      <c r="F36" s="31">
        <f>100-30</f>
        <v>70</v>
      </c>
      <c r="G36" s="31"/>
      <c r="H36" s="32"/>
      <c r="I36" s="31"/>
      <c r="J36" s="31"/>
      <c r="K36" s="31"/>
      <c r="L36" s="31"/>
      <c r="M36" s="32"/>
      <c r="N36" s="32"/>
      <c r="O36" s="32"/>
      <c r="P36" s="31"/>
      <c r="Q36" s="31"/>
      <c r="R36" s="32"/>
      <c r="S36" s="31"/>
      <c r="T36" s="31"/>
      <c r="U36" s="31"/>
      <c r="V36" s="32"/>
      <c r="W36" s="31"/>
      <c r="X36" s="31"/>
      <c r="Y36" s="31"/>
      <c r="Z36" s="31">
        <f>50</f>
        <v>50</v>
      </c>
      <c r="AA36" s="31">
        <f t="shared" si="12"/>
        <v>430</v>
      </c>
      <c r="AB36" s="28"/>
      <c r="AC36" s="27">
        <f t="shared" si="13"/>
        <v>430</v>
      </c>
    </row>
    <row r="37" spans="1:29" s="25" customFormat="1" ht="14.25" customHeight="1" x14ac:dyDescent="0.2">
      <c r="A37" s="30">
        <v>23</v>
      </c>
      <c r="B37" s="29">
        <v>187403</v>
      </c>
      <c r="C37" s="31"/>
      <c r="D37" s="31"/>
      <c r="E37" s="31"/>
      <c r="F37" s="31"/>
      <c r="G37" s="31"/>
      <c r="H37" s="32"/>
      <c r="I37" s="31"/>
      <c r="J37" s="31"/>
      <c r="K37" s="31"/>
      <c r="L37" s="31"/>
      <c r="M37" s="32"/>
      <c r="N37" s="32"/>
      <c r="O37" s="32"/>
      <c r="P37" s="31"/>
      <c r="Q37" s="31"/>
      <c r="R37" s="32"/>
      <c r="S37" s="31"/>
      <c r="T37" s="31"/>
      <c r="U37" s="31"/>
      <c r="V37" s="32"/>
      <c r="W37" s="31"/>
      <c r="X37" s="31"/>
      <c r="Y37" s="31"/>
      <c r="Z37" s="31"/>
      <c r="AA37" s="31">
        <f t="shared" si="12"/>
        <v>0</v>
      </c>
      <c r="AB37" s="28"/>
      <c r="AC37" s="27">
        <f t="shared" si="13"/>
        <v>0</v>
      </c>
    </row>
    <row r="38" spans="1:29" s="25" customFormat="1" ht="14.25" customHeight="1" x14ac:dyDescent="0.2">
      <c r="A38" s="30">
        <v>24</v>
      </c>
      <c r="B38" s="29">
        <v>237858</v>
      </c>
      <c r="C38" s="31"/>
      <c r="D38" s="31">
        <v>100</v>
      </c>
      <c r="E38" s="31"/>
      <c r="F38" s="31"/>
      <c r="G38" s="31"/>
      <c r="H38" s="32"/>
      <c r="I38" s="31"/>
      <c r="J38" s="31"/>
      <c r="K38" s="31"/>
      <c r="L38" s="31"/>
      <c r="M38" s="32"/>
      <c r="N38" s="32"/>
      <c r="O38" s="32"/>
      <c r="P38" s="31"/>
      <c r="Q38" s="31"/>
      <c r="R38" s="32"/>
      <c r="S38" s="31"/>
      <c r="T38" s="31"/>
      <c r="U38" s="31"/>
      <c r="V38" s="32"/>
      <c r="W38" s="31"/>
      <c r="X38" s="31"/>
      <c r="Y38" s="31"/>
      <c r="Z38" s="31"/>
      <c r="AA38" s="31">
        <f t="shared" si="12"/>
        <v>100</v>
      </c>
      <c r="AB38" s="28"/>
      <c r="AC38" s="27">
        <f t="shared" si="13"/>
        <v>100</v>
      </c>
    </row>
    <row r="39" spans="1:29" s="25" customFormat="1" ht="14.25" customHeight="1" x14ac:dyDescent="0.2">
      <c r="A39" s="30">
        <v>25</v>
      </c>
      <c r="B39" s="29">
        <v>288312</v>
      </c>
      <c r="C39" s="31"/>
      <c r="D39" s="31"/>
      <c r="E39" s="31"/>
      <c r="F39" s="31"/>
      <c r="G39" s="31"/>
      <c r="H39" s="32"/>
      <c r="I39" s="31"/>
      <c r="J39" s="31"/>
      <c r="K39" s="31"/>
      <c r="L39" s="31"/>
      <c r="M39" s="32"/>
      <c r="N39" s="32"/>
      <c r="O39" s="32"/>
      <c r="P39" s="31"/>
      <c r="Q39" s="31"/>
      <c r="R39" s="32"/>
      <c r="S39" s="31"/>
      <c r="T39" s="31"/>
      <c r="U39" s="31"/>
      <c r="V39" s="32"/>
      <c r="W39" s="31"/>
      <c r="X39" s="31"/>
      <c r="Y39" s="31"/>
      <c r="Z39" s="31"/>
      <c r="AA39" s="31">
        <f t="shared" si="12"/>
        <v>0</v>
      </c>
      <c r="AB39" s="28"/>
      <c r="AC39" s="27">
        <f t="shared" si="13"/>
        <v>0</v>
      </c>
    </row>
    <row r="40" spans="1:29" s="25" customFormat="1" ht="19.5" customHeight="1" x14ac:dyDescent="0.2">
      <c r="A40" s="451" t="s">
        <v>39</v>
      </c>
      <c r="B40" s="451"/>
      <c r="C40" s="26">
        <f t="shared" ref="C40:AC40" si="14">C41+C42</f>
        <v>117</v>
      </c>
      <c r="D40" s="26">
        <f t="shared" si="14"/>
        <v>0</v>
      </c>
      <c r="E40" s="26">
        <f t="shared" si="14"/>
        <v>0</v>
      </c>
      <c r="F40" s="26">
        <f t="shared" si="14"/>
        <v>50</v>
      </c>
      <c r="G40" s="26">
        <f t="shared" si="14"/>
        <v>0</v>
      </c>
      <c r="H40" s="26">
        <f t="shared" si="14"/>
        <v>0</v>
      </c>
      <c r="I40" s="26">
        <f t="shared" si="14"/>
        <v>0</v>
      </c>
      <c r="J40" s="26">
        <f t="shared" si="14"/>
        <v>10</v>
      </c>
      <c r="K40" s="26">
        <v>65</v>
      </c>
      <c r="L40" s="26">
        <f t="shared" si="14"/>
        <v>0</v>
      </c>
      <c r="M40" s="26">
        <f t="shared" si="14"/>
        <v>0</v>
      </c>
      <c r="N40" s="26">
        <f t="shared" si="14"/>
        <v>0</v>
      </c>
      <c r="O40" s="26">
        <f t="shared" si="14"/>
        <v>100</v>
      </c>
      <c r="P40" s="26">
        <f t="shared" si="14"/>
        <v>0</v>
      </c>
      <c r="Q40" s="26">
        <v>0</v>
      </c>
      <c r="R40" s="26">
        <f t="shared" si="14"/>
        <v>0</v>
      </c>
      <c r="S40" s="26">
        <f t="shared" si="14"/>
        <v>0</v>
      </c>
      <c r="T40" s="26">
        <f t="shared" si="14"/>
        <v>0</v>
      </c>
      <c r="U40" s="26">
        <f t="shared" si="14"/>
        <v>0</v>
      </c>
      <c r="V40" s="26">
        <f t="shared" si="14"/>
        <v>0</v>
      </c>
      <c r="W40" s="26">
        <f t="shared" si="14"/>
        <v>0</v>
      </c>
      <c r="X40" s="26">
        <f t="shared" si="14"/>
        <v>0</v>
      </c>
      <c r="Y40" s="26">
        <f t="shared" si="14"/>
        <v>0</v>
      </c>
      <c r="Z40" s="26">
        <f t="shared" si="14"/>
        <v>0</v>
      </c>
      <c r="AA40" s="26">
        <f t="shared" si="14"/>
        <v>342</v>
      </c>
      <c r="AB40" s="26">
        <f t="shared" si="14"/>
        <v>0</v>
      </c>
      <c r="AC40" s="26">
        <f t="shared" si="14"/>
        <v>342</v>
      </c>
    </row>
    <row r="41" spans="1:29" s="25" customFormat="1" ht="15" customHeight="1" x14ac:dyDescent="0.2">
      <c r="A41" s="30">
        <v>26</v>
      </c>
      <c r="B41" s="29">
        <v>117835</v>
      </c>
      <c r="C41" s="31">
        <v>92</v>
      </c>
      <c r="D41" s="31"/>
      <c r="E41" s="31"/>
      <c r="F41" s="31">
        <f>20+16</f>
        <v>36</v>
      </c>
      <c r="G41" s="31"/>
      <c r="H41" s="31"/>
      <c r="I41" s="31"/>
      <c r="J41" s="31"/>
      <c r="K41" s="31">
        <v>25</v>
      </c>
      <c r="L41" s="31"/>
      <c r="M41" s="31"/>
      <c r="N41" s="31"/>
      <c r="O41" s="31">
        <v>55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>
        <f>J41+L41+V41+R41+N41+O41+P41+Q41+K41+W41+S41+T41+X41+M41+Y41+H41+C41+I41+D41+E41+G41+F41+Z41+U41</f>
        <v>208</v>
      </c>
      <c r="AB41" s="28"/>
      <c r="AC41" s="27">
        <f>AA41+AB41</f>
        <v>208</v>
      </c>
    </row>
    <row r="42" spans="1:29" s="25" customFormat="1" ht="15" customHeight="1" x14ac:dyDescent="0.2">
      <c r="A42" s="30">
        <v>27</v>
      </c>
      <c r="B42" s="29">
        <v>70282</v>
      </c>
      <c r="C42" s="31">
        <v>25</v>
      </c>
      <c r="D42" s="31"/>
      <c r="E42" s="31"/>
      <c r="F42" s="31">
        <f>30-16</f>
        <v>14</v>
      </c>
      <c r="G42" s="31"/>
      <c r="H42" s="31"/>
      <c r="I42" s="31"/>
      <c r="J42" s="31">
        <v>10</v>
      </c>
      <c r="K42" s="31">
        <v>40</v>
      </c>
      <c r="L42" s="31"/>
      <c r="M42" s="31"/>
      <c r="N42" s="31"/>
      <c r="O42" s="31">
        <v>45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>
        <f>J42+L42+V42+R42+N42+O42+P42+Q42+K42+W42+S42+T42+X42+M42+Y42+H42+C42+I42+D42+E42+G42+F42+Z42+U42</f>
        <v>134</v>
      </c>
      <c r="AB42" s="28"/>
      <c r="AC42" s="27">
        <f>AA42+AB42</f>
        <v>134</v>
      </c>
    </row>
    <row r="43" spans="1:29" s="25" customFormat="1" ht="19.5" customHeight="1" x14ac:dyDescent="0.2">
      <c r="A43" s="451" t="s">
        <v>38</v>
      </c>
      <c r="B43" s="451"/>
      <c r="C43" s="26">
        <f t="shared" ref="C43:AC43" si="15">C44+C45</f>
        <v>0</v>
      </c>
      <c r="D43" s="26">
        <f t="shared" si="15"/>
        <v>0</v>
      </c>
      <c r="E43" s="26">
        <f t="shared" si="15"/>
        <v>0</v>
      </c>
      <c r="F43" s="26">
        <f t="shared" si="15"/>
        <v>67</v>
      </c>
      <c r="G43" s="26">
        <f t="shared" si="15"/>
        <v>0</v>
      </c>
      <c r="H43" s="26">
        <f t="shared" si="15"/>
        <v>0</v>
      </c>
      <c r="I43" s="26">
        <f t="shared" si="15"/>
        <v>0</v>
      </c>
      <c r="J43" s="26">
        <f t="shared" si="15"/>
        <v>0</v>
      </c>
      <c r="K43" s="26">
        <v>0</v>
      </c>
      <c r="L43" s="26">
        <f t="shared" si="15"/>
        <v>200</v>
      </c>
      <c r="M43" s="26">
        <f t="shared" si="15"/>
        <v>2400</v>
      </c>
      <c r="N43" s="26">
        <f t="shared" si="15"/>
        <v>200</v>
      </c>
      <c r="O43" s="26">
        <f t="shared" si="15"/>
        <v>0</v>
      </c>
      <c r="P43" s="26">
        <f t="shared" si="15"/>
        <v>0</v>
      </c>
      <c r="Q43" s="26">
        <v>0</v>
      </c>
      <c r="R43" s="26">
        <f t="shared" si="15"/>
        <v>0</v>
      </c>
      <c r="S43" s="26">
        <f t="shared" si="15"/>
        <v>0</v>
      </c>
      <c r="T43" s="26">
        <f t="shared" si="15"/>
        <v>0</v>
      </c>
      <c r="U43" s="26">
        <f t="shared" si="15"/>
        <v>0</v>
      </c>
      <c r="V43" s="26">
        <f t="shared" si="15"/>
        <v>0</v>
      </c>
      <c r="W43" s="26">
        <f t="shared" si="15"/>
        <v>0</v>
      </c>
      <c r="X43" s="26">
        <f t="shared" si="15"/>
        <v>0</v>
      </c>
      <c r="Y43" s="26">
        <f t="shared" si="15"/>
        <v>0</v>
      </c>
      <c r="Z43" s="26">
        <f t="shared" si="15"/>
        <v>0</v>
      </c>
      <c r="AA43" s="26">
        <f t="shared" si="15"/>
        <v>2867</v>
      </c>
      <c r="AB43" s="26">
        <f t="shared" si="15"/>
        <v>0</v>
      </c>
      <c r="AC43" s="26">
        <f t="shared" si="15"/>
        <v>2867</v>
      </c>
    </row>
    <row r="44" spans="1:29" s="25" customFormat="1" ht="14.25" customHeight="1" x14ac:dyDescent="0.2">
      <c r="A44" s="30">
        <v>28</v>
      </c>
      <c r="B44" s="29">
        <v>73817</v>
      </c>
      <c r="C44" s="31"/>
      <c r="D44" s="31"/>
      <c r="E44" s="31"/>
      <c r="F44" s="31">
        <f>60+7</f>
        <v>67</v>
      </c>
      <c r="G44" s="31"/>
      <c r="H44" s="31"/>
      <c r="I44" s="31"/>
      <c r="J44" s="31"/>
      <c r="K44" s="31"/>
      <c r="L44" s="31">
        <v>190</v>
      </c>
      <c r="M44" s="31">
        <v>2380</v>
      </c>
      <c r="N44" s="31">
        <v>200</v>
      </c>
      <c r="O44" s="31"/>
      <c r="P44" s="31"/>
      <c r="Q44" s="31"/>
      <c r="R44" s="31"/>
      <c r="S44" s="31"/>
      <c r="T44" s="27"/>
      <c r="U44" s="27"/>
      <c r="V44" s="31"/>
      <c r="W44" s="31"/>
      <c r="X44" s="31"/>
      <c r="Y44" s="31"/>
      <c r="Z44" s="31"/>
      <c r="AA44" s="27">
        <f>J44+L44+V44+R44+N44+O44+P44+Q44+K44+W44+S44+T44+X44+M44+Y44+H44+C44+I44+D44+E44+G44+F44+Z44+U44</f>
        <v>2837</v>
      </c>
      <c r="AB44" s="28"/>
      <c r="AC44" s="27">
        <f>AA44+AB44</f>
        <v>2837</v>
      </c>
    </row>
    <row r="45" spans="1:29" s="25" customFormat="1" ht="14.25" customHeight="1" x14ac:dyDescent="0.2">
      <c r="A45" s="30">
        <v>29</v>
      </c>
      <c r="B45" s="29">
        <v>90954</v>
      </c>
      <c r="C45" s="31"/>
      <c r="D45" s="31"/>
      <c r="E45" s="31"/>
      <c r="F45" s="31"/>
      <c r="G45" s="31"/>
      <c r="H45" s="31"/>
      <c r="I45" s="31"/>
      <c r="J45" s="31"/>
      <c r="K45" s="31"/>
      <c r="L45" s="31">
        <v>10</v>
      </c>
      <c r="M45" s="31">
        <v>20</v>
      </c>
      <c r="N45" s="31"/>
      <c r="O45" s="31"/>
      <c r="P45" s="31"/>
      <c r="Q45" s="31"/>
      <c r="R45" s="31"/>
      <c r="S45" s="31"/>
      <c r="T45" s="27"/>
      <c r="U45" s="27"/>
      <c r="V45" s="31"/>
      <c r="W45" s="31"/>
      <c r="X45" s="31"/>
      <c r="Y45" s="31"/>
      <c r="Z45" s="31"/>
      <c r="AA45" s="27">
        <f>J45+L45+V45+R45+N45+O45+P45+Q45+K45+W45+S45+T45+X45+M45+Y45+H45+C45+I45+D45+E45+G45+F45+Z45+U45</f>
        <v>30</v>
      </c>
      <c r="AB45" s="28"/>
      <c r="AC45" s="27">
        <f>AA45+AB45</f>
        <v>30</v>
      </c>
    </row>
    <row r="46" spans="1:29" s="25" customFormat="1" ht="18.75" customHeight="1" x14ac:dyDescent="0.2">
      <c r="A46" s="448" t="s">
        <v>37</v>
      </c>
      <c r="B46" s="449"/>
      <c r="C46" s="26">
        <f t="shared" ref="C46:AC46" si="16">C47+C48+C49</f>
        <v>0</v>
      </c>
      <c r="D46" s="26">
        <f t="shared" si="16"/>
        <v>0</v>
      </c>
      <c r="E46" s="26">
        <f t="shared" si="16"/>
        <v>0</v>
      </c>
      <c r="F46" s="26">
        <f t="shared" si="16"/>
        <v>38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38</v>
      </c>
      <c r="AB46" s="26">
        <f t="shared" si="16"/>
        <v>0</v>
      </c>
      <c r="AC46" s="26">
        <f t="shared" si="16"/>
        <v>38</v>
      </c>
    </row>
    <row r="47" spans="1:29" s="25" customFormat="1" ht="15" customHeight="1" x14ac:dyDescent="0.2">
      <c r="A47" s="30">
        <v>30</v>
      </c>
      <c r="B47" s="29">
        <v>85552</v>
      </c>
      <c r="C47" s="27"/>
      <c r="D47" s="27"/>
      <c r="E47" s="27"/>
      <c r="F47" s="27">
        <f>5-4</f>
        <v>1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31"/>
      <c r="U47" s="31"/>
      <c r="V47" s="31"/>
      <c r="W47" s="31"/>
      <c r="X47" s="27"/>
      <c r="Y47" s="27"/>
      <c r="Z47" s="27"/>
      <c r="AA47" s="27">
        <f>J47+L47+V47+R47+N47+O47+P47+Q47+K47+W47+S47+T47+X47+M47+Y47+H47+C47+I47+D47+E47+G47+F47+Z47+U47</f>
        <v>1</v>
      </c>
      <c r="AB47" s="28"/>
      <c r="AC47" s="27">
        <f>AA47+AB47</f>
        <v>1</v>
      </c>
    </row>
    <row r="48" spans="1:29" s="25" customFormat="1" ht="13.5" customHeight="1" x14ac:dyDescent="0.2">
      <c r="A48" s="30">
        <v>31</v>
      </c>
      <c r="B48" s="29">
        <v>176445</v>
      </c>
      <c r="C48" s="31"/>
      <c r="D48" s="31"/>
      <c r="E48" s="31"/>
      <c r="F48" s="31">
        <v>37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27">
        <f>J48+L48+V48+R48+N48+O48+P48+Q48+K48+W48+S48+T48+X48+M48+Y48+H48+C48+I48+D48+E48+G48+F48+Z48+U48</f>
        <v>37</v>
      </c>
      <c r="AB48" s="28"/>
      <c r="AC48" s="27">
        <f>AA48+AB48</f>
        <v>37</v>
      </c>
    </row>
    <row r="49" spans="1:29" s="25" customFormat="1" ht="15" customHeight="1" x14ac:dyDescent="0.2">
      <c r="A49" s="33">
        <v>32</v>
      </c>
      <c r="B49" s="35">
        <v>101946</v>
      </c>
      <c r="C49" s="41"/>
      <c r="D49" s="41"/>
      <c r="E49" s="41"/>
      <c r="F49" s="41"/>
      <c r="G49" s="41"/>
      <c r="H49" s="42"/>
      <c r="I49" s="41"/>
      <c r="J49" s="41"/>
      <c r="K49" s="41"/>
      <c r="L49" s="42"/>
      <c r="M49" s="42"/>
      <c r="N49" s="42"/>
      <c r="O49" s="42"/>
      <c r="P49" s="41"/>
      <c r="Q49" s="41"/>
      <c r="R49" s="42"/>
      <c r="S49" s="41"/>
      <c r="T49" s="31"/>
      <c r="U49" s="31"/>
      <c r="V49" s="32"/>
      <c r="W49" s="31"/>
      <c r="X49" s="41"/>
      <c r="Y49" s="41"/>
      <c r="Z49" s="41"/>
      <c r="AA49" s="27">
        <f>J49+L49+V49+R49+N49+O49+P49+Q49+K49+W49+S49+T49+X49+M49+Y49+H49+C49+I49+D49+E49+G49+F49+Z49+U49</f>
        <v>0</v>
      </c>
      <c r="AB49" s="28"/>
      <c r="AC49" s="27">
        <f>AA49+AB49</f>
        <v>0</v>
      </c>
    </row>
    <row r="50" spans="1:29" s="25" customFormat="1" ht="17.25" customHeight="1" x14ac:dyDescent="0.2">
      <c r="A50" s="448" t="s">
        <v>36</v>
      </c>
      <c r="B50" s="449"/>
      <c r="C50" s="26">
        <f t="shared" ref="C50:AC50" si="17">C51</f>
        <v>173</v>
      </c>
      <c r="D50" s="26">
        <f t="shared" si="17"/>
        <v>0</v>
      </c>
      <c r="E50" s="26">
        <f t="shared" si="17"/>
        <v>0</v>
      </c>
      <c r="F50" s="26">
        <f t="shared" si="17"/>
        <v>0</v>
      </c>
      <c r="G50" s="26">
        <f t="shared" si="17"/>
        <v>0</v>
      </c>
      <c r="H50" s="26">
        <f t="shared" si="17"/>
        <v>0</v>
      </c>
      <c r="I50" s="26">
        <f t="shared" si="17"/>
        <v>0</v>
      </c>
      <c r="J50" s="26">
        <f t="shared" si="17"/>
        <v>0</v>
      </c>
      <c r="K50" s="26">
        <v>0</v>
      </c>
      <c r="L50" s="26">
        <f t="shared" si="17"/>
        <v>0</v>
      </c>
      <c r="M50" s="26">
        <f t="shared" si="17"/>
        <v>0</v>
      </c>
      <c r="N50" s="26">
        <f t="shared" si="17"/>
        <v>0</v>
      </c>
      <c r="O50" s="26">
        <f t="shared" si="17"/>
        <v>134</v>
      </c>
      <c r="P50" s="26">
        <f t="shared" si="17"/>
        <v>0</v>
      </c>
      <c r="Q50" s="26">
        <v>0</v>
      </c>
      <c r="R50" s="26">
        <f t="shared" si="17"/>
        <v>0</v>
      </c>
      <c r="S50" s="26">
        <f t="shared" si="17"/>
        <v>0</v>
      </c>
      <c r="T50" s="26">
        <f t="shared" si="17"/>
        <v>0</v>
      </c>
      <c r="U50" s="26">
        <f t="shared" si="17"/>
        <v>0</v>
      </c>
      <c r="V50" s="26">
        <f t="shared" si="17"/>
        <v>0</v>
      </c>
      <c r="W50" s="26">
        <f t="shared" si="17"/>
        <v>60</v>
      </c>
      <c r="X50" s="26">
        <f t="shared" si="17"/>
        <v>0</v>
      </c>
      <c r="Y50" s="26">
        <f t="shared" si="17"/>
        <v>0</v>
      </c>
      <c r="Z50" s="26">
        <f t="shared" si="17"/>
        <v>54</v>
      </c>
      <c r="AA50" s="26">
        <f t="shared" si="17"/>
        <v>421</v>
      </c>
      <c r="AB50" s="26">
        <f t="shared" si="17"/>
        <v>0</v>
      </c>
      <c r="AC50" s="26">
        <f t="shared" si="17"/>
        <v>421</v>
      </c>
    </row>
    <row r="51" spans="1:29" s="25" customFormat="1" ht="14.25" customHeight="1" x14ac:dyDescent="0.2">
      <c r="A51" s="40">
        <v>33</v>
      </c>
      <c r="B51" s="39">
        <v>136459</v>
      </c>
      <c r="C51" s="27">
        <f>200-34+7</f>
        <v>173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>
        <f>100+34</f>
        <v>134</v>
      </c>
      <c r="P51" s="27"/>
      <c r="Q51" s="27"/>
      <c r="R51" s="27"/>
      <c r="S51" s="27"/>
      <c r="T51" s="31"/>
      <c r="U51" s="31"/>
      <c r="V51" s="31"/>
      <c r="W51" s="31">
        <v>60</v>
      </c>
      <c r="X51" s="27"/>
      <c r="Y51" s="27"/>
      <c r="Z51" s="27">
        <f>40+14</f>
        <v>54</v>
      </c>
      <c r="AA51" s="27">
        <f>J51+L51+V51+R51+N51+O51+P51+Q51+K51+W51+S51+T51+X51+M51+Y51+H51+C51+I51+D51+E51+G51+F51+Z51+U51</f>
        <v>421</v>
      </c>
      <c r="AB51" s="28"/>
      <c r="AC51" s="27">
        <f>AA51+AB51</f>
        <v>421</v>
      </c>
    </row>
    <row r="52" spans="1:29" s="25" customFormat="1" ht="26.25" customHeight="1" x14ac:dyDescent="0.2">
      <c r="A52" s="448" t="s">
        <v>35</v>
      </c>
      <c r="B52" s="449"/>
      <c r="C52" s="26">
        <f t="shared" ref="C52:AC52" si="18">SUM(C53:C63)</f>
        <v>323</v>
      </c>
      <c r="D52" s="26">
        <f t="shared" si="18"/>
        <v>0</v>
      </c>
      <c r="E52" s="26">
        <f t="shared" si="18"/>
        <v>3435</v>
      </c>
      <c r="F52" s="26">
        <f t="shared" si="18"/>
        <v>0</v>
      </c>
      <c r="G52" s="26">
        <f t="shared" si="18"/>
        <v>0</v>
      </c>
      <c r="H52" s="26">
        <f t="shared" si="18"/>
        <v>0</v>
      </c>
      <c r="I52" s="26">
        <f t="shared" si="18"/>
        <v>0</v>
      </c>
      <c r="J52" s="26">
        <f t="shared" si="18"/>
        <v>764</v>
      </c>
      <c r="K52" s="26">
        <v>575</v>
      </c>
      <c r="L52" s="26">
        <f t="shared" si="18"/>
        <v>0</v>
      </c>
      <c r="M52" s="26">
        <f t="shared" si="18"/>
        <v>0</v>
      </c>
      <c r="N52" s="26">
        <f t="shared" si="18"/>
        <v>0</v>
      </c>
      <c r="O52" s="26">
        <f t="shared" si="18"/>
        <v>0</v>
      </c>
      <c r="P52" s="26">
        <f t="shared" si="18"/>
        <v>0</v>
      </c>
      <c r="Q52" s="26">
        <v>246</v>
      </c>
      <c r="R52" s="26">
        <f t="shared" si="18"/>
        <v>0</v>
      </c>
      <c r="S52" s="26">
        <f t="shared" si="18"/>
        <v>222</v>
      </c>
      <c r="T52" s="26">
        <f t="shared" si="18"/>
        <v>0</v>
      </c>
      <c r="U52" s="26">
        <f t="shared" si="18"/>
        <v>162</v>
      </c>
      <c r="V52" s="26">
        <f t="shared" si="18"/>
        <v>0</v>
      </c>
      <c r="W52" s="26">
        <f t="shared" si="18"/>
        <v>313</v>
      </c>
      <c r="X52" s="26">
        <f t="shared" si="18"/>
        <v>257</v>
      </c>
      <c r="Y52" s="26">
        <f t="shared" si="18"/>
        <v>0</v>
      </c>
      <c r="Z52" s="26">
        <f t="shared" si="18"/>
        <v>596</v>
      </c>
      <c r="AA52" s="26">
        <f t="shared" si="18"/>
        <v>6893</v>
      </c>
      <c r="AB52" s="26">
        <f t="shared" si="18"/>
        <v>50</v>
      </c>
      <c r="AC52" s="26">
        <f t="shared" si="18"/>
        <v>6943</v>
      </c>
    </row>
    <row r="53" spans="1:29" s="25" customFormat="1" ht="14.25" customHeight="1" x14ac:dyDescent="0.2">
      <c r="A53" s="30">
        <v>34</v>
      </c>
      <c r="B53" s="29">
        <v>176179</v>
      </c>
      <c r="C53" s="36">
        <v>41</v>
      </c>
      <c r="D53" s="36"/>
      <c r="E53" s="36">
        <f>339+24</f>
        <v>363</v>
      </c>
      <c r="F53" s="36"/>
      <c r="G53" s="36"/>
      <c r="H53" s="38"/>
      <c r="I53" s="36"/>
      <c r="J53" s="36">
        <v>253</v>
      </c>
      <c r="K53" s="36">
        <v>254</v>
      </c>
      <c r="L53" s="38"/>
      <c r="M53" s="38"/>
      <c r="N53" s="38"/>
      <c r="O53" s="38"/>
      <c r="P53" s="36"/>
      <c r="Q53" s="36">
        <v>10</v>
      </c>
      <c r="R53" s="38"/>
      <c r="S53" s="36">
        <f>85-47</f>
        <v>38</v>
      </c>
      <c r="T53" s="31"/>
      <c r="U53" s="31">
        <f>20+20</f>
        <v>40</v>
      </c>
      <c r="V53" s="32"/>
      <c r="W53" s="31">
        <f>233-12-14</f>
        <v>207</v>
      </c>
      <c r="X53" s="36">
        <f>80+12+3+14</f>
        <v>109</v>
      </c>
      <c r="Y53" s="36"/>
      <c r="Z53" s="36">
        <f>105-1</f>
        <v>104</v>
      </c>
      <c r="AA53" s="27">
        <f t="shared" ref="AA53:AA63" si="19">J53+L53+V53+R53+N53+O53+P53+Q53+K53+W53+S53+T53+X53+M53+Y53+H53+C53+I53+D53+E53+G53+F53+Z53+U53</f>
        <v>1419</v>
      </c>
      <c r="AB53" s="37">
        <v>10</v>
      </c>
      <c r="AC53" s="27">
        <f t="shared" ref="AC53:AC63" si="20">AA53+AB53</f>
        <v>1429</v>
      </c>
    </row>
    <row r="54" spans="1:29" s="25" customFormat="1" ht="14.25" customHeight="1" x14ac:dyDescent="0.2">
      <c r="A54" s="30">
        <v>35</v>
      </c>
      <c r="B54" s="29">
        <v>242246</v>
      </c>
      <c r="C54" s="31">
        <v>50</v>
      </c>
      <c r="D54" s="31"/>
      <c r="E54" s="31">
        <f>139+15</f>
        <v>154</v>
      </c>
      <c r="F54" s="31"/>
      <c r="G54" s="31"/>
      <c r="H54" s="31"/>
      <c r="I54" s="31"/>
      <c r="J54" s="31">
        <v>80</v>
      </c>
      <c r="K54" s="31">
        <v>78</v>
      </c>
      <c r="L54" s="31"/>
      <c r="M54" s="31"/>
      <c r="N54" s="31"/>
      <c r="O54" s="31"/>
      <c r="P54" s="31"/>
      <c r="Q54" s="31">
        <v>10</v>
      </c>
      <c r="R54" s="31"/>
      <c r="S54" s="31">
        <f>95-62</f>
        <v>33</v>
      </c>
      <c r="T54" s="31"/>
      <c r="U54" s="31">
        <f>10+10</f>
        <v>20</v>
      </c>
      <c r="V54" s="31"/>
      <c r="W54" s="31">
        <f>25-5-6</f>
        <v>14</v>
      </c>
      <c r="X54" s="31">
        <f>47+5+1</f>
        <v>53</v>
      </c>
      <c r="Y54" s="31"/>
      <c r="Z54" s="36">
        <f>38</f>
        <v>38</v>
      </c>
      <c r="AA54" s="27">
        <f t="shared" si="19"/>
        <v>530</v>
      </c>
      <c r="AB54" s="37">
        <v>15</v>
      </c>
      <c r="AC54" s="27">
        <f t="shared" si="20"/>
        <v>545</v>
      </c>
    </row>
    <row r="55" spans="1:29" s="25" customFormat="1" ht="14.25" customHeight="1" x14ac:dyDescent="0.2">
      <c r="A55" s="30">
        <v>36</v>
      </c>
      <c r="B55" s="29">
        <v>308314</v>
      </c>
      <c r="C55" s="31">
        <v>11</v>
      </c>
      <c r="D55" s="31"/>
      <c r="E55" s="31">
        <f>39+15+17</f>
        <v>71</v>
      </c>
      <c r="F55" s="31"/>
      <c r="G55" s="31"/>
      <c r="H55" s="32"/>
      <c r="I55" s="31"/>
      <c r="J55" s="31">
        <v>18</v>
      </c>
      <c r="K55" s="31">
        <v>9</v>
      </c>
      <c r="L55" s="32"/>
      <c r="M55" s="32"/>
      <c r="N55" s="32"/>
      <c r="O55" s="32"/>
      <c r="P55" s="31"/>
      <c r="Q55" s="31">
        <v>47</v>
      </c>
      <c r="R55" s="32"/>
      <c r="S55" s="31">
        <f>33-13-14</f>
        <v>6</v>
      </c>
      <c r="T55" s="27"/>
      <c r="U55" s="27">
        <f>3</f>
        <v>3</v>
      </c>
      <c r="V55" s="32"/>
      <c r="W55" s="31">
        <f>2-1</f>
        <v>1</v>
      </c>
      <c r="X55" s="31">
        <f>22+4</f>
        <v>26</v>
      </c>
      <c r="Y55" s="31"/>
      <c r="Z55" s="36">
        <f>10</f>
        <v>10</v>
      </c>
      <c r="AA55" s="27">
        <f t="shared" si="19"/>
        <v>202</v>
      </c>
      <c r="AB55" s="37"/>
      <c r="AC55" s="27">
        <f t="shared" si="20"/>
        <v>202</v>
      </c>
    </row>
    <row r="56" spans="1:29" s="25" customFormat="1" ht="14.25" customHeight="1" x14ac:dyDescent="0.2">
      <c r="A56" s="30">
        <v>37</v>
      </c>
      <c r="B56" s="29">
        <v>157415</v>
      </c>
      <c r="C56" s="31">
        <v>118</v>
      </c>
      <c r="D56" s="31"/>
      <c r="E56" s="31">
        <f>680-65-100</f>
        <v>515</v>
      </c>
      <c r="F56" s="31"/>
      <c r="G56" s="31"/>
      <c r="H56" s="32"/>
      <c r="I56" s="31"/>
      <c r="J56" s="31">
        <f>279-5</f>
        <v>274</v>
      </c>
      <c r="K56" s="31">
        <v>192</v>
      </c>
      <c r="L56" s="32"/>
      <c r="M56" s="32"/>
      <c r="N56" s="32"/>
      <c r="O56" s="32"/>
      <c r="P56" s="31"/>
      <c r="Q56" s="31">
        <v>20</v>
      </c>
      <c r="R56" s="32"/>
      <c r="S56" s="31">
        <f>0+47-1+19</f>
        <v>65</v>
      </c>
      <c r="T56" s="27"/>
      <c r="U56" s="27">
        <f>70</f>
        <v>70</v>
      </c>
      <c r="V56" s="32"/>
      <c r="W56" s="31">
        <f>95-3-8</f>
        <v>84</v>
      </c>
      <c r="X56" s="31">
        <f>20+3+8</f>
        <v>31</v>
      </c>
      <c r="Y56" s="31"/>
      <c r="Z56" s="36">
        <f>239</f>
        <v>239</v>
      </c>
      <c r="AA56" s="27">
        <f t="shared" si="19"/>
        <v>1608</v>
      </c>
      <c r="AB56" s="37">
        <v>10</v>
      </c>
      <c r="AC56" s="27">
        <f t="shared" si="20"/>
        <v>1618</v>
      </c>
    </row>
    <row r="57" spans="1:29" s="25" customFormat="1" ht="14.25" customHeight="1" x14ac:dyDescent="0.2">
      <c r="A57" s="30">
        <v>38</v>
      </c>
      <c r="B57" s="29">
        <v>216447</v>
      </c>
      <c r="C57" s="31">
        <v>72</v>
      </c>
      <c r="D57" s="31"/>
      <c r="E57" s="31">
        <f>239-35</f>
        <v>204</v>
      </c>
      <c r="F57" s="31"/>
      <c r="G57" s="31"/>
      <c r="H57" s="31"/>
      <c r="I57" s="31"/>
      <c r="J57" s="31">
        <v>74</v>
      </c>
      <c r="K57" s="31">
        <v>36</v>
      </c>
      <c r="L57" s="31"/>
      <c r="M57" s="31"/>
      <c r="N57" s="31"/>
      <c r="O57" s="31"/>
      <c r="P57" s="31"/>
      <c r="Q57" s="31">
        <v>72</v>
      </c>
      <c r="R57" s="31"/>
      <c r="S57" s="31">
        <f>0+62</f>
        <v>62</v>
      </c>
      <c r="T57" s="27"/>
      <c r="U57" s="27">
        <f>20</f>
        <v>20</v>
      </c>
      <c r="V57" s="31"/>
      <c r="W57" s="31">
        <f>10-3</f>
        <v>7</v>
      </c>
      <c r="X57" s="31">
        <f>23+5</f>
        <v>28</v>
      </c>
      <c r="Y57" s="31"/>
      <c r="Z57" s="36">
        <v>48</v>
      </c>
      <c r="AA57" s="27">
        <f t="shared" si="19"/>
        <v>623</v>
      </c>
      <c r="AB57" s="37">
        <v>15</v>
      </c>
      <c r="AC57" s="27">
        <f t="shared" si="20"/>
        <v>638</v>
      </c>
    </row>
    <row r="58" spans="1:29" s="25" customFormat="1" ht="14.25" customHeight="1" x14ac:dyDescent="0.2">
      <c r="A58" s="30">
        <v>39</v>
      </c>
      <c r="B58" s="29">
        <v>275478</v>
      </c>
      <c r="C58" s="31">
        <v>31</v>
      </c>
      <c r="D58" s="31"/>
      <c r="E58" s="31">
        <f>74+8</f>
        <v>82</v>
      </c>
      <c r="F58" s="31"/>
      <c r="G58" s="31"/>
      <c r="H58" s="31"/>
      <c r="I58" s="31"/>
      <c r="J58" s="31">
        <f>40-5</f>
        <v>35</v>
      </c>
      <c r="K58" s="31">
        <v>6</v>
      </c>
      <c r="L58" s="31"/>
      <c r="M58" s="31"/>
      <c r="N58" s="31"/>
      <c r="O58" s="31"/>
      <c r="P58" s="31"/>
      <c r="Q58" s="31">
        <v>57</v>
      </c>
      <c r="R58" s="31"/>
      <c r="S58" s="31">
        <f>0+13+4</f>
        <v>17</v>
      </c>
      <c r="T58" s="27"/>
      <c r="U58" s="27">
        <f>10-1</f>
        <v>9</v>
      </c>
      <c r="V58" s="31"/>
      <c r="W58" s="31"/>
      <c r="X58" s="31">
        <f>10</f>
        <v>10</v>
      </c>
      <c r="Y58" s="31"/>
      <c r="Z58" s="36">
        <f>10</f>
        <v>10</v>
      </c>
      <c r="AA58" s="27">
        <f t="shared" si="19"/>
        <v>257</v>
      </c>
      <c r="AB58" s="37"/>
      <c r="AC58" s="27">
        <f t="shared" si="20"/>
        <v>257</v>
      </c>
    </row>
    <row r="59" spans="1:29" s="25" customFormat="1" ht="14.25" customHeight="1" x14ac:dyDescent="0.2">
      <c r="A59" s="30">
        <v>40</v>
      </c>
      <c r="B59" s="29">
        <v>261888</v>
      </c>
      <c r="C59" s="31"/>
      <c r="D59" s="31"/>
      <c r="E59" s="31">
        <f>391+180+171</f>
        <v>742</v>
      </c>
      <c r="F59" s="31"/>
      <c r="G59" s="31"/>
      <c r="H59" s="32"/>
      <c r="I59" s="31"/>
      <c r="J59" s="31">
        <f>20+10</f>
        <v>30</v>
      </c>
      <c r="K59" s="31"/>
      <c r="L59" s="32"/>
      <c r="M59" s="32"/>
      <c r="N59" s="32"/>
      <c r="O59" s="32"/>
      <c r="P59" s="31"/>
      <c r="Q59" s="31"/>
      <c r="R59" s="32"/>
      <c r="S59" s="31"/>
      <c r="T59" s="27"/>
      <c r="U59" s="27"/>
      <c r="V59" s="32"/>
      <c r="W59" s="31"/>
      <c r="X59" s="31"/>
      <c r="Y59" s="31"/>
      <c r="Z59" s="36"/>
      <c r="AA59" s="27">
        <f t="shared" si="19"/>
        <v>772</v>
      </c>
      <c r="AB59" s="28"/>
      <c r="AC59" s="27">
        <f t="shared" si="20"/>
        <v>772</v>
      </c>
    </row>
    <row r="60" spans="1:29" s="25" customFormat="1" ht="14.25" customHeight="1" x14ac:dyDescent="0.2">
      <c r="A60" s="30">
        <v>41</v>
      </c>
      <c r="B60" s="29">
        <v>145264</v>
      </c>
      <c r="C60" s="31"/>
      <c r="D60" s="31"/>
      <c r="E60" s="31">
        <f>300</f>
        <v>300</v>
      </c>
      <c r="F60" s="31"/>
      <c r="G60" s="31"/>
      <c r="H60" s="32"/>
      <c r="I60" s="31"/>
      <c r="J60" s="31"/>
      <c r="K60" s="31"/>
      <c r="L60" s="32"/>
      <c r="M60" s="32"/>
      <c r="N60" s="32"/>
      <c r="O60" s="32"/>
      <c r="P60" s="31"/>
      <c r="Q60" s="31">
        <v>20</v>
      </c>
      <c r="R60" s="32"/>
      <c r="S60" s="31">
        <f>0+1</f>
        <v>1</v>
      </c>
      <c r="T60" s="27"/>
      <c r="U60" s="27"/>
      <c r="V60" s="32"/>
      <c r="W60" s="31"/>
      <c r="X60" s="31"/>
      <c r="Y60" s="31"/>
      <c r="Z60" s="36">
        <v>7</v>
      </c>
      <c r="AA60" s="27">
        <f t="shared" si="19"/>
        <v>328</v>
      </c>
      <c r="AB60" s="28"/>
      <c r="AC60" s="27">
        <f t="shared" si="20"/>
        <v>328</v>
      </c>
    </row>
    <row r="61" spans="1:29" s="25" customFormat="1" ht="14.25" customHeight="1" x14ac:dyDescent="0.2">
      <c r="A61" s="30">
        <v>42</v>
      </c>
      <c r="B61" s="29">
        <v>267275</v>
      </c>
      <c r="C61" s="31"/>
      <c r="D61" s="31"/>
      <c r="E61" s="31">
        <v>2</v>
      </c>
      <c r="F61" s="31"/>
      <c r="G61" s="31"/>
      <c r="H61" s="32"/>
      <c r="I61" s="31"/>
      <c r="J61" s="31"/>
      <c r="K61" s="31"/>
      <c r="L61" s="32"/>
      <c r="M61" s="32"/>
      <c r="N61" s="32"/>
      <c r="O61" s="32"/>
      <c r="P61" s="31"/>
      <c r="Q61" s="31"/>
      <c r="R61" s="32"/>
      <c r="S61" s="31"/>
      <c r="T61" s="27"/>
      <c r="U61" s="27"/>
      <c r="V61" s="32"/>
      <c r="W61" s="31"/>
      <c r="X61" s="31"/>
      <c r="Y61" s="31"/>
      <c r="Z61" s="36"/>
      <c r="AA61" s="27">
        <f t="shared" si="19"/>
        <v>2</v>
      </c>
      <c r="AB61" s="28"/>
      <c r="AC61" s="27">
        <f t="shared" si="20"/>
        <v>2</v>
      </c>
    </row>
    <row r="62" spans="1:29" s="25" customFormat="1" ht="14.25" customHeight="1" x14ac:dyDescent="0.2">
      <c r="A62" s="30">
        <v>43</v>
      </c>
      <c r="B62" s="29">
        <v>242490</v>
      </c>
      <c r="C62" s="31"/>
      <c r="D62" s="31"/>
      <c r="E62" s="31">
        <f>810-130</f>
        <v>680</v>
      </c>
      <c r="F62" s="31"/>
      <c r="G62" s="31"/>
      <c r="H62" s="32"/>
      <c r="I62" s="31"/>
      <c r="J62" s="31"/>
      <c r="K62" s="31"/>
      <c r="L62" s="32"/>
      <c r="M62" s="32"/>
      <c r="N62" s="32"/>
      <c r="O62" s="32"/>
      <c r="P62" s="31"/>
      <c r="Q62" s="31">
        <v>10</v>
      </c>
      <c r="R62" s="32"/>
      <c r="S62" s="31"/>
      <c r="T62" s="27"/>
      <c r="U62" s="27"/>
      <c r="V62" s="32"/>
      <c r="W62" s="31"/>
      <c r="X62" s="31"/>
      <c r="Y62" s="31"/>
      <c r="Z62" s="36">
        <v>7</v>
      </c>
      <c r="AA62" s="27">
        <f t="shared" si="19"/>
        <v>697</v>
      </c>
      <c r="AB62" s="28"/>
      <c r="AC62" s="27">
        <f t="shared" si="20"/>
        <v>697</v>
      </c>
    </row>
    <row r="63" spans="1:29" s="25" customFormat="1" ht="14.25" customHeight="1" x14ac:dyDescent="0.2">
      <c r="A63" s="30">
        <v>44</v>
      </c>
      <c r="B63" s="29">
        <v>367819</v>
      </c>
      <c r="C63" s="27"/>
      <c r="D63" s="27"/>
      <c r="E63" s="27">
        <f>422-100</f>
        <v>322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36">
        <f>86+24+23</f>
        <v>133</v>
      </c>
      <c r="AA63" s="27">
        <f t="shared" si="19"/>
        <v>455</v>
      </c>
      <c r="AB63" s="28"/>
      <c r="AC63" s="27">
        <f t="shared" si="20"/>
        <v>455</v>
      </c>
    </row>
    <row r="64" spans="1:29" s="25" customFormat="1" ht="19.5" customHeight="1" x14ac:dyDescent="0.2">
      <c r="A64" s="448" t="s">
        <v>34</v>
      </c>
      <c r="B64" s="449"/>
      <c r="C64" s="26">
        <f t="shared" ref="C64:AC64" si="21">C65+C66</f>
        <v>20</v>
      </c>
      <c r="D64" s="26">
        <f t="shared" si="21"/>
        <v>0</v>
      </c>
      <c r="E64" s="26">
        <f t="shared" si="21"/>
        <v>0</v>
      </c>
      <c r="F64" s="26">
        <f t="shared" si="21"/>
        <v>0</v>
      </c>
      <c r="G64" s="26">
        <f t="shared" si="21"/>
        <v>0</v>
      </c>
      <c r="H64" s="26">
        <f t="shared" si="21"/>
        <v>0</v>
      </c>
      <c r="I64" s="26">
        <f t="shared" si="21"/>
        <v>0</v>
      </c>
      <c r="J64" s="26">
        <f t="shared" si="21"/>
        <v>0</v>
      </c>
      <c r="K64" s="26">
        <v>0</v>
      </c>
      <c r="L64" s="26">
        <f t="shared" si="21"/>
        <v>0</v>
      </c>
      <c r="M64" s="26">
        <f t="shared" si="21"/>
        <v>0</v>
      </c>
      <c r="N64" s="26">
        <f t="shared" si="21"/>
        <v>0</v>
      </c>
      <c r="O64" s="26">
        <f t="shared" si="21"/>
        <v>0</v>
      </c>
      <c r="P64" s="26">
        <f t="shared" si="21"/>
        <v>0</v>
      </c>
      <c r="Q64" s="26">
        <v>0</v>
      </c>
      <c r="R64" s="26">
        <f t="shared" si="21"/>
        <v>0</v>
      </c>
      <c r="S64" s="26">
        <f t="shared" si="21"/>
        <v>0</v>
      </c>
      <c r="T64" s="26">
        <f t="shared" si="21"/>
        <v>0</v>
      </c>
      <c r="U64" s="26">
        <f t="shared" si="21"/>
        <v>0</v>
      </c>
      <c r="V64" s="26">
        <f t="shared" si="21"/>
        <v>0</v>
      </c>
      <c r="W64" s="26">
        <f t="shared" si="21"/>
        <v>0</v>
      </c>
      <c r="X64" s="26">
        <f t="shared" si="21"/>
        <v>0</v>
      </c>
      <c r="Y64" s="26">
        <f t="shared" si="21"/>
        <v>0</v>
      </c>
      <c r="Z64" s="26">
        <f t="shared" si="21"/>
        <v>60</v>
      </c>
      <c r="AA64" s="26">
        <f t="shared" si="21"/>
        <v>80</v>
      </c>
      <c r="AB64" s="26">
        <f t="shared" si="21"/>
        <v>0</v>
      </c>
      <c r="AC64" s="26">
        <f t="shared" si="21"/>
        <v>80</v>
      </c>
    </row>
    <row r="65" spans="1:29" s="25" customFormat="1" ht="15.75" customHeight="1" x14ac:dyDescent="0.2">
      <c r="A65" s="30">
        <v>45</v>
      </c>
      <c r="B65" s="29">
        <v>147390</v>
      </c>
      <c r="C65" s="31">
        <v>10</v>
      </c>
      <c r="D65" s="31"/>
      <c r="E65" s="31"/>
      <c r="F65" s="31"/>
      <c r="G65" s="31"/>
      <c r="H65" s="32"/>
      <c r="I65" s="31"/>
      <c r="J65" s="31"/>
      <c r="K65" s="31"/>
      <c r="L65" s="32"/>
      <c r="M65" s="32"/>
      <c r="N65" s="32"/>
      <c r="O65" s="32"/>
      <c r="P65" s="31"/>
      <c r="Q65" s="31"/>
      <c r="R65" s="32"/>
      <c r="S65" s="31"/>
      <c r="T65" s="27"/>
      <c r="U65" s="27"/>
      <c r="V65" s="32"/>
      <c r="W65" s="31"/>
      <c r="X65" s="31"/>
      <c r="Y65" s="31"/>
      <c r="Z65" s="31">
        <v>60</v>
      </c>
      <c r="AA65" s="27">
        <f>J65+L65+V65+R65+N65+O65+P65+Q65+K65+W65+S65+T65+X65+M65+Y65+H65+C65+I65+D65+E65+G65+F65+Z65+U65</f>
        <v>70</v>
      </c>
      <c r="AB65" s="28"/>
      <c r="AC65" s="27">
        <f>AA65+AB65</f>
        <v>70</v>
      </c>
    </row>
    <row r="66" spans="1:29" s="25" customFormat="1" ht="14.25" customHeight="1" x14ac:dyDescent="0.2">
      <c r="A66" s="30">
        <v>46</v>
      </c>
      <c r="B66" s="29">
        <v>257460</v>
      </c>
      <c r="C66" s="27">
        <v>10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>
        <f>J66+L66+V66+R66+N66+O66+P66+Q66+K66+W66+S66+T66+X66+M66+Y66+H66+C66+I66+D66+E66+G66+F66+Z66+U66</f>
        <v>10</v>
      </c>
      <c r="AB66" s="28"/>
      <c r="AC66" s="27">
        <f>AA66+AB66</f>
        <v>10</v>
      </c>
    </row>
    <row r="67" spans="1:29" s="25" customFormat="1" ht="24" customHeight="1" x14ac:dyDescent="0.2">
      <c r="A67" s="448" t="s">
        <v>33</v>
      </c>
      <c r="B67" s="449"/>
      <c r="C67" s="26">
        <f t="shared" ref="C67:AC67" si="22">SUM(C68:C73)</f>
        <v>335</v>
      </c>
      <c r="D67" s="26">
        <f t="shared" si="22"/>
        <v>0</v>
      </c>
      <c r="E67" s="26">
        <f t="shared" si="22"/>
        <v>0</v>
      </c>
      <c r="F67" s="26">
        <f t="shared" si="22"/>
        <v>57</v>
      </c>
      <c r="G67" s="26">
        <f t="shared" si="22"/>
        <v>0</v>
      </c>
      <c r="H67" s="26">
        <f t="shared" si="22"/>
        <v>0</v>
      </c>
      <c r="I67" s="26">
        <f t="shared" si="22"/>
        <v>210</v>
      </c>
      <c r="J67" s="26">
        <f t="shared" si="22"/>
        <v>200</v>
      </c>
      <c r="K67" s="26">
        <v>200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>
        <f t="shared" si="22"/>
        <v>79</v>
      </c>
      <c r="P67" s="26">
        <f t="shared" si="22"/>
        <v>231</v>
      </c>
      <c r="Q67" s="26">
        <v>224</v>
      </c>
      <c r="R67" s="26">
        <f t="shared" si="22"/>
        <v>0</v>
      </c>
      <c r="S67" s="26">
        <f t="shared" si="22"/>
        <v>22</v>
      </c>
      <c r="T67" s="26">
        <f t="shared" si="22"/>
        <v>40</v>
      </c>
      <c r="U67" s="26">
        <f t="shared" si="22"/>
        <v>0</v>
      </c>
      <c r="V67" s="26">
        <f t="shared" si="22"/>
        <v>20</v>
      </c>
      <c r="W67" s="26">
        <f t="shared" si="22"/>
        <v>119</v>
      </c>
      <c r="X67" s="26">
        <f t="shared" si="22"/>
        <v>8</v>
      </c>
      <c r="Y67" s="26">
        <f t="shared" si="22"/>
        <v>0</v>
      </c>
      <c r="Z67" s="26">
        <f t="shared" si="22"/>
        <v>50</v>
      </c>
      <c r="AA67" s="26">
        <f t="shared" si="22"/>
        <v>1795</v>
      </c>
      <c r="AB67" s="26">
        <f t="shared" si="22"/>
        <v>0</v>
      </c>
      <c r="AC67" s="26">
        <f t="shared" si="22"/>
        <v>1795</v>
      </c>
    </row>
    <row r="68" spans="1:29" s="25" customFormat="1" ht="15.75" customHeight="1" x14ac:dyDescent="0.2">
      <c r="A68" s="33">
        <v>47</v>
      </c>
      <c r="B68" s="35">
        <v>142411</v>
      </c>
      <c r="C68" s="27">
        <f>70-10</f>
        <v>60</v>
      </c>
      <c r="D68" s="27"/>
      <c r="E68" s="27"/>
      <c r="F68" s="27">
        <v>55</v>
      </c>
      <c r="G68" s="27"/>
      <c r="H68" s="27"/>
      <c r="I68" s="27">
        <v>50</v>
      </c>
      <c r="J68" s="27">
        <v>65</v>
      </c>
      <c r="K68" s="27">
        <v>55</v>
      </c>
      <c r="L68" s="27"/>
      <c r="M68" s="27"/>
      <c r="N68" s="27"/>
      <c r="O68" s="27">
        <v>16</v>
      </c>
      <c r="P68" s="27">
        <v>215</v>
      </c>
      <c r="Q68" s="27">
        <v>10</v>
      </c>
      <c r="R68" s="27"/>
      <c r="S68" s="27">
        <f>8-2-2</f>
        <v>4</v>
      </c>
      <c r="T68" s="27">
        <v>26</v>
      </c>
      <c r="U68" s="27"/>
      <c r="V68" s="27"/>
      <c r="W68" s="27">
        <v>42</v>
      </c>
      <c r="X68" s="27"/>
      <c r="Y68" s="27"/>
      <c r="Z68" s="27"/>
      <c r="AA68" s="27">
        <f t="shared" ref="AA68:AA73" si="23">J68+L68+V68+R68+N68+O68+P68+Q68+K68+W68+S68+T68+X68+M68+Y68+H68+C68+I68+D68+E68+G68+F68+Z68+U68</f>
        <v>598</v>
      </c>
      <c r="AB68" s="28"/>
      <c r="AC68" s="27">
        <f t="shared" ref="AC68:AC73" si="24">AA68+AB68</f>
        <v>598</v>
      </c>
    </row>
    <row r="69" spans="1:29" s="25" customFormat="1" ht="15.75" customHeight="1" x14ac:dyDescent="0.2">
      <c r="A69" s="33">
        <v>48</v>
      </c>
      <c r="B69" s="35">
        <v>211123</v>
      </c>
      <c r="C69" s="27">
        <f>30-10</f>
        <v>20</v>
      </c>
      <c r="D69" s="27"/>
      <c r="E69" s="27"/>
      <c r="F69" s="27"/>
      <c r="G69" s="27"/>
      <c r="H69" s="27"/>
      <c r="I69" s="27"/>
      <c r="J69" s="27">
        <v>35</v>
      </c>
      <c r="K69" s="27">
        <v>20</v>
      </c>
      <c r="L69" s="27"/>
      <c r="M69" s="27"/>
      <c r="N69" s="27"/>
      <c r="O69" s="27">
        <v>25</v>
      </c>
      <c r="P69" s="27">
        <v>4</v>
      </c>
      <c r="Q69" s="27"/>
      <c r="R69" s="27"/>
      <c r="S69" s="27">
        <f>8+1+2</f>
        <v>11</v>
      </c>
      <c r="T69" s="27">
        <v>11</v>
      </c>
      <c r="U69" s="27"/>
      <c r="V69" s="27">
        <v>20</v>
      </c>
      <c r="W69" s="27">
        <v>57</v>
      </c>
      <c r="X69" s="27"/>
      <c r="Y69" s="27"/>
      <c r="Z69" s="27"/>
      <c r="AA69" s="27">
        <f t="shared" si="23"/>
        <v>203</v>
      </c>
      <c r="AB69" s="28"/>
      <c r="AC69" s="27">
        <f t="shared" si="24"/>
        <v>203</v>
      </c>
    </row>
    <row r="70" spans="1:29" s="25" customFormat="1" ht="15.75" customHeight="1" x14ac:dyDescent="0.2">
      <c r="A70" s="33">
        <v>49</v>
      </c>
      <c r="B70" s="29">
        <v>282411</v>
      </c>
      <c r="C70" s="27"/>
      <c r="D70" s="27"/>
      <c r="E70" s="27"/>
      <c r="F70" s="27">
        <f>5-2-1</f>
        <v>2</v>
      </c>
      <c r="G70" s="27"/>
      <c r="H70" s="27"/>
      <c r="I70" s="27"/>
      <c r="J70" s="27"/>
      <c r="K70" s="27"/>
      <c r="L70" s="27"/>
      <c r="M70" s="27"/>
      <c r="N70" s="27"/>
      <c r="O70" s="27"/>
      <c r="P70" s="27">
        <f>0+2</f>
        <v>2</v>
      </c>
      <c r="Q70" s="27"/>
      <c r="R70" s="27"/>
      <c r="S70" s="27">
        <f>0+2+1</f>
        <v>3</v>
      </c>
      <c r="T70" s="27">
        <v>3</v>
      </c>
      <c r="U70" s="27"/>
      <c r="V70" s="27"/>
      <c r="W70" s="27"/>
      <c r="X70" s="27"/>
      <c r="Y70" s="27"/>
      <c r="Z70" s="27"/>
      <c r="AA70" s="27">
        <f t="shared" si="23"/>
        <v>10</v>
      </c>
      <c r="AB70" s="28"/>
      <c r="AC70" s="27">
        <f t="shared" si="24"/>
        <v>10</v>
      </c>
    </row>
    <row r="71" spans="1:29" s="25" customFormat="1" ht="15.75" customHeight="1" x14ac:dyDescent="0.2">
      <c r="A71" s="33">
        <v>50</v>
      </c>
      <c r="B71" s="29">
        <v>151537</v>
      </c>
      <c r="C71" s="27">
        <v>150</v>
      </c>
      <c r="D71" s="27"/>
      <c r="E71" s="27"/>
      <c r="F71" s="27"/>
      <c r="G71" s="27"/>
      <c r="H71" s="34"/>
      <c r="I71" s="27">
        <v>160</v>
      </c>
      <c r="J71" s="27">
        <v>93</v>
      </c>
      <c r="K71" s="27">
        <v>125</v>
      </c>
      <c r="L71" s="34"/>
      <c r="M71" s="34"/>
      <c r="N71" s="34"/>
      <c r="O71" s="27">
        <v>38</v>
      </c>
      <c r="P71" s="27"/>
      <c r="Q71" s="27">
        <v>174</v>
      </c>
      <c r="R71" s="34"/>
      <c r="S71" s="27">
        <f>9-3-2</f>
        <v>4</v>
      </c>
      <c r="T71" s="27"/>
      <c r="U71" s="27"/>
      <c r="V71" s="34"/>
      <c r="W71" s="27">
        <f>30-10</f>
        <v>20</v>
      </c>
      <c r="X71" s="27">
        <v>8</v>
      </c>
      <c r="Y71" s="27"/>
      <c r="Z71" s="27">
        <v>50</v>
      </c>
      <c r="AA71" s="27">
        <f t="shared" si="23"/>
        <v>822</v>
      </c>
      <c r="AB71" s="28"/>
      <c r="AC71" s="27">
        <f t="shared" si="24"/>
        <v>822</v>
      </c>
    </row>
    <row r="72" spans="1:29" s="25" customFormat="1" ht="15.75" customHeight="1" x14ac:dyDescent="0.2">
      <c r="A72" s="33">
        <v>51</v>
      </c>
      <c r="B72" s="29">
        <v>217717</v>
      </c>
      <c r="C72" s="27">
        <v>105</v>
      </c>
      <c r="D72" s="27"/>
      <c r="E72" s="27"/>
      <c r="F72" s="27"/>
      <c r="G72" s="27"/>
      <c r="H72" s="27"/>
      <c r="I72" s="27"/>
      <c r="J72" s="27">
        <v>7</v>
      </c>
      <c r="K72" s="27"/>
      <c r="L72" s="27"/>
      <c r="M72" s="27"/>
      <c r="N72" s="27"/>
      <c r="O72" s="27"/>
      <c r="P72" s="27"/>
      <c r="Q72" s="27">
        <v>40</v>
      </c>
      <c r="R72" s="27"/>
      <c r="S72" s="27"/>
      <c r="T72" s="27"/>
      <c r="U72" s="27"/>
      <c r="V72" s="27"/>
      <c r="W72" s="27"/>
      <c r="X72" s="27"/>
      <c r="Y72" s="27"/>
      <c r="Z72" s="27"/>
      <c r="AA72" s="27">
        <f t="shared" si="23"/>
        <v>152</v>
      </c>
      <c r="AB72" s="28"/>
      <c r="AC72" s="27">
        <f t="shared" si="24"/>
        <v>152</v>
      </c>
    </row>
    <row r="73" spans="1:29" s="25" customFormat="1" ht="15.75" customHeight="1" x14ac:dyDescent="0.2">
      <c r="A73" s="33">
        <v>52</v>
      </c>
      <c r="B73" s="29">
        <v>352016</v>
      </c>
      <c r="C73" s="31"/>
      <c r="D73" s="31"/>
      <c r="E73" s="31"/>
      <c r="F73" s="31"/>
      <c r="G73" s="31"/>
      <c r="H73" s="32"/>
      <c r="I73" s="31"/>
      <c r="J73" s="31"/>
      <c r="K73" s="31"/>
      <c r="L73" s="32"/>
      <c r="M73" s="32"/>
      <c r="N73" s="32"/>
      <c r="O73" s="32"/>
      <c r="P73" s="31">
        <v>10</v>
      </c>
      <c r="Q73" s="31"/>
      <c r="R73" s="32"/>
      <c r="S73" s="31"/>
      <c r="T73" s="27"/>
      <c r="U73" s="27"/>
      <c r="V73" s="32"/>
      <c r="W73" s="31"/>
      <c r="X73" s="31"/>
      <c r="Y73" s="31"/>
      <c r="Z73" s="31"/>
      <c r="AA73" s="27">
        <f t="shared" si="23"/>
        <v>10</v>
      </c>
      <c r="AB73" s="28"/>
      <c r="AC73" s="27">
        <f t="shared" si="24"/>
        <v>10</v>
      </c>
    </row>
    <row r="74" spans="1:29" s="25" customFormat="1" ht="18.75" customHeight="1" x14ac:dyDescent="0.2">
      <c r="A74" s="448" t="s">
        <v>32</v>
      </c>
      <c r="B74" s="449"/>
      <c r="C74" s="26">
        <f t="shared" ref="C74:AC74" si="25">C75+C76</f>
        <v>120</v>
      </c>
      <c r="D74" s="26">
        <f t="shared" si="25"/>
        <v>0</v>
      </c>
      <c r="E74" s="26">
        <f t="shared" si="25"/>
        <v>0</v>
      </c>
      <c r="F74" s="26">
        <f t="shared" si="25"/>
        <v>140</v>
      </c>
      <c r="G74" s="26">
        <f t="shared" si="25"/>
        <v>0</v>
      </c>
      <c r="H74" s="26">
        <f t="shared" si="25"/>
        <v>0</v>
      </c>
      <c r="I74" s="26">
        <f t="shared" si="25"/>
        <v>0</v>
      </c>
      <c r="J74" s="26">
        <f t="shared" si="25"/>
        <v>30</v>
      </c>
      <c r="K74" s="26">
        <v>10</v>
      </c>
      <c r="L74" s="26">
        <f t="shared" si="25"/>
        <v>0</v>
      </c>
      <c r="M74" s="26">
        <f t="shared" si="25"/>
        <v>0</v>
      </c>
      <c r="N74" s="26">
        <f t="shared" si="25"/>
        <v>0</v>
      </c>
      <c r="O74" s="26">
        <f t="shared" si="25"/>
        <v>0</v>
      </c>
      <c r="P74" s="26">
        <f t="shared" si="25"/>
        <v>36</v>
      </c>
      <c r="Q74" s="26">
        <v>0</v>
      </c>
      <c r="R74" s="26">
        <f t="shared" si="25"/>
        <v>0</v>
      </c>
      <c r="S74" s="26">
        <f t="shared" si="25"/>
        <v>0</v>
      </c>
      <c r="T74" s="26">
        <f t="shared" si="25"/>
        <v>0</v>
      </c>
      <c r="U74" s="26">
        <f t="shared" si="25"/>
        <v>0</v>
      </c>
      <c r="V74" s="26">
        <f t="shared" si="25"/>
        <v>0</v>
      </c>
      <c r="W74" s="26">
        <f t="shared" si="25"/>
        <v>0</v>
      </c>
      <c r="X74" s="26">
        <f t="shared" si="25"/>
        <v>7</v>
      </c>
      <c r="Y74" s="26">
        <f t="shared" si="25"/>
        <v>40</v>
      </c>
      <c r="Z74" s="26">
        <f t="shared" si="25"/>
        <v>137</v>
      </c>
      <c r="AA74" s="26">
        <f t="shared" si="25"/>
        <v>520</v>
      </c>
      <c r="AB74" s="26">
        <f t="shared" si="25"/>
        <v>0</v>
      </c>
      <c r="AC74" s="26">
        <f t="shared" si="25"/>
        <v>520</v>
      </c>
    </row>
    <row r="75" spans="1:29" s="25" customFormat="1" ht="18" customHeight="1" x14ac:dyDescent="0.2">
      <c r="A75" s="30">
        <v>53</v>
      </c>
      <c r="B75" s="29">
        <v>98144</v>
      </c>
      <c r="C75" s="27">
        <v>100</v>
      </c>
      <c r="D75" s="27"/>
      <c r="E75" s="27"/>
      <c r="F75" s="27">
        <v>140</v>
      </c>
      <c r="G75" s="27"/>
      <c r="H75" s="27"/>
      <c r="I75" s="27"/>
      <c r="J75" s="27">
        <v>30</v>
      </c>
      <c r="K75" s="27">
        <v>10</v>
      </c>
      <c r="L75" s="27"/>
      <c r="M75" s="27"/>
      <c r="N75" s="27"/>
      <c r="O75" s="27"/>
      <c r="P75" s="27">
        <v>36</v>
      </c>
      <c r="Q75" s="27"/>
      <c r="R75" s="27"/>
      <c r="S75" s="27"/>
      <c r="T75" s="27"/>
      <c r="U75" s="27"/>
      <c r="V75" s="27"/>
      <c r="W75" s="27"/>
      <c r="X75" s="27">
        <v>7</v>
      </c>
      <c r="Y75" s="27">
        <v>30</v>
      </c>
      <c r="Z75" s="27">
        <f>130+7</f>
        <v>137</v>
      </c>
      <c r="AA75" s="27">
        <f>J75+L75+V75+R75+N75+O75+P75+Q75+K75+W75+S75+T75+X75+M75+Y75+H75+C75+I75+D75+E75+G75+F75+Z75+U75</f>
        <v>490</v>
      </c>
      <c r="AB75" s="28"/>
      <c r="AC75" s="27">
        <f>AA75+AB75</f>
        <v>490</v>
      </c>
    </row>
    <row r="76" spans="1:29" s="25" customFormat="1" ht="12.75" customHeight="1" x14ac:dyDescent="0.2">
      <c r="A76" s="30">
        <v>54</v>
      </c>
      <c r="B76" s="29">
        <v>144203</v>
      </c>
      <c r="C76" s="27">
        <v>20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>
        <v>10</v>
      </c>
      <c r="Z76" s="27"/>
      <c r="AA76" s="27">
        <f>J76+L76+V76+R76+N76+O76+P76+Q76+K76+W76+S76+T76+X76+M76+Y76+H76+C76+I76+D76+E76+G76+F76+Z76+U76</f>
        <v>30</v>
      </c>
      <c r="AB76" s="28"/>
      <c r="AC76" s="27">
        <f>AA76+AB76</f>
        <v>30</v>
      </c>
    </row>
    <row r="77" spans="1:29" s="25" customFormat="1" ht="24.75" customHeight="1" x14ac:dyDescent="0.2">
      <c r="A77" s="448" t="s">
        <v>31</v>
      </c>
      <c r="B77" s="449"/>
      <c r="C77" s="26">
        <f t="shared" ref="C77:AC77" si="26">C78</f>
        <v>0</v>
      </c>
      <c r="D77" s="26">
        <f t="shared" si="26"/>
        <v>0</v>
      </c>
      <c r="E77" s="26">
        <f t="shared" si="26"/>
        <v>0</v>
      </c>
      <c r="F77" s="26">
        <f t="shared" si="26"/>
        <v>63</v>
      </c>
      <c r="G77" s="26">
        <f t="shared" si="26"/>
        <v>0</v>
      </c>
      <c r="H77" s="26">
        <f t="shared" si="26"/>
        <v>0</v>
      </c>
      <c r="I77" s="26">
        <f t="shared" si="26"/>
        <v>0</v>
      </c>
      <c r="J77" s="26">
        <f t="shared" si="26"/>
        <v>0</v>
      </c>
      <c r="K77" s="26">
        <v>70</v>
      </c>
      <c r="L77" s="26">
        <f t="shared" si="26"/>
        <v>0</v>
      </c>
      <c r="M77" s="26">
        <f t="shared" si="26"/>
        <v>0</v>
      </c>
      <c r="N77" s="26">
        <f t="shared" si="26"/>
        <v>0</v>
      </c>
      <c r="O77" s="26">
        <f t="shared" si="26"/>
        <v>0</v>
      </c>
      <c r="P77" s="26">
        <f t="shared" si="26"/>
        <v>0</v>
      </c>
      <c r="Q77" s="26">
        <v>0</v>
      </c>
      <c r="R77" s="26">
        <f t="shared" si="26"/>
        <v>0</v>
      </c>
      <c r="S77" s="26">
        <f t="shared" si="26"/>
        <v>0</v>
      </c>
      <c r="T77" s="26">
        <f t="shared" si="26"/>
        <v>0</v>
      </c>
      <c r="U77" s="26">
        <f t="shared" si="26"/>
        <v>0</v>
      </c>
      <c r="V77" s="26">
        <f t="shared" si="26"/>
        <v>0</v>
      </c>
      <c r="W77" s="26">
        <f t="shared" si="26"/>
        <v>10</v>
      </c>
      <c r="X77" s="26">
        <f t="shared" si="26"/>
        <v>0</v>
      </c>
      <c r="Y77" s="26">
        <f t="shared" si="26"/>
        <v>0</v>
      </c>
      <c r="Z77" s="26">
        <f t="shared" si="26"/>
        <v>0</v>
      </c>
      <c r="AA77" s="26">
        <f t="shared" si="26"/>
        <v>143</v>
      </c>
      <c r="AB77" s="26">
        <f t="shared" si="26"/>
        <v>0</v>
      </c>
      <c r="AC77" s="26">
        <f t="shared" si="26"/>
        <v>143</v>
      </c>
    </row>
    <row r="78" spans="1:29" s="25" customFormat="1" ht="16.5" customHeight="1" x14ac:dyDescent="0.2">
      <c r="A78" s="30">
        <v>55</v>
      </c>
      <c r="B78" s="29">
        <v>127636</v>
      </c>
      <c r="C78" s="27"/>
      <c r="D78" s="27"/>
      <c r="E78" s="27"/>
      <c r="F78" s="27">
        <f>45+18</f>
        <v>63</v>
      </c>
      <c r="G78" s="27"/>
      <c r="H78" s="27"/>
      <c r="I78" s="27"/>
      <c r="J78" s="27"/>
      <c r="K78" s="27">
        <v>70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>
        <v>10</v>
      </c>
      <c r="X78" s="27"/>
      <c r="Y78" s="27"/>
      <c r="Z78" s="27"/>
      <c r="AA78" s="27">
        <f>J78+L78+V78+R78+N78+O78+P78+Q78+K78+W78+S78+T78+X78+M78+Y78+H78+C78+I78+D78+E78+G78+F78+Z78+U78</f>
        <v>143</v>
      </c>
      <c r="AB78" s="28"/>
      <c r="AC78" s="27">
        <f>AA78+AB78</f>
        <v>143</v>
      </c>
    </row>
    <row r="79" spans="1:29" s="25" customFormat="1" ht="18.75" customHeight="1" x14ac:dyDescent="0.2">
      <c r="A79" s="448" t="s">
        <v>30</v>
      </c>
      <c r="B79" s="449"/>
      <c r="C79" s="26">
        <f t="shared" ref="C79:AC79" si="27">C80+C81</f>
        <v>10</v>
      </c>
      <c r="D79" s="26">
        <f t="shared" si="27"/>
        <v>0</v>
      </c>
      <c r="E79" s="26">
        <f t="shared" si="27"/>
        <v>0</v>
      </c>
      <c r="F79" s="26">
        <f t="shared" si="27"/>
        <v>50</v>
      </c>
      <c r="G79" s="26">
        <f t="shared" si="27"/>
        <v>0</v>
      </c>
      <c r="H79" s="26">
        <f t="shared" si="27"/>
        <v>0</v>
      </c>
      <c r="I79" s="26">
        <f t="shared" si="27"/>
        <v>0</v>
      </c>
      <c r="J79" s="26">
        <f t="shared" si="27"/>
        <v>0</v>
      </c>
      <c r="K79" s="26">
        <v>20</v>
      </c>
      <c r="L79" s="26">
        <f t="shared" si="27"/>
        <v>0</v>
      </c>
      <c r="M79" s="26">
        <f t="shared" si="27"/>
        <v>0</v>
      </c>
      <c r="N79" s="26">
        <f t="shared" si="27"/>
        <v>0</v>
      </c>
      <c r="O79" s="26">
        <f t="shared" si="27"/>
        <v>0</v>
      </c>
      <c r="P79" s="26">
        <f t="shared" si="27"/>
        <v>0</v>
      </c>
      <c r="Q79" s="26">
        <v>0</v>
      </c>
      <c r="R79" s="26">
        <f t="shared" si="27"/>
        <v>0</v>
      </c>
      <c r="S79" s="26">
        <f t="shared" si="27"/>
        <v>0</v>
      </c>
      <c r="T79" s="26">
        <f t="shared" si="27"/>
        <v>0</v>
      </c>
      <c r="U79" s="26">
        <f t="shared" si="27"/>
        <v>0</v>
      </c>
      <c r="V79" s="26">
        <f t="shared" si="27"/>
        <v>0</v>
      </c>
      <c r="W79" s="26">
        <f t="shared" si="27"/>
        <v>0</v>
      </c>
      <c r="X79" s="26">
        <f t="shared" si="27"/>
        <v>0</v>
      </c>
      <c r="Y79" s="26">
        <f t="shared" si="27"/>
        <v>0</v>
      </c>
      <c r="Z79" s="26">
        <f t="shared" si="27"/>
        <v>40</v>
      </c>
      <c r="AA79" s="26">
        <f t="shared" si="27"/>
        <v>120</v>
      </c>
      <c r="AB79" s="26">
        <f t="shared" si="27"/>
        <v>0</v>
      </c>
      <c r="AC79" s="26">
        <f t="shared" si="27"/>
        <v>120</v>
      </c>
    </row>
    <row r="80" spans="1:29" s="25" customFormat="1" ht="15.75" customHeight="1" x14ac:dyDescent="0.2">
      <c r="A80" s="30">
        <v>56</v>
      </c>
      <c r="B80" s="29">
        <v>191319</v>
      </c>
      <c r="C80" s="27">
        <v>10</v>
      </c>
      <c r="D80" s="27"/>
      <c r="E80" s="27"/>
      <c r="F80" s="27">
        <f>25+25</f>
        <v>50</v>
      </c>
      <c r="G80" s="27"/>
      <c r="H80" s="27"/>
      <c r="I80" s="27"/>
      <c r="J80" s="27"/>
      <c r="K80" s="27">
        <v>20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>
        <f>40</f>
        <v>40</v>
      </c>
      <c r="AA80" s="27">
        <f>J80+L80+V80+R80+N80+O80+P80+Q80+K80+W80+S80+T80+X80+M80+Y80+H80+C80+I80+D80+E80+G80+F80+Z80+U80</f>
        <v>120</v>
      </c>
      <c r="AB80" s="28"/>
      <c r="AC80" s="27">
        <f>AA80+AB80</f>
        <v>120</v>
      </c>
    </row>
    <row r="81" spans="1:29" s="25" customFormat="1" ht="17.25" customHeight="1" x14ac:dyDescent="0.2">
      <c r="A81" s="30">
        <v>57</v>
      </c>
      <c r="B81" s="29">
        <v>105940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>
        <f>J81+L81+V81+R81+N81+O81+P81+Q81+K81+W81+S81+T81+X81+M81+Y81+H81+C81+I81+D81+E81+G81+F81+Z81+U81</f>
        <v>0</v>
      </c>
      <c r="AB81" s="28"/>
      <c r="AC81" s="27">
        <f>AA81+AB81</f>
        <v>0</v>
      </c>
    </row>
    <row r="82" spans="1:29" s="25" customFormat="1" ht="18.75" customHeight="1" x14ac:dyDescent="0.2">
      <c r="A82" s="448" t="s">
        <v>29</v>
      </c>
      <c r="B82" s="449"/>
      <c r="C82" s="26">
        <f t="shared" ref="C82:AC82" si="28">C5+C8+C11+C13+C16+C18+C20+C23+C30+C33+C40+C43+C50+C52+C64+C67+C74+C77+C79+C46</f>
        <v>2330</v>
      </c>
      <c r="D82" s="26">
        <f t="shared" si="28"/>
        <v>1450</v>
      </c>
      <c r="E82" s="26">
        <f t="shared" si="28"/>
        <v>3435</v>
      </c>
      <c r="F82" s="26">
        <f t="shared" si="28"/>
        <v>912</v>
      </c>
      <c r="G82" s="26">
        <f t="shared" si="28"/>
        <v>728</v>
      </c>
      <c r="H82" s="26">
        <f t="shared" si="28"/>
        <v>52</v>
      </c>
      <c r="I82" s="26">
        <f t="shared" si="28"/>
        <v>210</v>
      </c>
      <c r="J82" s="26">
        <f t="shared" si="28"/>
        <v>1082</v>
      </c>
      <c r="K82" s="26">
        <f t="shared" si="28"/>
        <v>1254</v>
      </c>
      <c r="L82" s="26">
        <f t="shared" si="28"/>
        <v>200</v>
      </c>
      <c r="M82" s="26">
        <f t="shared" si="28"/>
        <v>2400</v>
      </c>
      <c r="N82" s="26">
        <f t="shared" si="28"/>
        <v>200</v>
      </c>
      <c r="O82" s="26">
        <f t="shared" si="28"/>
        <v>338</v>
      </c>
      <c r="P82" s="26">
        <f t="shared" si="28"/>
        <v>407</v>
      </c>
      <c r="Q82" s="26">
        <f t="shared" si="28"/>
        <v>770</v>
      </c>
      <c r="R82" s="26">
        <f t="shared" si="28"/>
        <v>40</v>
      </c>
      <c r="S82" s="26">
        <f t="shared" si="28"/>
        <v>247</v>
      </c>
      <c r="T82" s="26">
        <f t="shared" si="28"/>
        <v>59</v>
      </c>
      <c r="U82" s="26">
        <f t="shared" si="28"/>
        <v>162</v>
      </c>
      <c r="V82" s="26">
        <f t="shared" si="28"/>
        <v>20</v>
      </c>
      <c r="W82" s="26">
        <f t="shared" si="28"/>
        <v>813</v>
      </c>
      <c r="X82" s="26">
        <f t="shared" si="28"/>
        <v>277</v>
      </c>
      <c r="Y82" s="26">
        <f t="shared" si="28"/>
        <v>250</v>
      </c>
      <c r="Z82" s="26">
        <f t="shared" si="28"/>
        <v>1637</v>
      </c>
      <c r="AA82" s="26">
        <f t="shared" si="28"/>
        <v>19273</v>
      </c>
      <c r="AB82" s="26">
        <f t="shared" si="28"/>
        <v>50</v>
      </c>
      <c r="AC82" s="26">
        <f t="shared" si="28"/>
        <v>19323</v>
      </c>
    </row>
  </sheetData>
  <mergeCells count="24">
    <mergeCell ref="A1:AC1"/>
    <mergeCell ref="A40:B40"/>
    <mergeCell ref="A43:B43"/>
    <mergeCell ref="A46:B46"/>
    <mergeCell ref="A50:B50"/>
    <mergeCell ref="A5:B5"/>
    <mergeCell ref="A8:B8"/>
    <mergeCell ref="A11:B11"/>
    <mergeCell ref="A13:B13"/>
    <mergeCell ref="A2:A3"/>
    <mergeCell ref="B2:B3"/>
    <mergeCell ref="A67:B67"/>
    <mergeCell ref="A74:B74"/>
    <mergeCell ref="A77:B77"/>
    <mergeCell ref="A79:B79"/>
    <mergeCell ref="A82:B82"/>
    <mergeCell ref="A64:B64"/>
    <mergeCell ref="A16:B16"/>
    <mergeCell ref="A18:B18"/>
    <mergeCell ref="A20:B20"/>
    <mergeCell ref="A23:B23"/>
    <mergeCell ref="A30:B30"/>
    <mergeCell ref="A33:B33"/>
    <mergeCell ref="A52:B52"/>
  </mergeCells>
  <pageMargins left="0" right="0" top="0" bottom="0" header="0.31496062992125984" footer="0.31496062992125984"/>
  <pageSetup paperSize="9" scale="80" fitToHeight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zoomScale="90" zoomScaleNormal="90" workbookViewId="0">
      <pane xSplit="3" ySplit="6" topLeftCell="D76" activePane="bottomRight" state="frozen"/>
      <selection pane="topRight" activeCell="D1" sqref="D1"/>
      <selection pane="bottomLeft" activeCell="A7" sqref="A7"/>
      <selection pane="bottomRight" activeCell="B3" sqref="B3:B6"/>
    </sheetView>
  </sheetViews>
  <sheetFormatPr defaultRowHeight="12.75" x14ac:dyDescent="0.25"/>
  <cols>
    <col min="1" max="1" width="5.5703125" style="5" customWidth="1"/>
    <col min="2" max="2" width="8.42578125" style="5" customWidth="1"/>
    <col min="3" max="3" width="36.140625" style="6" customWidth="1"/>
    <col min="4" max="4" width="10.7109375" style="5" customWidth="1"/>
    <col min="5" max="5" width="12.28515625" style="5" customWidth="1"/>
    <col min="6" max="6" width="12.5703125" style="5" customWidth="1"/>
    <col min="7" max="7" width="13.5703125" style="5" customWidth="1"/>
    <col min="8" max="8" width="7.140625" style="5" customWidth="1"/>
    <col min="9" max="9" width="10.5703125" style="5" customWidth="1"/>
    <col min="10" max="10" width="9" style="5" customWidth="1"/>
    <col min="11" max="11" width="7.7109375" style="5" customWidth="1"/>
    <col min="12" max="12" width="9.140625" style="5" customWidth="1"/>
    <col min="13" max="13" width="8.140625" style="5" customWidth="1"/>
    <col min="14" max="14" width="12.28515625" style="5" customWidth="1"/>
    <col min="15" max="15" width="9.140625" style="5"/>
    <col min="16" max="16" width="7.42578125" style="5" customWidth="1"/>
    <col min="17" max="16384" width="9.140625" style="5"/>
  </cols>
  <sheetData>
    <row r="1" spans="1:14" ht="18.75" x14ac:dyDescent="0.25">
      <c r="A1" s="454" t="s">
        <v>196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5"/>
    </row>
    <row r="2" spans="1:14" ht="14.25" customHeight="1" x14ac:dyDescent="0.25">
      <c r="A2" s="74"/>
      <c r="B2" s="74"/>
      <c r="C2" s="75"/>
      <c r="D2" s="74"/>
      <c r="E2" s="74"/>
      <c r="F2" s="74"/>
      <c r="G2" s="74"/>
      <c r="H2" s="75"/>
      <c r="I2" s="75"/>
      <c r="J2" s="75"/>
      <c r="K2" s="75"/>
      <c r="L2" s="456" t="s">
        <v>197</v>
      </c>
      <c r="M2" s="457"/>
      <c r="N2" s="457"/>
    </row>
    <row r="3" spans="1:14" ht="13.5" customHeight="1" x14ac:dyDescent="0.25">
      <c r="A3" s="458" t="s">
        <v>194</v>
      </c>
      <c r="B3" s="459" t="s">
        <v>13</v>
      </c>
      <c r="C3" s="458" t="s">
        <v>198</v>
      </c>
      <c r="D3" s="458" t="s">
        <v>192</v>
      </c>
      <c r="E3" s="76"/>
      <c r="F3" s="462" t="s">
        <v>199</v>
      </c>
      <c r="G3" s="462"/>
      <c r="H3" s="462"/>
      <c r="I3" s="462"/>
      <c r="J3" s="462"/>
      <c r="K3" s="462"/>
      <c r="L3" s="462"/>
      <c r="M3" s="462"/>
      <c r="N3" s="463"/>
    </row>
    <row r="4" spans="1:14" ht="13.5" customHeight="1" x14ac:dyDescent="0.25">
      <c r="A4" s="458"/>
      <c r="B4" s="460"/>
      <c r="C4" s="458"/>
      <c r="D4" s="458"/>
      <c r="E4" s="464" t="s">
        <v>200</v>
      </c>
      <c r="F4" s="464" t="s">
        <v>201</v>
      </c>
      <c r="G4" s="458" t="s">
        <v>2</v>
      </c>
      <c r="H4" s="458"/>
      <c r="I4" s="458"/>
      <c r="J4" s="458"/>
      <c r="K4" s="458"/>
      <c r="L4" s="458"/>
      <c r="M4" s="458"/>
      <c r="N4" s="459" t="s">
        <v>202</v>
      </c>
    </row>
    <row r="5" spans="1:14" ht="30.75" customHeight="1" x14ac:dyDescent="0.25">
      <c r="A5" s="458"/>
      <c r="B5" s="460"/>
      <c r="C5" s="458"/>
      <c r="D5" s="458"/>
      <c r="E5" s="465"/>
      <c r="F5" s="465"/>
      <c r="G5" s="458" t="s">
        <v>203</v>
      </c>
      <c r="H5" s="458" t="s">
        <v>204</v>
      </c>
      <c r="I5" s="458" t="s">
        <v>205</v>
      </c>
      <c r="J5" s="458" t="s">
        <v>206</v>
      </c>
      <c r="K5" s="458"/>
      <c r="L5" s="458" t="s">
        <v>207</v>
      </c>
      <c r="M5" s="458" t="s">
        <v>208</v>
      </c>
      <c r="N5" s="465"/>
    </row>
    <row r="6" spans="1:14" ht="49.5" customHeight="1" x14ac:dyDescent="0.25">
      <c r="A6" s="458"/>
      <c r="B6" s="461"/>
      <c r="C6" s="458"/>
      <c r="D6" s="458"/>
      <c r="E6" s="466"/>
      <c r="F6" s="466"/>
      <c r="G6" s="458"/>
      <c r="H6" s="458"/>
      <c r="I6" s="458"/>
      <c r="J6" s="77" t="s">
        <v>209</v>
      </c>
      <c r="K6" s="77" t="s">
        <v>210</v>
      </c>
      <c r="L6" s="458"/>
      <c r="M6" s="458"/>
      <c r="N6" s="466"/>
    </row>
    <row r="7" spans="1:14" ht="16.5" customHeight="1" x14ac:dyDescent="0.25">
      <c r="A7" s="78">
        <v>1</v>
      </c>
      <c r="B7" s="98" t="s">
        <v>211</v>
      </c>
      <c r="C7" s="79" t="s">
        <v>186</v>
      </c>
      <c r="D7" s="80">
        <f t="shared" ref="D7:D70" si="0">E7+F7+N7</f>
        <v>207</v>
      </c>
      <c r="E7" s="80"/>
      <c r="F7" s="80">
        <v>207</v>
      </c>
      <c r="G7" s="80"/>
      <c r="H7" s="80"/>
      <c r="I7" s="80"/>
      <c r="J7" s="80"/>
      <c r="K7" s="80"/>
      <c r="L7" s="80"/>
      <c r="M7" s="80"/>
      <c r="N7" s="81"/>
    </row>
    <row r="8" spans="1:14" ht="16.5" customHeight="1" x14ac:dyDescent="0.25">
      <c r="A8" s="78">
        <v>2</v>
      </c>
      <c r="B8" s="98" t="s">
        <v>212</v>
      </c>
      <c r="C8" s="82" t="s">
        <v>185</v>
      </c>
      <c r="D8" s="80">
        <f t="shared" si="0"/>
        <v>294</v>
      </c>
      <c r="E8" s="80"/>
      <c r="F8" s="80">
        <v>294</v>
      </c>
      <c r="G8" s="80"/>
      <c r="H8" s="80"/>
      <c r="I8" s="80"/>
      <c r="J8" s="80"/>
      <c r="K8" s="80"/>
      <c r="L8" s="80"/>
      <c r="M8" s="80"/>
      <c r="N8" s="81"/>
    </row>
    <row r="9" spans="1:14" ht="15.75" customHeight="1" x14ac:dyDescent="0.25">
      <c r="A9" s="78">
        <v>3</v>
      </c>
      <c r="B9" s="98" t="s">
        <v>213</v>
      </c>
      <c r="C9" s="83" t="s">
        <v>214</v>
      </c>
      <c r="D9" s="80">
        <f t="shared" si="0"/>
        <v>432</v>
      </c>
      <c r="E9" s="80"/>
      <c r="F9" s="80">
        <v>432</v>
      </c>
      <c r="G9" s="80"/>
      <c r="H9" s="80"/>
      <c r="I9" s="80"/>
      <c r="J9" s="80"/>
      <c r="K9" s="80">
        <v>432</v>
      </c>
      <c r="L9" s="80"/>
      <c r="M9" s="80"/>
      <c r="N9" s="81"/>
    </row>
    <row r="10" spans="1:14" s="85" customFormat="1" ht="15.75" customHeight="1" x14ac:dyDescent="0.25">
      <c r="A10" s="78">
        <v>4</v>
      </c>
      <c r="B10" s="98" t="s">
        <v>215</v>
      </c>
      <c r="C10" s="83" t="s">
        <v>184</v>
      </c>
      <c r="D10" s="80">
        <f t="shared" si="0"/>
        <v>1489</v>
      </c>
      <c r="E10" s="80"/>
      <c r="F10" s="80">
        <v>1489</v>
      </c>
      <c r="G10" s="80">
        <v>133</v>
      </c>
      <c r="H10" s="80"/>
      <c r="I10" s="80"/>
      <c r="J10" s="80"/>
      <c r="K10" s="80"/>
      <c r="L10" s="80"/>
      <c r="M10" s="80"/>
      <c r="N10" s="84"/>
    </row>
    <row r="11" spans="1:14" s="85" customFormat="1" ht="17.25" customHeight="1" x14ac:dyDescent="0.25">
      <c r="A11" s="78">
        <v>5</v>
      </c>
      <c r="B11" s="98" t="s">
        <v>216</v>
      </c>
      <c r="C11" s="83" t="s">
        <v>183</v>
      </c>
      <c r="D11" s="80">
        <f t="shared" si="0"/>
        <v>866</v>
      </c>
      <c r="E11" s="80"/>
      <c r="F11" s="80">
        <v>866</v>
      </c>
      <c r="G11" s="80">
        <v>69</v>
      </c>
      <c r="H11" s="80"/>
      <c r="I11" s="80"/>
      <c r="J11" s="80"/>
      <c r="K11" s="80"/>
      <c r="L11" s="80"/>
      <c r="M11" s="80"/>
      <c r="N11" s="84"/>
    </row>
    <row r="12" spans="1:14" s="85" customFormat="1" ht="16.5" customHeight="1" x14ac:dyDescent="0.25">
      <c r="A12" s="78">
        <v>6</v>
      </c>
      <c r="B12" s="98" t="s">
        <v>217</v>
      </c>
      <c r="C12" s="83" t="s">
        <v>182</v>
      </c>
      <c r="D12" s="80">
        <f t="shared" si="0"/>
        <v>2058</v>
      </c>
      <c r="E12" s="80"/>
      <c r="F12" s="80">
        <v>2058</v>
      </c>
      <c r="G12" s="80">
        <v>203</v>
      </c>
      <c r="H12" s="80"/>
      <c r="I12" s="80"/>
      <c r="J12" s="80"/>
      <c r="K12" s="80"/>
      <c r="L12" s="80"/>
      <c r="M12" s="80"/>
      <c r="N12" s="84"/>
    </row>
    <row r="13" spans="1:14" s="85" customFormat="1" ht="16.5" customHeight="1" x14ac:dyDescent="0.25">
      <c r="A13" s="78">
        <v>7</v>
      </c>
      <c r="B13" s="98" t="s">
        <v>218</v>
      </c>
      <c r="C13" s="83" t="s">
        <v>181</v>
      </c>
      <c r="D13" s="80">
        <f t="shared" si="0"/>
        <v>980</v>
      </c>
      <c r="E13" s="80"/>
      <c r="F13" s="80">
        <v>980</v>
      </c>
      <c r="G13" s="80">
        <v>80</v>
      </c>
      <c r="H13" s="80"/>
      <c r="I13" s="80"/>
      <c r="J13" s="80"/>
      <c r="K13" s="80"/>
      <c r="L13" s="80"/>
      <c r="M13" s="80"/>
      <c r="N13" s="84"/>
    </row>
    <row r="14" spans="1:14" ht="18" customHeight="1" x14ac:dyDescent="0.25">
      <c r="A14" s="78">
        <v>8</v>
      </c>
      <c r="B14" s="98" t="s">
        <v>219</v>
      </c>
      <c r="C14" s="83" t="s">
        <v>180</v>
      </c>
      <c r="D14" s="80">
        <f t="shared" si="0"/>
        <v>2778</v>
      </c>
      <c r="E14" s="80"/>
      <c r="F14" s="80">
        <v>2778</v>
      </c>
      <c r="G14" s="80">
        <v>265</v>
      </c>
      <c r="H14" s="80"/>
      <c r="I14" s="80"/>
      <c r="J14" s="80"/>
      <c r="K14" s="80"/>
      <c r="L14" s="80"/>
      <c r="M14" s="80"/>
      <c r="N14" s="81"/>
    </row>
    <row r="15" spans="1:14" ht="17.25" customHeight="1" x14ac:dyDescent="0.25">
      <c r="A15" s="78">
        <v>9</v>
      </c>
      <c r="B15" s="98" t="s">
        <v>220</v>
      </c>
      <c r="C15" s="83" t="s">
        <v>179</v>
      </c>
      <c r="D15" s="80">
        <f t="shared" si="0"/>
        <v>1340</v>
      </c>
      <c r="E15" s="80"/>
      <c r="F15" s="80">
        <v>1340</v>
      </c>
      <c r="G15" s="80">
        <v>100</v>
      </c>
      <c r="H15" s="80"/>
      <c r="I15" s="80"/>
      <c r="J15" s="80"/>
      <c r="K15" s="80"/>
      <c r="L15" s="80"/>
      <c r="M15" s="80"/>
      <c r="N15" s="81"/>
    </row>
    <row r="16" spans="1:14" ht="16.5" customHeight="1" x14ac:dyDescent="0.25">
      <c r="A16" s="78">
        <v>10</v>
      </c>
      <c r="B16" s="98" t="s">
        <v>221</v>
      </c>
      <c r="C16" s="83" t="s">
        <v>178</v>
      </c>
      <c r="D16" s="80">
        <f t="shared" si="0"/>
        <v>977</v>
      </c>
      <c r="E16" s="80"/>
      <c r="F16" s="80">
        <v>977</v>
      </c>
      <c r="G16" s="80">
        <v>71</v>
      </c>
      <c r="H16" s="80"/>
      <c r="I16" s="80"/>
      <c r="J16" s="80"/>
      <c r="K16" s="80"/>
      <c r="L16" s="80"/>
      <c r="M16" s="80"/>
      <c r="N16" s="81"/>
    </row>
    <row r="17" spans="1:14" ht="15.75" customHeight="1" x14ac:dyDescent="0.25">
      <c r="A17" s="78">
        <v>11</v>
      </c>
      <c r="B17" s="98" t="s">
        <v>222</v>
      </c>
      <c r="C17" s="83" t="s">
        <v>111</v>
      </c>
      <c r="D17" s="80">
        <f t="shared" si="0"/>
        <v>4649</v>
      </c>
      <c r="E17" s="80"/>
      <c r="F17" s="80">
        <f>4963-314</f>
        <v>4649</v>
      </c>
      <c r="G17" s="80">
        <v>343</v>
      </c>
      <c r="H17" s="80"/>
      <c r="I17" s="80">
        <f>406-314</f>
        <v>92</v>
      </c>
      <c r="J17" s="80"/>
      <c r="K17" s="80"/>
      <c r="L17" s="80">
        <v>6</v>
      </c>
      <c r="M17" s="80"/>
      <c r="N17" s="81"/>
    </row>
    <row r="18" spans="1:14" ht="16.5" customHeight="1" x14ac:dyDescent="0.25">
      <c r="A18" s="78">
        <v>12</v>
      </c>
      <c r="B18" s="98" t="s">
        <v>223</v>
      </c>
      <c r="C18" s="83" t="s">
        <v>177</v>
      </c>
      <c r="D18" s="80">
        <f t="shared" si="0"/>
        <v>910</v>
      </c>
      <c r="E18" s="80"/>
      <c r="F18" s="80">
        <v>910</v>
      </c>
      <c r="G18" s="80">
        <v>79</v>
      </c>
      <c r="H18" s="80"/>
      <c r="I18" s="80"/>
      <c r="J18" s="80"/>
      <c r="K18" s="80"/>
      <c r="L18" s="80"/>
      <c r="M18" s="80"/>
      <c r="N18" s="81"/>
    </row>
    <row r="19" spans="1:14" ht="18.75" customHeight="1" x14ac:dyDescent="0.25">
      <c r="A19" s="78">
        <v>13</v>
      </c>
      <c r="B19" s="98" t="s">
        <v>27</v>
      </c>
      <c r="C19" s="83" t="s">
        <v>4</v>
      </c>
      <c r="D19" s="80">
        <f t="shared" si="0"/>
        <v>5179</v>
      </c>
      <c r="E19" s="80"/>
      <c r="F19" s="80">
        <f>5504-325</f>
        <v>5179</v>
      </c>
      <c r="G19" s="80">
        <v>417</v>
      </c>
      <c r="H19" s="80"/>
      <c r="I19" s="80">
        <f>421-325</f>
        <v>96</v>
      </c>
      <c r="J19" s="80"/>
      <c r="K19" s="80"/>
      <c r="L19" s="80">
        <v>8</v>
      </c>
      <c r="M19" s="80"/>
      <c r="N19" s="81"/>
    </row>
    <row r="20" spans="1:14" ht="19.5" customHeight="1" x14ac:dyDescent="0.25">
      <c r="A20" s="78">
        <v>14</v>
      </c>
      <c r="B20" s="98" t="s">
        <v>224</v>
      </c>
      <c r="C20" s="83" t="s">
        <v>176</v>
      </c>
      <c r="D20" s="80">
        <f t="shared" si="0"/>
        <v>1038</v>
      </c>
      <c r="E20" s="80"/>
      <c r="F20" s="80">
        <v>1038</v>
      </c>
      <c r="G20" s="80">
        <v>78</v>
      </c>
      <c r="H20" s="80"/>
      <c r="I20" s="80"/>
      <c r="J20" s="80"/>
      <c r="K20" s="80"/>
      <c r="L20" s="80"/>
      <c r="M20" s="80"/>
      <c r="N20" s="81"/>
    </row>
    <row r="21" spans="1:14" ht="20.25" customHeight="1" x14ac:dyDescent="0.25">
      <c r="A21" s="78">
        <v>15</v>
      </c>
      <c r="B21" s="98" t="s">
        <v>225</v>
      </c>
      <c r="C21" s="83" t="s">
        <v>110</v>
      </c>
      <c r="D21" s="80">
        <f t="shared" si="0"/>
        <v>3291</v>
      </c>
      <c r="E21" s="80"/>
      <c r="F21" s="80">
        <f>3646-355</f>
        <v>3291</v>
      </c>
      <c r="G21" s="80">
        <v>253</v>
      </c>
      <c r="H21" s="80"/>
      <c r="I21" s="80">
        <f>728-355</f>
        <v>373</v>
      </c>
      <c r="J21" s="80"/>
      <c r="K21" s="80"/>
      <c r="L21" s="80">
        <v>4</v>
      </c>
      <c r="M21" s="80"/>
      <c r="N21" s="81"/>
    </row>
    <row r="22" spans="1:14" ht="17.25" customHeight="1" x14ac:dyDescent="0.25">
      <c r="A22" s="78">
        <v>16</v>
      </c>
      <c r="B22" s="98" t="s">
        <v>226</v>
      </c>
      <c r="C22" s="83" t="s">
        <v>175</v>
      </c>
      <c r="D22" s="80">
        <f t="shared" si="0"/>
        <v>2425</v>
      </c>
      <c r="E22" s="80"/>
      <c r="F22" s="80">
        <v>2425</v>
      </c>
      <c r="G22" s="80">
        <v>215</v>
      </c>
      <c r="H22" s="80"/>
      <c r="I22" s="80"/>
      <c r="J22" s="80"/>
      <c r="K22" s="80"/>
      <c r="L22" s="80"/>
      <c r="M22" s="80"/>
      <c r="N22" s="81"/>
    </row>
    <row r="23" spans="1:14" ht="19.5" customHeight="1" x14ac:dyDescent="0.25">
      <c r="A23" s="78">
        <v>17</v>
      </c>
      <c r="B23" s="98" t="s">
        <v>227</v>
      </c>
      <c r="C23" s="83" t="s">
        <v>174</v>
      </c>
      <c r="D23" s="80">
        <f t="shared" si="0"/>
        <v>1090</v>
      </c>
      <c r="E23" s="80"/>
      <c r="F23" s="80">
        <v>1090</v>
      </c>
      <c r="G23" s="80">
        <v>90</v>
      </c>
      <c r="H23" s="80"/>
      <c r="I23" s="80"/>
      <c r="J23" s="80"/>
      <c r="K23" s="80"/>
      <c r="L23" s="80"/>
      <c r="M23" s="80"/>
      <c r="N23" s="81"/>
    </row>
    <row r="24" spans="1:14" ht="17.25" customHeight="1" x14ac:dyDescent="0.25">
      <c r="A24" s="78">
        <v>18</v>
      </c>
      <c r="B24" s="98" t="s">
        <v>228</v>
      </c>
      <c r="C24" s="83" t="s">
        <v>173</v>
      </c>
      <c r="D24" s="80">
        <f t="shared" si="0"/>
        <v>1333</v>
      </c>
      <c r="E24" s="80"/>
      <c r="F24" s="80">
        <v>1333</v>
      </c>
      <c r="G24" s="80">
        <v>92</v>
      </c>
      <c r="H24" s="80"/>
      <c r="I24" s="80"/>
      <c r="J24" s="80"/>
      <c r="K24" s="80"/>
      <c r="L24" s="80"/>
      <c r="M24" s="80"/>
      <c r="N24" s="81"/>
    </row>
    <row r="25" spans="1:14" ht="17.25" customHeight="1" x14ac:dyDescent="0.25">
      <c r="A25" s="78">
        <v>19</v>
      </c>
      <c r="B25" s="98" t="s">
        <v>229</v>
      </c>
      <c r="C25" s="83" t="s">
        <v>172</v>
      </c>
      <c r="D25" s="80">
        <f t="shared" si="0"/>
        <v>1084</v>
      </c>
      <c r="E25" s="80"/>
      <c r="F25" s="80">
        <v>1084</v>
      </c>
      <c r="G25" s="80">
        <v>70</v>
      </c>
      <c r="H25" s="80"/>
      <c r="I25" s="80"/>
      <c r="J25" s="80"/>
      <c r="K25" s="80"/>
      <c r="L25" s="80"/>
      <c r="M25" s="80"/>
      <c r="N25" s="81"/>
    </row>
    <row r="26" spans="1:14" ht="17.25" customHeight="1" x14ac:dyDescent="0.25">
      <c r="A26" s="78">
        <v>20</v>
      </c>
      <c r="B26" s="98" t="s">
        <v>230</v>
      </c>
      <c r="C26" s="83" t="s">
        <v>171</v>
      </c>
      <c r="D26" s="80">
        <f t="shared" si="0"/>
        <v>855</v>
      </c>
      <c r="E26" s="80"/>
      <c r="F26" s="80">
        <v>855</v>
      </c>
      <c r="G26" s="80">
        <v>91</v>
      </c>
      <c r="H26" s="80"/>
      <c r="I26" s="80"/>
      <c r="J26" s="80"/>
      <c r="K26" s="80"/>
      <c r="L26" s="80"/>
      <c r="M26" s="80"/>
      <c r="N26" s="81"/>
    </row>
    <row r="27" spans="1:14" ht="18" customHeight="1" x14ac:dyDescent="0.25">
      <c r="A27" s="78">
        <v>21</v>
      </c>
      <c r="B27" s="98" t="s">
        <v>231</v>
      </c>
      <c r="C27" s="83" t="s">
        <v>170</v>
      </c>
      <c r="D27" s="80">
        <f t="shared" si="0"/>
        <v>1168</v>
      </c>
      <c r="E27" s="80"/>
      <c r="F27" s="80">
        <v>1168</v>
      </c>
      <c r="G27" s="80">
        <v>91</v>
      </c>
      <c r="H27" s="80"/>
      <c r="I27" s="80"/>
      <c r="J27" s="80"/>
      <c r="K27" s="80"/>
      <c r="L27" s="80"/>
      <c r="M27" s="80"/>
      <c r="N27" s="81"/>
    </row>
    <row r="28" spans="1:14" ht="18" customHeight="1" x14ac:dyDescent="0.25">
      <c r="A28" s="78">
        <v>22</v>
      </c>
      <c r="B28" s="98" t="s">
        <v>232</v>
      </c>
      <c r="C28" s="83" t="s">
        <v>169</v>
      </c>
      <c r="D28" s="80">
        <f t="shared" si="0"/>
        <v>1554</v>
      </c>
      <c r="E28" s="80"/>
      <c r="F28" s="80">
        <v>1554</v>
      </c>
      <c r="G28" s="80">
        <v>118</v>
      </c>
      <c r="H28" s="80"/>
      <c r="I28" s="80"/>
      <c r="J28" s="80"/>
      <c r="K28" s="80"/>
      <c r="L28" s="80"/>
      <c r="M28" s="80"/>
      <c r="N28" s="81"/>
    </row>
    <row r="29" spans="1:14" ht="17.25" customHeight="1" x14ac:dyDescent="0.25">
      <c r="A29" s="78">
        <v>23</v>
      </c>
      <c r="B29" s="98" t="s">
        <v>233</v>
      </c>
      <c r="C29" s="83" t="s">
        <v>96</v>
      </c>
      <c r="D29" s="80">
        <f t="shared" si="0"/>
        <v>3194</v>
      </c>
      <c r="E29" s="80"/>
      <c r="F29" s="80">
        <f>3694-500</f>
        <v>3194</v>
      </c>
      <c r="G29" s="80">
        <v>210</v>
      </c>
      <c r="H29" s="80"/>
      <c r="I29" s="80">
        <f>679-500</f>
        <v>179</v>
      </c>
      <c r="J29" s="80"/>
      <c r="K29" s="80"/>
      <c r="L29" s="80">
        <v>4</v>
      </c>
      <c r="M29" s="80"/>
      <c r="N29" s="81"/>
    </row>
    <row r="30" spans="1:14" ht="17.25" customHeight="1" x14ac:dyDescent="0.25">
      <c r="A30" s="78">
        <v>24</v>
      </c>
      <c r="B30" s="98" t="s">
        <v>19</v>
      </c>
      <c r="C30" s="83" t="s">
        <v>234</v>
      </c>
      <c r="D30" s="80">
        <f t="shared" si="0"/>
        <v>7241</v>
      </c>
      <c r="E30" s="80"/>
      <c r="F30" s="80">
        <f>7370-227+98</f>
        <v>7241</v>
      </c>
      <c r="G30" s="80">
        <v>1291</v>
      </c>
      <c r="H30" s="80"/>
      <c r="I30" s="80">
        <f>450-227+98</f>
        <v>321</v>
      </c>
      <c r="J30" s="80"/>
      <c r="K30" s="80"/>
      <c r="L30" s="80">
        <v>8</v>
      </c>
      <c r="M30" s="80"/>
      <c r="N30" s="81"/>
    </row>
    <row r="31" spans="1:14" ht="16.5" customHeight="1" x14ac:dyDescent="0.25">
      <c r="A31" s="78">
        <v>25</v>
      </c>
      <c r="B31" s="98" t="s">
        <v>235</v>
      </c>
      <c r="C31" s="83" t="s">
        <v>95</v>
      </c>
      <c r="D31" s="80">
        <f t="shared" si="0"/>
        <v>4096</v>
      </c>
      <c r="E31" s="80"/>
      <c r="F31" s="80">
        <v>4096</v>
      </c>
      <c r="G31" s="80"/>
      <c r="H31" s="80"/>
      <c r="I31" s="80">
        <v>690</v>
      </c>
      <c r="J31" s="80"/>
      <c r="K31" s="80"/>
      <c r="L31" s="80">
        <f>6-6</f>
        <v>0</v>
      </c>
      <c r="M31" s="80"/>
      <c r="N31" s="81"/>
    </row>
    <row r="32" spans="1:14" s="85" customFormat="1" ht="18.75" customHeight="1" x14ac:dyDescent="0.25">
      <c r="A32" s="467">
        <v>26</v>
      </c>
      <c r="B32" s="98" t="s">
        <v>236</v>
      </c>
      <c r="C32" s="83" t="s">
        <v>237</v>
      </c>
      <c r="D32" s="80">
        <f t="shared" si="0"/>
        <v>3300</v>
      </c>
      <c r="E32" s="80"/>
      <c r="F32" s="80">
        <v>3300</v>
      </c>
      <c r="G32" s="80"/>
      <c r="H32" s="80"/>
      <c r="I32" s="80">
        <v>507</v>
      </c>
      <c r="J32" s="80"/>
      <c r="K32" s="80"/>
      <c r="L32" s="80"/>
      <c r="M32" s="80"/>
      <c r="N32" s="84"/>
    </row>
    <row r="33" spans="1:14" s="85" customFormat="1" ht="39.75" customHeight="1" x14ac:dyDescent="0.25">
      <c r="A33" s="468"/>
      <c r="B33" s="98" t="s">
        <v>238</v>
      </c>
      <c r="C33" s="86" t="s">
        <v>239</v>
      </c>
      <c r="D33" s="80">
        <f t="shared" si="0"/>
        <v>2485</v>
      </c>
      <c r="E33" s="80"/>
      <c r="F33" s="80">
        <f>0+2485</f>
        <v>2485</v>
      </c>
      <c r="G33" s="80"/>
      <c r="H33" s="80"/>
      <c r="I33" s="80"/>
      <c r="J33" s="80"/>
      <c r="K33" s="80"/>
      <c r="L33" s="80"/>
      <c r="M33" s="80"/>
      <c r="N33" s="84"/>
    </row>
    <row r="34" spans="1:14" ht="16.5" customHeight="1" x14ac:dyDescent="0.25">
      <c r="A34" s="78">
        <v>27</v>
      </c>
      <c r="B34" s="98">
        <v>16008</v>
      </c>
      <c r="C34" s="83" t="s">
        <v>240</v>
      </c>
      <c r="D34" s="80">
        <f t="shared" si="0"/>
        <v>475</v>
      </c>
      <c r="E34" s="80"/>
      <c r="F34" s="80">
        <f>2960-2485</f>
        <v>475</v>
      </c>
      <c r="G34" s="80"/>
      <c r="H34" s="80"/>
      <c r="I34" s="80"/>
      <c r="J34" s="80"/>
      <c r="K34" s="80"/>
      <c r="L34" s="80"/>
      <c r="M34" s="80"/>
      <c r="N34" s="81"/>
    </row>
    <row r="35" spans="1:14" ht="30" customHeight="1" x14ac:dyDescent="0.25">
      <c r="A35" s="78">
        <v>28</v>
      </c>
      <c r="B35" s="98" t="s">
        <v>24</v>
      </c>
      <c r="C35" s="87" t="s">
        <v>241</v>
      </c>
      <c r="D35" s="80">
        <f t="shared" si="0"/>
        <v>4360</v>
      </c>
      <c r="E35" s="80"/>
      <c r="F35" s="80">
        <f>3211+1149</f>
        <v>4360</v>
      </c>
      <c r="G35" s="80">
        <f>301+188</f>
        <v>489</v>
      </c>
      <c r="H35" s="80"/>
      <c r="I35" s="80"/>
      <c r="J35" s="80"/>
      <c r="K35" s="80"/>
      <c r="L35" s="80"/>
      <c r="M35" s="80"/>
      <c r="N35" s="81"/>
    </row>
    <row r="36" spans="1:14" ht="23.25" customHeight="1" x14ac:dyDescent="0.25">
      <c r="A36" s="78">
        <v>29</v>
      </c>
      <c r="B36" s="98" t="s">
        <v>242</v>
      </c>
      <c r="C36" s="83" t="s">
        <v>243</v>
      </c>
      <c r="D36" s="80">
        <f t="shared" si="0"/>
        <v>383</v>
      </c>
      <c r="E36" s="80"/>
      <c r="F36" s="80">
        <f>1532-1149</f>
        <v>383</v>
      </c>
      <c r="G36" s="80">
        <f>251-188</f>
        <v>63</v>
      </c>
      <c r="H36" s="80"/>
      <c r="I36" s="80"/>
      <c r="J36" s="80"/>
      <c r="K36" s="80"/>
      <c r="L36" s="80"/>
      <c r="M36" s="80"/>
      <c r="N36" s="81"/>
    </row>
    <row r="37" spans="1:14" ht="18.75" customHeight="1" x14ac:dyDescent="0.25">
      <c r="A37" s="78">
        <v>30</v>
      </c>
      <c r="B37" s="98" t="s">
        <v>244</v>
      </c>
      <c r="C37" s="83" t="s">
        <v>245</v>
      </c>
      <c r="D37" s="80">
        <f t="shared" si="0"/>
        <v>5873</v>
      </c>
      <c r="E37" s="80"/>
      <c r="F37" s="80">
        <f>5894-145+26+98</f>
        <v>5873</v>
      </c>
      <c r="G37" s="80">
        <v>1046</v>
      </c>
      <c r="H37" s="80"/>
      <c r="I37" s="80">
        <f>590+27-145+26+98</f>
        <v>596</v>
      </c>
      <c r="J37" s="80"/>
      <c r="K37" s="80">
        <v>30</v>
      </c>
      <c r="L37" s="80">
        <v>12</v>
      </c>
      <c r="M37" s="80"/>
      <c r="N37" s="81"/>
    </row>
    <row r="38" spans="1:14" ht="18.75" customHeight="1" x14ac:dyDescent="0.25">
      <c r="A38" s="78">
        <v>31</v>
      </c>
      <c r="B38" s="98" t="s">
        <v>246</v>
      </c>
      <c r="C38" s="83" t="s">
        <v>247</v>
      </c>
      <c r="D38" s="80">
        <f t="shared" si="0"/>
        <v>64</v>
      </c>
      <c r="E38" s="80"/>
      <c r="F38" s="80">
        <f>329-247-18</f>
        <v>64</v>
      </c>
      <c r="G38" s="80"/>
      <c r="H38" s="80"/>
      <c r="I38" s="80"/>
      <c r="J38" s="80"/>
      <c r="K38" s="80"/>
      <c r="L38" s="80"/>
      <c r="M38" s="80"/>
      <c r="N38" s="81"/>
    </row>
    <row r="39" spans="1:14" ht="20.25" customHeight="1" x14ac:dyDescent="0.25">
      <c r="A39" s="78">
        <v>32</v>
      </c>
      <c r="B39" s="98" t="s">
        <v>248</v>
      </c>
      <c r="C39" s="83" t="s">
        <v>249</v>
      </c>
      <c r="D39" s="80">
        <f t="shared" si="0"/>
        <v>2191</v>
      </c>
      <c r="E39" s="80"/>
      <c r="F39" s="80">
        <v>2191</v>
      </c>
      <c r="G39" s="80">
        <v>2191</v>
      </c>
      <c r="H39" s="80"/>
      <c r="I39" s="80"/>
      <c r="J39" s="80"/>
      <c r="K39" s="80"/>
      <c r="L39" s="80">
        <f>20+5+19</f>
        <v>44</v>
      </c>
      <c r="M39" s="80"/>
      <c r="N39" s="81"/>
    </row>
    <row r="40" spans="1:14" ht="17.25" customHeight="1" x14ac:dyDescent="0.25">
      <c r="A40" s="78">
        <v>33</v>
      </c>
      <c r="B40" s="98" t="s">
        <v>250</v>
      </c>
      <c r="C40" s="88" t="s">
        <v>168</v>
      </c>
      <c r="D40" s="80">
        <f t="shared" si="0"/>
        <v>1856</v>
      </c>
      <c r="E40" s="80"/>
      <c r="F40" s="80">
        <v>1856</v>
      </c>
      <c r="G40" s="80">
        <v>146</v>
      </c>
      <c r="H40" s="80"/>
      <c r="I40" s="80"/>
      <c r="J40" s="80"/>
      <c r="K40" s="80"/>
      <c r="L40" s="80"/>
      <c r="M40" s="80"/>
      <c r="N40" s="81"/>
    </row>
    <row r="41" spans="1:14" ht="18" customHeight="1" x14ac:dyDescent="0.25">
      <c r="A41" s="78">
        <v>34</v>
      </c>
      <c r="B41" s="98" t="s">
        <v>251</v>
      </c>
      <c r="C41" s="83" t="s">
        <v>108</v>
      </c>
      <c r="D41" s="80">
        <f t="shared" si="0"/>
        <v>2896</v>
      </c>
      <c r="E41" s="80"/>
      <c r="F41" s="80">
        <v>2896</v>
      </c>
      <c r="G41" s="80">
        <v>225</v>
      </c>
      <c r="H41" s="80"/>
      <c r="I41" s="80"/>
      <c r="J41" s="80"/>
      <c r="K41" s="80"/>
      <c r="L41" s="80">
        <v>4</v>
      </c>
      <c r="M41" s="80"/>
      <c r="N41" s="81"/>
    </row>
    <row r="42" spans="1:14" ht="17.25" customHeight="1" x14ac:dyDescent="0.25">
      <c r="A42" s="78">
        <v>35</v>
      </c>
      <c r="B42" s="98" t="s">
        <v>252</v>
      </c>
      <c r="C42" s="83" t="s">
        <v>167</v>
      </c>
      <c r="D42" s="80">
        <f t="shared" si="0"/>
        <v>652</v>
      </c>
      <c r="E42" s="80"/>
      <c r="F42" s="80">
        <v>652</v>
      </c>
      <c r="G42" s="80">
        <v>41</v>
      </c>
      <c r="H42" s="80"/>
      <c r="I42" s="80"/>
      <c r="J42" s="80"/>
      <c r="K42" s="80"/>
      <c r="L42" s="80"/>
      <c r="M42" s="80"/>
      <c r="N42" s="81"/>
    </row>
    <row r="43" spans="1:14" ht="17.25" customHeight="1" x14ac:dyDescent="0.25">
      <c r="A43" s="78">
        <v>36</v>
      </c>
      <c r="B43" s="98" t="s">
        <v>253</v>
      </c>
      <c r="C43" s="83" t="s">
        <v>166</v>
      </c>
      <c r="D43" s="80">
        <f t="shared" si="0"/>
        <v>702</v>
      </c>
      <c r="E43" s="80"/>
      <c r="F43" s="80">
        <v>702</v>
      </c>
      <c r="G43" s="80">
        <v>59</v>
      </c>
      <c r="H43" s="80"/>
      <c r="I43" s="80"/>
      <c r="J43" s="80"/>
      <c r="K43" s="80"/>
      <c r="L43" s="80"/>
      <c r="M43" s="80"/>
      <c r="N43" s="81"/>
    </row>
    <row r="44" spans="1:14" ht="18" customHeight="1" x14ac:dyDescent="0.25">
      <c r="A44" s="78">
        <v>37</v>
      </c>
      <c r="B44" s="98" t="s">
        <v>254</v>
      </c>
      <c r="C44" s="83" t="s">
        <v>165</v>
      </c>
      <c r="D44" s="80">
        <f t="shared" si="0"/>
        <v>2628</v>
      </c>
      <c r="E44" s="80"/>
      <c r="F44" s="80">
        <v>2628</v>
      </c>
      <c r="G44" s="80">
        <v>249</v>
      </c>
      <c r="H44" s="80"/>
      <c r="I44" s="80"/>
      <c r="J44" s="80"/>
      <c r="K44" s="80"/>
      <c r="L44" s="80"/>
      <c r="M44" s="80"/>
      <c r="N44" s="81"/>
    </row>
    <row r="45" spans="1:14" ht="19.5" customHeight="1" x14ac:dyDescent="0.25">
      <c r="A45" s="78">
        <v>38</v>
      </c>
      <c r="B45" s="98" t="s">
        <v>255</v>
      </c>
      <c r="C45" s="83" t="s">
        <v>164</v>
      </c>
      <c r="D45" s="80">
        <f t="shared" si="0"/>
        <v>1275</v>
      </c>
      <c r="E45" s="80"/>
      <c r="F45" s="80">
        <v>1275</v>
      </c>
      <c r="G45" s="80">
        <v>112</v>
      </c>
      <c r="H45" s="80"/>
      <c r="I45" s="80"/>
      <c r="J45" s="80"/>
      <c r="K45" s="80"/>
      <c r="L45" s="80"/>
      <c r="M45" s="80"/>
      <c r="N45" s="81"/>
    </row>
    <row r="46" spans="1:14" ht="20.25" customHeight="1" x14ac:dyDescent="0.25">
      <c r="A46" s="78">
        <v>39</v>
      </c>
      <c r="B46" s="98" t="s">
        <v>256</v>
      </c>
      <c r="C46" s="83" t="s">
        <v>107</v>
      </c>
      <c r="D46" s="80">
        <f t="shared" si="0"/>
        <v>4196</v>
      </c>
      <c r="E46" s="80"/>
      <c r="F46" s="80">
        <v>4196</v>
      </c>
      <c r="G46" s="80">
        <v>337</v>
      </c>
      <c r="H46" s="89"/>
      <c r="I46" s="89"/>
      <c r="J46" s="89"/>
      <c r="K46" s="89"/>
      <c r="L46" s="89"/>
      <c r="M46" s="89"/>
      <c r="N46" s="81"/>
    </row>
    <row r="47" spans="1:14" ht="18" customHeight="1" x14ac:dyDescent="0.25">
      <c r="A47" s="78">
        <v>40</v>
      </c>
      <c r="B47" s="98" t="s">
        <v>257</v>
      </c>
      <c r="C47" s="83" t="s">
        <v>163</v>
      </c>
      <c r="D47" s="80">
        <f t="shared" si="0"/>
        <v>1223</v>
      </c>
      <c r="E47" s="80"/>
      <c r="F47" s="80">
        <v>1223</v>
      </c>
      <c r="G47" s="80">
        <v>98</v>
      </c>
      <c r="H47" s="80"/>
      <c r="I47" s="80"/>
      <c r="J47" s="80"/>
      <c r="K47" s="80"/>
      <c r="L47" s="80"/>
      <c r="M47" s="80"/>
      <c r="N47" s="81"/>
    </row>
    <row r="48" spans="1:14" ht="18.75" customHeight="1" x14ac:dyDescent="0.25">
      <c r="A48" s="78">
        <v>41</v>
      </c>
      <c r="B48" s="98" t="s">
        <v>258</v>
      </c>
      <c r="C48" s="83" t="s">
        <v>162</v>
      </c>
      <c r="D48" s="80">
        <f t="shared" si="0"/>
        <v>1118</v>
      </c>
      <c r="E48" s="80"/>
      <c r="F48" s="80">
        <v>1118</v>
      </c>
      <c r="G48" s="80">
        <v>82</v>
      </c>
      <c r="H48" s="80"/>
      <c r="I48" s="80"/>
      <c r="J48" s="80"/>
      <c r="K48" s="80"/>
      <c r="L48" s="80"/>
      <c r="M48" s="80"/>
      <c r="N48" s="81"/>
    </row>
    <row r="49" spans="1:14" ht="18" customHeight="1" x14ac:dyDescent="0.25">
      <c r="A49" s="78">
        <v>42</v>
      </c>
      <c r="B49" s="98" t="s">
        <v>259</v>
      </c>
      <c r="C49" s="83" t="s">
        <v>161</v>
      </c>
      <c r="D49" s="80">
        <f t="shared" si="0"/>
        <v>2293</v>
      </c>
      <c r="E49" s="80"/>
      <c r="F49" s="80">
        <v>2293</v>
      </c>
      <c r="G49" s="80">
        <v>192</v>
      </c>
      <c r="H49" s="80"/>
      <c r="I49" s="80"/>
      <c r="J49" s="80"/>
      <c r="K49" s="80"/>
      <c r="L49" s="80"/>
      <c r="M49" s="80"/>
      <c r="N49" s="81"/>
    </row>
    <row r="50" spans="1:14" ht="18" customHeight="1" x14ac:dyDescent="0.25">
      <c r="A50" s="78">
        <v>43</v>
      </c>
      <c r="B50" s="98" t="s">
        <v>260</v>
      </c>
      <c r="C50" s="83" t="s">
        <v>160</v>
      </c>
      <c r="D50" s="80">
        <f t="shared" si="0"/>
        <v>815</v>
      </c>
      <c r="E50" s="80"/>
      <c r="F50" s="80">
        <v>815</v>
      </c>
      <c r="G50" s="80">
        <v>69</v>
      </c>
      <c r="H50" s="80"/>
      <c r="I50" s="80"/>
      <c r="J50" s="80"/>
      <c r="K50" s="80"/>
      <c r="L50" s="80"/>
      <c r="M50" s="80"/>
      <c r="N50" s="81"/>
    </row>
    <row r="51" spans="1:14" ht="18.75" customHeight="1" x14ac:dyDescent="0.25">
      <c r="A51" s="78">
        <v>44</v>
      </c>
      <c r="B51" s="98" t="s">
        <v>261</v>
      </c>
      <c r="C51" s="83" t="s">
        <v>159</v>
      </c>
      <c r="D51" s="80">
        <f t="shared" si="0"/>
        <v>1345</v>
      </c>
      <c r="E51" s="80"/>
      <c r="F51" s="80">
        <v>1345</v>
      </c>
      <c r="G51" s="80">
        <v>93</v>
      </c>
      <c r="H51" s="89"/>
      <c r="I51" s="89"/>
      <c r="J51" s="89"/>
      <c r="K51" s="89"/>
      <c r="L51" s="89"/>
      <c r="M51" s="89"/>
      <c r="N51" s="81"/>
    </row>
    <row r="52" spans="1:14" ht="15" customHeight="1" x14ac:dyDescent="0.25">
      <c r="A52" s="78">
        <v>45</v>
      </c>
      <c r="B52" s="98" t="s">
        <v>262</v>
      </c>
      <c r="C52" s="83" t="s">
        <v>158</v>
      </c>
      <c r="D52" s="80">
        <f t="shared" si="0"/>
        <v>1592</v>
      </c>
      <c r="E52" s="80"/>
      <c r="F52" s="80">
        <v>1592</v>
      </c>
      <c r="G52" s="80">
        <v>137</v>
      </c>
      <c r="H52" s="80"/>
      <c r="I52" s="80"/>
      <c r="J52" s="80"/>
      <c r="K52" s="80"/>
      <c r="L52" s="80">
        <f>0+6</f>
        <v>6</v>
      </c>
      <c r="M52" s="80"/>
      <c r="N52" s="81"/>
    </row>
    <row r="53" spans="1:14" ht="18" customHeight="1" x14ac:dyDescent="0.25">
      <c r="A53" s="78">
        <v>46</v>
      </c>
      <c r="B53" s="98" t="s">
        <v>263</v>
      </c>
      <c r="C53" s="83" t="s">
        <v>157</v>
      </c>
      <c r="D53" s="80">
        <f t="shared" si="0"/>
        <v>1269</v>
      </c>
      <c r="E53" s="80"/>
      <c r="F53" s="80">
        <v>1269</v>
      </c>
      <c r="G53" s="80">
        <v>96</v>
      </c>
      <c r="H53" s="80"/>
      <c r="I53" s="80"/>
      <c r="J53" s="80"/>
      <c r="K53" s="80"/>
      <c r="L53" s="80"/>
      <c r="M53" s="80"/>
      <c r="N53" s="81"/>
    </row>
    <row r="54" spans="1:14" ht="18" customHeight="1" x14ac:dyDescent="0.25">
      <c r="A54" s="78">
        <v>47</v>
      </c>
      <c r="B54" s="98" t="s">
        <v>264</v>
      </c>
      <c r="C54" s="83" t="s">
        <v>156</v>
      </c>
      <c r="D54" s="80">
        <f t="shared" si="0"/>
        <v>1239</v>
      </c>
      <c r="E54" s="80"/>
      <c r="F54" s="80">
        <v>1239</v>
      </c>
      <c r="G54" s="80">
        <v>109</v>
      </c>
      <c r="H54" s="80"/>
      <c r="I54" s="80"/>
      <c r="J54" s="80"/>
      <c r="K54" s="80"/>
      <c r="L54" s="80"/>
      <c r="M54" s="80"/>
      <c r="N54" s="81"/>
    </row>
    <row r="55" spans="1:14" ht="20.25" customHeight="1" x14ac:dyDescent="0.25">
      <c r="A55" s="78">
        <v>48</v>
      </c>
      <c r="B55" s="98" t="s">
        <v>265</v>
      </c>
      <c r="C55" s="83" t="s">
        <v>106</v>
      </c>
      <c r="D55" s="80">
        <f t="shared" si="0"/>
        <v>4124</v>
      </c>
      <c r="E55" s="80"/>
      <c r="F55" s="80">
        <v>4124</v>
      </c>
      <c r="G55" s="80">
        <v>337</v>
      </c>
      <c r="H55" s="80"/>
      <c r="I55" s="80">
        <v>64</v>
      </c>
      <c r="J55" s="80"/>
      <c r="K55" s="80"/>
      <c r="L55" s="80">
        <f>0+5+7+6+3</f>
        <v>21</v>
      </c>
      <c r="M55" s="80"/>
      <c r="N55" s="81"/>
    </row>
    <row r="56" spans="1:14" ht="20.25" customHeight="1" x14ac:dyDescent="0.25">
      <c r="A56" s="78">
        <v>49</v>
      </c>
      <c r="B56" s="98" t="s">
        <v>266</v>
      </c>
      <c r="C56" s="83" t="s">
        <v>59</v>
      </c>
      <c r="D56" s="80">
        <f t="shared" si="0"/>
        <v>1685</v>
      </c>
      <c r="E56" s="80"/>
      <c r="F56" s="80">
        <f>1795-133+15+8</f>
        <v>1685</v>
      </c>
      <c r="G56" s="80">
        <v>132</v>
      </c>
      <c r="H56" s="80"/>
      <c r="I56" s="80">
        <f>365-133+15+8</f>
        <v>255</v>
      </c>
      <c r="J56" s="80"/>
      <c r="K56" s="80">
        <v>50</v>
      </c>
      <c r="L56" s="80">
        <f>4+2</f>
        <v>6</v>
      </c>
      <c r="M56" s="80"/>
      <c r="N56" s="81"/>
    </row>
    <row r="57" spans="1:14" ht="19.5" customHeight="1" x14ac:dyDescent="0.25">
      <c r="A57" s="78">
        <v>50</v>
      </c>
      <c r="B57" s="98" t="s">
        <v>267</v>
      </c>
      <c r="C57" s="83" t="s">
        <v>155</v>
      </c>
      <c r="D57" s="80">
        <f t="shared" si="0"/>
        <v>1114</v>
      </c>
      <c r="E57" s="80"/>
      <c r="F57" s="80">
        <v>1114</v>
      </c>
      <c r="G57" s="80">
        <v>95</v>
      </c>
      <c r="H57" s="80"/>
      <c r="I57" s="80"/>
      <c r="J57" s="80"/>
      <c r="K57" s="80"/>
      <c r="L57" s="80"/>
      <c r="M57" s="80"/>
      <c r="N57" s="81"/>
    </row>
    <row r="58" spans="1:14" ht="19.5" customHeight="1" x14ac:dyDescent="0.25">
      <c r="A58" s="78">
        <v>51</v>
      </c>
      <c r="B58" s="98" t="s">
        <v>268</v>
      </c>
      <c r="C58" s="83" t="s">
        <v>154</v>
      </c>
      <c r="D58" s="80">
        <f t="shared" si="0"/>
        <v>1292</v>
      </c>
      <c r="E58" s="80"/>
      <c r="F58" s="80">
        <v>1292</v>
      </c>
      <c r="G58" s="80">
        <v>95</v>
      </c>
      <c r="H58" s="80"/>
      <c r="I58" s="80"/>
      <c r="J58" s="80"/>
      <c r="K58" s="80"/>
      <c r="L58" s="80"/>
      <c r="M58" s="80"/>
      <c r="N58" s="81"/>
    </row>
    <row r="59" spans="1:14" ht="19.5" customHeight="1" x14ac:dyDescent="0.25">
      <c r="A59" s="78">
        <v>52</v>
      </c>
      <c r="B59" s="98" t="s">
        <v>269</v>
      </c>
      <c r="C59" s="83" t="s">
        <v>153</v>
      </c>
      <c r="D59" s="80">
        <f t="shared" si="0"/>
        <v>1468</v>
      </c>
      <c r="E59" s="80"/>
      <c r="F59" s="80">
        <v>1468</v>
      </c>
      <c r="G59" s="80">
        <v>123</v>
      </c>
      <c r="H59" s="80"/>
      <c r="I59" s="80"/>
      <c r="J59" s="80"/>
      <c r="K59" s="80"/>
      <c r="L59" s="80"/>
      <c r="M59" s="80"/>
      <c r="N59" s="81"/>
    </row>
    <row r="60" spans="1:14" ht="19.5" customHeight="1" x14ac:dyDescent="0.25">
      <c r="A60" s="78">
        <v>53</v>
      </c>
      <c r="B60" s="98" t="s">
        <v>270</v>
      </c>
      <c r="C60" s="83" t="s">
        <v>152</v>
      </c>
      <c r="D60" s="80">
        <f t="shared" si="0"/>
        <v>939</v>
      </c>
      <c r="E60" s="80"/>
      <c r="F60" s="80">
        <v>939</v>
      </c>
      <c r="G60" s="80">
        <v>81</v>
      </c>
      <c r="H60" s="80"/>
      <c r="I60" s="80"/>
      <c r="J60" s="80"/>
      <c r="K60" s="80"/>
      <c r="L60" s="80"/>
      <c r="M60" s="80"/>
      <c r="N60" s="81"/>
    </row>
    <row r="61" spans="1:14" ht="19.5" customHeight="1" x14ac:dyDescent="0.25">
      <c r="A61" s="78">
        <v>54</v>
      </c>
      <c r="B61" s="98" t="s">
        <v>271</v>
      </c>
      <c r="C61" s="83" t="s">
        <v>151</v>
      </c>
      <c r="D61" s="80">
        <f t="shared" si="0"/>
        <v>1922</v>
      </c>
      <c r="E61" s="80"/>
      <c r="F61" s="80">
        <v>1922</v>
      </c>
      <c r="G61" s="80">
        <v>146</v>
      </c>
      <c r="H61" s="80"/>
      <c r="I61" s="80"/>
      <c r="J61" s="80"/>
      <c r="K61" s="80"/>
      <c r="L61" s="80"/>
      <c r="M61" s="80"/>
      <c r="N61" s="81"/>
    </row>
    <row r="62" spans="1:14" ht="18.75" customHeight="1" x14ac:dyDescent="0.25">
      <c r="A62" s="78">
        <v>55</v>
      </c>
      <c r="B62" s="98" t="s">
        <v>272</v>
      </c>
      <c r="C62" s="83" t="s">
        <v>150</v>
      </c>
      <c r="D62" s="80">
        <f t="shared" si="0"/>
        <v>939</v>
      </c>
      <c r="E62" s="80"/>
      <c r="F62" s="80">
        <v>939</v>
      </c>
      <c r="G62" s="80">
        <v>66</v>
      </c>
      <c r="H62" s="80"/>
      <c r="I62" s="80"/>
      <c r="J62" s="80"/>
      <c r="K62" s="80"/>
      <c r="L62" s="80"/>
      <c r="M62" s="80"/>
      <c r="N62" s="81"/>
    </row>
    <row r="63" spans="1:14" ht="18.75" customHeight="1" x14ac:dyDescent="0.25">
      <c r="A63" s="78">
        <v>56</v>
      </c>
      <c r="B63" s="98" t="s">
        <v>273</v>
      </c>
      <c r="C63" s="83" t="s">
        <v>149</v>
      </c>
      <c r="D63" s="80">
        <f t="shared" si="0"/>
        <v>1628</v>
      </c>
      <c r="E63" s="80"/>
      <c r="F63" s="80">
        <v>1628</v>
      </c>
      <c r="G63" s="80">
        <v>113</v>
      </c>
      <c r="H63" s="80"/>
      <c r="I63" s="80"/>
      <c r="J63" s="80"/>
      <c r="K63" s="80"/>
      <c r="L63" s="80">
        <f>0+1</f>
        <v>1</v>
      </c>
      <c r="M63" s="80"/>
      <c r="N63" s="81"/>
    </row>
    <row r="64" spans="1:14" ht="19.5" customHeight="1" x14ac:dyDescent="0.25">
      <c r="A64" s="78">
        <v>57</v>
      </c>
      <c r="B64" s="98" t="s">
        <v>274</v>
      </c>
      <c r="C64" s="83" t="s">
        <v>101</v>
      </c>
      <c r="D64" s="80">
        <f t="shared" si="0"/>
        <v>6514</v>
      </c>
      <c r="E64" s="80"/>
      <c r="F64" s="80">
        <v>6514</v>
      </c>
      <c r="G64" s="80">
        <v>543</v>
      </c>
      <c r="H64" s="80"/>
      <c r="I64" s="80"/>
      <c r="J64" s="80"/>
      <c r="K64" s="80">
        <v>30</v>
      </c>
      <c r="L64" s="80">
        <v>8</v>
      </c>
      <c r="M64" s="80"/>
      <c r="N64" s="81"/>
    </row>
    <row r="65" spans="1:14" s="85" customFormat="1" ht="16.5" customHeight="1" x14ac:dyDescent="0.25">
      <c r="A65" s="78">
        <v>58</v>
      </c>
      <c r="B65" s="98" t="s">
        <v>275</v>
      </c>
      <c r="C65" s="83" t="s">
        <v>100</v>
      </c>
      <c r="D65" s="80">
        <f t="shared" si="0"/>
        <v>3579</v>
      </c>
      <c r="E65" s="80"/>
      <c r="F65" s="80">
        <v>3579</v>
      </c>
      <c r="G65" s="80">
        <v>303</v>
      </c>
      <c r="H65" s="80"/>
      <c r="I65" s="80"/>
      <c r="J65" s="80"/>
      <c r="K65" s="80"/>
      <c r="L65" s="80"/>
      <c r="M65" s="80"/>
      <c r="N65" s="84"/>
    </row>
    <row r="66" spans="1:14" ht="18" customHeight="1" x14ac:dyDescent="0.25">
      <c r="A66" s="78">
        <v>59</v>
      </c>
      <c r="B66" s="98" t="s">
        <v>276</v>
      </c>
      <c r="C66" s="83" t="s">
        <v>148</v>
      </c>
      <c r="D66" s="80">
        <f t="shared" si="0"/>
        <v>756</v>
      </c>
      <c r="E66" s="80"/>
      <c r="F66" s="80">
        <v>756</v>
      </c>
      <c r="G66" s="80">
        <v>48</v>
      </c>
      <c r="H66" s="80"/>
      <c r="I66" s="80"/>
      <c r="J66" s="80"/>
      <c r="K66" s="80"/>
      <c r="L66" s="80"/>
      <c r="M66" s="80"/>
      <c r="N66" s="81"/>
    </row>
    <row r="67" spans="1:14" ht="19.5" customHeight="1" x14ac:dyDescent="0.25">
      <c r="A67" s="78">
        <v>60</v>
      </c>
      <c r="B67" s="98" t="s">
        <v>277</v>
      </c>
      <c r="C67" s="83" t="s">
        <v>104</v>
      </c>
      <c r="D67" s="80">
        <f t="shared" si="0"/>
        <v>3123</v>
      </c>
      <c r="E67" s="80"/>
      <c r="F67" s="80">
        <v>3123</v>
      </c>
      <c r="G67" s="80">
        <v>711</v>
      </c>
      <c r="H67" s="80"/>
      <c r="I67" s="80"/>
      <c r="J67" s="80"/>
      <c r="K67" s="80">
        <v>8</v>
      </c>
      <c r="L67" s="80">
        <v>6</v>
      </c>
      <c r="M67" s="80"/>
      <c r="N67" s="81"/>
    </row>
    <row r="68" spans="1:14" ht="16.5" customHeight="1" x14ac:dyDescent="0.25">
      <c r="A68" s="78">
        <v>61</v>
      </c>
      <c r="B68" s="98" t="s">
        <v>278</v>
      </c>
      <c r="C68" s="83" t="s">
        <v>147</v>
      </c>
      <c r="D68" s="80">
        <f t="shared" si="0"/>
        <v>1395</v>
      </c>
      <c r="E68" s="80"/>
      <c r="F68" s="80">
        <v>1395</v>
      </c>
      <c r="G68" s="80">
        <v>104</v>
      </c>
      <c r="H68" s="80"/>
      <c r="I68" s="80"/>
      <c r="J68" s="80"/>
      <c r="K68" s="80"/>
      <c r="L68" s="80">
        <f>0+4</f>
        <v>4</v>
      </c>
      <c r="M68" s="80"/>
      <c r="N68" s="81"/>
    </row>
    <row r="69" spans="1:14" ht="16.5" customHeight="1" x14ac:dyDescent="0.25">
      <c r="A69" s="78">
        <v>62</v>
      </c>
      <c r="B69" s="98" t="s">
        <v>279</v>
      </c>
      <c r="C69" s="83" t="s">
        <v>146</v>
      </c>
      <c r="D69" s="80">
        <f t="shared" si="0"/>
        <v>2356</v>
      </c>
      <c r="E69" s="80"/>
      <c r="F69" s="80">
        <v>2356</v>
      </c>
      <c r="G69" s="80">
        <v>183</v>
      </c>
      <c r="H69" s="80"/>
      <c r="I69" s="80"/>
      <c r="J69" s="80"/>
      <c r="K69" s="80"/>
      <c r="L69" s="80">
        <f>0+3</f>
        <v>3</v>
      </c>
      <c r="M69" s="80"/>
      <c r="N69" s="81"/>
    </row>
    <row r="70" spans="1:14" ht="16.5" customHeight="1" x14ac:dyDescent="0.25">
      <c r="A70" s="78">
        <v>63</v>
      </c>
      <c r="B70" s="98" t="s">
        <v>280</v>
      </c>
      <c r="C70" s="83" t="s">
        <v>145</v>
      </c>
      <c r="D70" s="80">
        <f t="shared" si="0"/>
        <v>1049</v>
      </c>
      <c r="E70" s="80"/>
      <c r="F70" s="80">
        <v>1049</v>
      </c>
      <c r="G70" s="80">
        <v>79</v>
      </c>
      <c r="H70" s="80"/>
      <c r="I70" s="80"/>
      <c r="J70" s="80"/>
      <c r="K70" s="80"/>
      <c r="L70" s="80"/>
      <c r="M70" s="80"/>
      <c r="N70" s="81"/>
    </row>
    <row r="71" spans="1:14" ht="16.5" customHeight="1" x14ac:dyDescent="0.25">
      <c r="A71" s="78">
        <v>64</v>
      </c>
      <c r="B71" s="98" t="s">
        <v>281</v>
      </c>
      <c r="C71" s="83" t="s">
        <v>144</v>
      </c>
      <c r="D71" s="80">
        <f t="shared" ref="D71:D134" si="1">E71+F71+N71</f>
        <v>1112</v>
      </c>
      <c r="E71" s="80"/>
      <c r="F71" s="80">
        <v>1112</v>
      </c>
      <c r="G71" s="80">
        <v>86</v>
      </c>
      <c r="H71" s="80"/>
      <c r="I71" s="80"/>
      <c r="J71" s="80"/>
      <c r="K71" s="80"/>
      <c r="L71" s="80"/>
      <c r="M71" s="80"/>
      <c r="N71" s="81"/>
    </row>
    <row r="72" spans="1:14" ht="16.5" customHeight="1" x14ac:dyDescent="0.25">
      <c r="A72" s="78">
        <v>65</v>
      </c>
      <c r="B72" s="98" t="s">
        <v>282</v>
      </c>
      <c r="C72" s="83" t="s">
        <v>143</v>
      </c>
      <c r="D72" s="80">
        <f t="shared" si="1"/>
        <v>2217</v>
      </c>
      <c r="E72" s="80"/>
      <c r="F72" s="80">
        <v>2217</v>
      </c>
      <c r="G72" s="80">
        <v>172</v>
      </c>
      <c r="H72" s="80"/>
      <c r="I72" s="80"/>
      <c r="J72" s="80"/>
      <c r="K72" s="80"/>
      <c r="L72" s="80"/>
      <c r="M72" s="80"/>
      <c r="N72" s="81"/>
    </row>
    <row r="73" spans="1:14" ht="30" customHeight="1" x14ac:dyDescent="0.25">
      <c r="A73" s="78">
        <v>66</v>
      </c>
      <c r="B73" s="98" t="s">
        <v>283</v>
      </c>
      <c r="C73" s="83" t="s">
        <v>284</v>
      </c>
      <c r="D73" s="80">
        <f t="shared" si="1"/>
        <v>910</v>
      </c>
      <c r="E73" s="80"/>
      <c r="F73" s="80">
        <v>910</v>
      </c>
      <c r="G73" s="80">
        <v>145</v>
      </c>
      <c r="H73" s="80"/>
      <c r="I73" s="80"/>
      <c r="J73" s="80"/>
      <c r="K73" s="80"/>
      <c r="L73" s="80"/>
      <c r="M73" s="80"/>
      <c r="N73" s="81"/>
    </row>
    <row r="74" spans="1:14" ht="39" customHeight="1" x14ac:dyDescent="0.25">
      <c r="A74" s="78">
        <v>67</v>
      </c>
      <c r="B74" s="98" t="s">
        <v>285</v>
      </c>
      <c r="C74" s="83" t="s">
        <v>286</v>
      </c>
      <c r="D74" s="80">
        <f t="shared" si="1"/>
        <v>1195</v>
      </c>
      <c r="E74" s="80"/>
      <c r="F74" s="80">
        <v>1195</v>
      </c>
      <c r="G74" s="80">
        <v>106</v>
      </c>
      <c r="H74" s="80"/>
      <c r="I74" s="80"/>
      <c r="J74" s="80"/>
      <c r="K74" s="80"/>
      <c r="L74" s="80"/>
      <c r="M74" s="80"/>
      <c r="N74" s="81"/>
    </row>
    <row r="75" spans="1:14" ht="37.5" customHeight="1" x14ac:dyDescent="0.25">
      <c r="A75" s="78">
        <v>68</v>
      </c>
      <c r="B75" s="98" t="s">
        <v>287</v>
      </c>
      <c r="C75" s="83" t="s">
        <v>288</v>
      </c>
      <c r="D75" s="80">
        <f t="shared" si="1"/>
        <v>1544</v>
      </c>
      <c r="E75" s="80"/>
      <c r="F75" s="80">
        <v>1544</v>
      </c>
      <c r="G75" s="80">
        <v>1544</v>
      </c>
      <c r="H75" s="80"/>
      <c r="I75" s="80"/>
      <c r="J75" s="80"/>
      <c r="K75" s="80"/>
      <c r="L75" s="80">
        <f>0+6</f>
        <v>6</v>
      </c>
      <c r="M75" s="80"/>
      <c r="N75" s="81"/>
    </row>
    <row r="76" spans="1:14" ht="24" customHeight="1" x14ac:dyDescent="0.25">
      <c r="A76" s="78">
        <v>69</v>
      </c>
      <c r="B76" s="98" t="s">
        <v>289</v>
      </c>
      <c r="C76" s="87" t="s">
        <v>290</v>
      </c>
      <c r="D76" s="80">
        <f t="shared" si="1"/>
        <v>1000</v>
      </c>
      <c r="E76" s="80"/>
      <c r="F76" s="80">
        <v>1000</v>
      </c>
      <c r="G76" s="80"/>
      <c r="H76" s="80"/>
      <c r="I76" s="80"/>
      <c r="J76" s="80"/>
      <c r="K76" s="80"/>
      <c r="L76" s="80"/>
      <c r="M76" s="80"/>
      <c r="N76" s="81"/>
    </row>
    <row r="77" spans="1:14" ht="37.5" customHeight="1" x14ac:dyDescent="0.25">
      <c r="A77" s="78">
        <v>70</v>
      </c>
      <c r="B77" s="98" t="s">
        <v>291</v>
      </c>
      <c r="C77" s="83" t="s">
        <v>292</v>
      </c>
      <c r="D77" s="80">
        <f t="shared" si="1"/>
        <v>567</v>
      </c>
      <c r="E77" s="80"/>
      <c r="F77" s="80">
        <f>2265-1699+1</f>
        <v>567</v>
      </c>
      <c r="G77" s="80">
        <f>359-269-34</f>
        <v>56</v>
      </c>
      <c r="H77" s="80"/>
      <c r="I77" s="80"/>
      <c r="J77" s="80"/>
      <c r="K77" s="80"/>
      <c r="L77" s="80"/>
      <c r="M77" s="80"/>
      <c r="N77" s="81"/>
    </row>
    <row r="78" spans="1:14" ht="27" customHeight="1" x14ac:dyDescent="0.25">
      <c r="A78" s="78">
        <v>71</v>
      </c>
      <c r="B78" s="98" t="s">
        <v>293</v>
      </c>
      <c r="C78" s="83" t="s">
        <v>294</v>
      </c>
      <c r="D78" s="80">
        <f t="shared" si="1"/>
        <v>3826</v>
      </c>
      <c r="E78" s="80"/>
      <c r="F78" s="80">
        <v>3826</v>
      </c>
      <c r="G78" s="80">
        <v>493</v>
      </c>
      <c r="H78" s="80"/>
      <c r="I78" s="80"/>
      <c r="J78" s="80"/>
      <c r="K78" s="80"/>
      <c r="L78" s="80"/>
      <c r="M78" s="80"/>
      <c r="N78" s="81"/>
    </row>
    <row r="79" spans="1:14" ht="17.25" customHeight="1" x14ac:dyDescent="0.25">
      <c r="A79" s="78">
        <v>72</v>
      </c>
      <c r="B79" s="98" t="s">
        <v>295</v>
      </c>
      <c r="C79" s="83" t="s">
        <v>296</v>
      </c>
      <c r="D79" s="80">
        <f t="shared" si="1"/>
        <v>744</v>
      </c>
      <c r="E79" s="80"/>
      <c r="F79" s="80">
        <f>506+241-3</f>
        <v>744</v>
      </c>
      <c r="G79" s="80"/>
      <c r="H79" s="80">
        <f>506+241-3</f>
        <v>744</v>
      </c>
      <c r="I79" s="80"/>
      <c r="J79" s="80"/>
      <c r="K79" s="80"/>
      <c r="L79" s="80"/>
      <c r="M79" s="80"/>
      <c r="N79" s="81"/>
    </row>
    <row r="80" spans="1:14" ht="16.5" customHeight="1" x14ac:dyDescent="0.25">
      <c r="A80" s="78">
        <v>73</v>
      </c>
      <c r="B80" s="98" t="s">
        <v>297</v>
      </c>
      <c r="C80" s="83" t="s">
        <v>298</v>
      </c>
      <c r="D80" s="80">
        <f t="shared" si="1"/>
        <v>18</v>
      </c>
      <c r="E80" s="80"/>
      <c r="F80" s="80">
        <f>20-2</f>
        <v>18</v>
      </c>
      <c r="G80" s="80"/>
      <c r="H80" s="80"/>
      <c r="I80" s="80"/>
      <c r="J80" s="80"/>
      <c r="K80" s="80"/>
      <c r="L80" s="80"/>
      <c r="M80" s="80"/>
      <c r="N80" s="81"/>
    </row>
    <row r="81" spans="1:14" ht="17.25" customHeight="1" x14ac:dyDescent="0.25">
      <c r="A81" s="78">
        <v>74</v>
      </c>
      <c r="B81" s="98" t="s">
        <v>299</v>
      </c>
      <c r="C81" s="83" t="s">
        <v>300</v>
      </c>
      <c r="D81" s="80">
        <f t="shared" si="1"/>
        <v>18</v>
      </c>
      <c r="E81" s="80"/>
      <c r="F81" s="80">
        <f>20-2</f>
        <v>18</v>
      </c>
      <c r="G81" s="80"/>
      <c r="H81" s="80"/>
      <c r="I81" s="80"/>
      <c r="J81" s="80"/>
      <c r="K81" s="80"/>
      <c r="L81" s="80"/>
      <c r="M81" s="80"/>
      <c r="N81" s="81"/>
    </row>
    <row r="82" spans="1:14" ht="18" customHeight="1" x14ac:dyDescent="0.25">
      <c r="A82" s="78">
        <v>75</v>
      </c>
      <c r="B82" s="98" t="s">
        <v>301</v>
      </c>
      <c r="C82" s="90" t="s">
        <v>302</v>
      </c>
      <c r="D82" s="80">
        <f t="shared" si="1"/>
        <v>18</v>
      </c>
      <c r="E82" s="80"/>
      <c r="F82" s="80">
        <f>20-2</f>
        <v>18</v>
      </c>
      <c r="G82" s="80"/>
      <c r="H82" s="80"/>
      <c r="I82" s="80"/>
      <c r="J82" s="80"/>
      <c r="K82" s="80"/>
      <c r="L82" s="80"/>
      <c r="M82" s="80"/>
      <c r="N82" s="81"/>
    </row>
    <row r="83" spans="1:14" ht="21" customHeight="1" x14ac:dyDescent="0.25">
      <c r="A83" s="78">
        <v>76</v>
      </c>
      <c r="B83" s="98" t="s">
        <v>303</v>
      </c>
      <c r="C83" s="83" t="s">
        <v>304</v>
      </c>
      <c r="D83" s="80">
        <f t="shared" si="1"/>
        <v>220</v>
      </c>
      <c r="E83" s="80"/>
      <c r="F83" s="80">
        <f>150+19+51</f>
        <v>220</v>
      </c>
      <c r="G83" s="80"/>
      <c r="H83" s="80"/>
      <c r="I83" s="80"/>
      <c r="J83" s="80"/>
      <c r="K83" s="80"/>
      <c r="L83" s="80"/>
      <c r="M83" s="80">
        <f>150+19+51</f>
        <v>220</v>
      </c>
      <c r="N83" s="81"/>
    </row>
    <row r="84" spans="1:14" ht="16.5" customHeight="1" x14ac:dyDescent="0.25">
      <c r="A84" s="78">
        <v>77</v>
      </c>
      <c r="B84" s="98" t="s">
        <v>305</v>
      </c>
      <c r="C84" s="83" t="s">
        <v>306</v>
      </c>
      <c r="D84" s="80">
        <f t="shared" si="1"/>
        <v>264</v>
      </c>
      <c r="E84" s="80"/>
      <c r="F84" s="80">
        <f>294-30</f>
        <v>264</v>
      </c>
      <c r="G84" s="80"/>
      <c r="H84" s="80"/>
      <c r="I84" s="80"/>
      <c r="J84" s="80"/>
      <c r="K84" s="80"/>
      <c r="L84" s="80"/>
      <c r="M84" s="80">
        <f>80-30</f>
        <v>50</v>
      </c>
      <c r="N84" s="81"/>
    </row>
    <row r="85" spans="1:14" ht="15" customHeight="1" x14ac:dyDescent="0.25">
      <c r="A85" s="78">
        <v>78</v>
      </c>
      <c r="B85" s="98" t="s">
        <v>307</v>
      </c>
      <c r="C85" s="83" t="s">
        <v>308</v>
      </c>
      <c r="D85" s="80">
        <f t="shared" si="1"/>
        <v>18</v>
      </c>
      <c r="E85" s="80"/>
      <c r="F85" s="80">
        <f>20-2</f>
        <v>18</v>
      </c>
      <c r="G85" s="80"/>
      <c r="H85" s="80"/>
      <c r="I85" s="80"/>
      <c r="J85" s="80"/>
      <c r="K85" s="80"/>
      <c r="L85" s="80"/>
      <c r="M85" s="80"/>
      <c r="N85" s="81"/>
    </row>
    <row r="86" spans="1:14" ht="18.75" customHeight="1" x14ac:dyDescent="0.25">
      <c r="A86" s="78">
        <v>79</v>
      </c>
      <c r="B86" s="98" t="s">
        <v>309</v>
      </c>
      <c r="C86" s="83" t="s">
        <v>310</v>
      </c>
      <c r="D86" s="80">
        <f t="shared" si="1"/>
        <v>1229</v>
      </c>
      <c r="E86" s="80"/>
      <c r="F86" s="80">
        <f>906+26+286+12-1</f>
        <v>1229</v>
      </c>
      <c r="G86" s="80"/>
      <c r="H86" s="80">
        <f>506+26-1</f>
        <v>531</v>
      </c>
      <c r="I86" s="80">
        <f>400+286+12</f>
        <v>698</v>
      </c>
      <c r="J86" s="80"/>
      <c r="K86" s="80"/>
      <c r="L86" s="80"/>
      <c r="M86" s="80"/>
      <c r="N86" s="81"/>
    </row>
    <row r="87" spans="1:14" ht="24" customHeight="1" x14ac:dyDescent="0.25">
      <c r="A87" s="78">
        <v>80</v>
      </c>
      <c r="B87" s="98" t="s">
        <v>311</v>
      </c>
      <c r="C87" s="83" t="s">
        <v>312</v>
      </c>
      <c r="D87" s="80">
        <f t="shared" si="1"/>
        <v>18</v>
      </c>
      <c r="E87" s="80"/>
      <c r="F87" s="80">
        <f>20-2</f>
        <v>18</v>
      </c>
      <c r="G87" s="80"/>
      <c r="H87" s="80"/>
      <c r="I87" s="80"/>
      <c r="J87" s="80"/>
      <c r="K87" s="80"/>
      <c r="L87" s="80"/>
      <c r="M87" s="80"/>
      <c r="N87" s="81"/>
    </row>
    <row r="88" spans="1:14" ht="15.75" customHeight="1" x14ac:dyDescent="0.25">
      <c r="A88" s="78">
        <v>81</v>
      </c>
      <c r="B88" s="98" t="s">
        <v>313</v>
      </c>
      <c r="C88" s="83" t="s">
        <v>314</v>
      </c>
      <c r="D88" s="80">
        <f t="shared" si="1"/>
        <v>27</v>
      </c>
      <c r="E88" s="80"/>
      <c r="F88" s="80">
        <f>30-3</f>
        <v>27</v>
      </c>
      <c r="G88" s="80"/>
      <c r="H88" s="80"/>
      <c r="I88" s="80"/>
      <c r="J88" s="80"/>
      <c r="K88" s="80"/>
      <c r="L88" s="80"/>
      <c r="M88" s="80"/>
      <c r="N88" s="81"/>
    </row>
    <row r="89" spans="1:14" ht="17.25" customHeight="1" x14ac:dyDescent="0.25">
      <c r="A89" s="78">
        <v>82</v>
      </c>
      <c r="B89" s="98" t="s">
        <v>315</v>
      </c>
      <c r="C89" s="83" t="s">
        <v>316</v>
      </c>
      <c r="D89" s="80">
        <f t="shared" si="1"/>
        <v>18</v>
      </c>
      <c r="E89" s="80"/>
      <c r="F89" s="80">
        <f>20-2</f>
        <v>18</v>
      </c>
      <c r="G89" s="80"/>
      <c r="H89" s="80"/>
      <c r="I89" s="80"/>
      <c r="J89" s="80"/>
      <c r="K89" s="80"/>
      <c r="L89" s="80"/>
      <c r="M89" s="80"/>
      <c r="N89" s="81"/>
    </row>
    <row r="90" spans="1:14" ht="18.75" customHeight="1" x14ac:dyDescent="0.25">
      <c r="A90" s="78">
        <v>83</v>
      </c>
      <c r="B90" s="98" t="s">
        <v>317</v>
      </c>
      <c r="C90" s="83" t="s">
        <v>318</v>
      </c>
      <c r="D90" s="80">
        <f t="shared" si="1"/>
        <v>18</v>
      </c>
      <c r="E90" s="80"/>
      <c r="F90" s="80">
        <f>20-2</f>
        <v>18</v>
      </c>
      <c r="G90" s="80"/>
      <c r="H90" s="80"/>
      <c r="I90" s="80"/>
      <c r="J90" s="80"/>
      <c r="K90" s="80"/>
      <c r="L90" s="80"/>
      <c r="M90" s="80"/>
      <c r="N90" s="81"/>
    </row>
    <row r="91" spans="1:14" ht="15.75" customHeight="1" x14ac:dyDescent="0.25">
      <c r="A91" s="78">
        <v>84</v>
      </c>
      <c r="B91" s="98" t="s">
        <v>319</v>
      </c>
      <c r="C91" s="83" t="s">
        <v>320</v>
      </c>
      <c r="D91" s="80">
        <f t="shared" si="1"/>
        <v>476</v>
      </c>
      <c r="E91" s="80"/>
      <c r="F91" s="80">
        <f>586-108-2</f>
        <v>476</v>
      </c>
      <c r="G91" s="80"/>
      <c r="H91" s="80">
        <f>506-108-2</f>
        <v>396</v>
      </c>
      <c r="I91" s="80"/>
      <c r="J91" s="80"/>
      <c r="K91" s="80"/>
      <c r="L91" s="80"/>
      <c r="M91" s="80"/>
      <c r="N91" s="81"/>
    </row>
    <row r="92" spans="1:14" ht="15.75" customHeight="1" x14ac:dyDescent="0.25">
      <c r="A92" s="91">
        <v>85</v>
      </c>
      <c r="B92" s="98" t="s">
        <v>321</v>
      </c>
      <c r="C92" s="83" t="s">
        <v>322</v>
      </c>
      <c r="D92" s="80">
        <f t="shared" si="1"/>
        <v>18</v>
      </c>
      <c r="E92" s="80"/>
      <c r="F92" s="80">
        <f>20-2</f>
        <v>18</v>
      </c>
      <c r="G92" s="80"/>
      <c r="H92" s="80"/>
      <c r="I92" s="80"/>
      <c r="J92" s="80"/>
      <c r="K92" s="80"/>
      <c r="L92" s="80"/>
      <c r="M92" s="80"/>
      <c r="N92" s="81"/>
    </row>
    <row r="93" spans="1:14" ht="17.25" customHeight="1" x14ac:dyDescent="0.25">
      <c r="A93" s="78">
        <v>86</v>
      </c>
      <c r="B93" s="98" t="s">
        <v>323</v>
      </c>
      <c r="C93" s="83" t="s">
        <v>324</v>
      </c>
      <c r="D93" s="80">
        <f t="shared" si="1"/>
        <v>276</v>
      </c>
      <c r="E93" s="80"/>
      <c r="F93" s="80">
        <v>276</v>
      </c>
      <c r="G93" s="80"/>
      <c r="H93" s="80"/>
      <c r="I93" s="80"/>
      <c r="J93" s="80"/>
      <c r="K93" s="80"/>
      <c r="L93" s="80"/>
      <c r="M93" s="80"/>
      <c r="N93" s="81"/>
    </row>
    <row r="94" spans="1:14" ht="39" customHeight="1" x14ac:dyDescent="0.25">
      <c r="A94" s="78">
        <v>87</v>
      </c>
      <c r="B94" s="98" t="s">
        <v>325</v>
      </c>
      <c r="C94" s="83" t="s">
        <v>326</v>
      </c>
      <c r="D94" s="80">
        <f t="shared" si="1"/>
        <v>869</v>
      </c>
      <c r="E94" s="80"/>
      <c r="F94" s="80">
        <v>869</v>
      </c>
      <c r="G94" s="80"/>
      <c r="H94" s="80"/>
      <c r="I94" s="80"/>
      <c r="J94" s="80"/>
      <c r="K94" s="80"/>
      <c r="L94" s="80"/>
      <c r="M94" s="80"/>
      <c r="N94" s="81"/>
    </row>
    <row r="95" spans="1:14" ht="18.75" customHeight="1" x14ac:dyDescent="0.25">
      <c r="A95" s="78">
        <v>88</v>
      </c>
      <c r="B95" s="98" t="s">
        <v>327</v>
      </c>
      <c r="C95" s="83" t="s">
        <v>328</v>
      </c>
      <c r="D95" s="80">
        <f t="shared" si="1"/>
        <v>382</v>
      </c>
      <c r="E95" s="80"/>
      <c r="F95" s="80">
        <v>382</v>
      </c>
      <c r="G95" s="80"/>
      <c r="H95" s="80"/>
      <c r="I95" s="80"/>
      <c r="J95" s="80"/>
      <c r="K95" s="80"/>
      <c r="L95" s="80"/>
      <c r="M95" s="80"/>
      <c r="N95" s="81"/>
    </row>
    <row r="96" spans="1:14" ht="19.5" customHeight="1" x14ac:dyDescent="0.25">
      <c r="A96" s="78">
        <v>89</v>
      </c>
      <c r="B96" s="98" t="s">
        <v>329</v>
      </c>
      <c r="C96" s="83" t="s">
        <v>98</v>
      </c>
      <c r="D96" s="80">
        <f t="shared" si="1"/>
        <v>1139</v>
      </c>
      <c r="E96" s="80"/>
      <c r="F96" s="80">
        <v>1139</v>
      </c>
      <c r="G96" s="80"/>
      <c r="H96" s="80"/>
      <c r="I96" s="80"/>
      <c r="J96" s="80">
        <v>168</v>
      </c>
      <c r="K96" s="80"/>
      <c r="L96" s="80"/>
      <c r="M96" s="80"/>
      <c r="N96" s="81"/>
    </row>
    <row r="97" spans="1:14" ht="15" customHeight="1" x14ac:dyDescent="0.25">
      <c r="A97" s="78">
        <v>90</v>
      </c>
      <c r="B97" s="98" t="s">
        <v>330</v>
      </c>
      <c r="C97" s="83" t="s">
        <v>331</v>
      </c>
      <c r="D97" s="80">
        <f t="shared" si="1"/>
        <v>2269</v>
      </c>
      <c r="E97" s="80"/>
      <c r="F97" s="80">
        <f>2269</f>
        <v>2269</v>
      </c>
      <c r="G97" s="80">
        <f>2269</f>
        <v>2269</v>
      </c>
      <c r="H97" s="80"/>
      <c r="I97" s="80"/>
      <c r="J97" s="80"/>
      <c r="K97" s="80">
        <v>50</v>
      </c>
      <c r="L97" s="80"/>
      <c r="M97" s="80"/>
      <c r="N97" s="81"/>
    </row>
    <row r="98" spans="1:14" ht="15" customHeight="1" x14ac:dyDescent="0.25">
      <c r="A98" s="78">
        <v>91</v>
      </c>
      <c r="B98" s="98" t="s">
        <v>332</v>
      </c>
      <c r="C98" s="83" t="s">
        <v>333</v>
      </c>
      <c r="D98" s="80">
        <f t="shared" si="1"/>
        <v>1939</v>
      </c>
      <c r="E98" s="80"/>
      <c r="F98" s="80">
        <v>1939</v>
      </c>
      <c r="G98" s="80">
        <v>1939</v>
      </c>
      <c r="H98" s="80"/>
      <c r="I98" s="80"/>
      <c r="J98" s="80"/>
      <c r="K98" s="80">
        <v>40</v>
      </c>
      <c r="L98" s="80"/>
      <c r="M98" s="80"/>
      <c r="N98" s="81"/>
    </row>
    <row r="99" spans="1:14" ht="15" customHeight="1" x14ac:dyDescent="0.25">
      <c r="A99" s="78">
        <v>92</v>
      </c>
      <c r="B99" s="98" t="s">
        <v>334</v>
      </c>
      <c r="C99" s="83" t="s">
        <v>335</v>
      </c>
      <c r="D99" s="80">
        <f t="shared" si="1"/>
        <v>2673</v>
      </c>
      <c r="E99" s="80"/>
      <c r="F99" s="80">
        <v>2673</v>
      </c>
      <c r="G99" s="80">
        <v>2673</v>
      </c>
      <c r="H99" s="80"/>
      <c r="I99" s="80"/>
      <c r="J99" s="80"/>
      <c r="K99" s="80">
        <v>30</v>
      </c>
      <c r="L99" s="80"/>
      <c r="M99" s="80"/>
      <c r="N99" s="81"/>
    </row>
    <row r="100" spans="1:14" ht="15" customHeight="1" x14ac:dyDescent="0.25">
      <c r="A100" s="78">
        <v>93</v>
      </c>
      <c r="B100" s="98" t="s">
        <v>336</v>
      </c>
      <c r="C100" s="83" t="s">
        <v>337</v>
      </c>
      <c r="D100" s="80">
        <f t="shared" si="1"/>
        <v>3257</v>
      </c>
      <c r="E100" s="80"/>
      <c r="F100" s="80">
        <v>3257</v>
      </c>
      <c r="G100" s="80">
        <v>3257</v>
      </c>
      <c r="H100" s="80"/>
      <c r="I100" s="80"/>
      <c r="J100" s="80"/>
      <c r="K100" s="80">
        <v>100</v>
      </c>
      <c r="L100" s="80"/>
      <c r="M100" s="80"/>
      <c r="N100" s="81"/>
    </row>
    <row r="101" spans="1:14" ht="15" customHeight="1" x14ac:dyDescent="0.25">
      <c r="A101" s="78">
        <v>94</v>
      </c>
      <c r="B101" s="98" t="s">
        <v>338</v>
      </c>
      <c r="C101" s="83" t="s">
        <v>339</v>
      </c>
      <c r="D101" s="80">
        <f t="shared" si="1"/>
        <v>1219</v>
      </c>
      <c r="E101" s="80"/>
      <c r="F101" s="80">
        <v>1219</v>
      </c>
      <c r="G101" s="80">
        <v>1219</v>
      </c>
      <c r="H101" s="80"/>
      <c r="I101" s="80"/>
      <c r="J101" s="80"/>
      <c r="K101" s="80">
        <v>80</v>
      </c>
      <c r="L101" s="80"/>
      <c r="M101" s="80"/>
      <c r="N101" s="81"/>
    </row>
    <row r="102" spans="1:14" ht="18.75" customHeight="1" x14ac:dyDescent="0.25">
      <c r="A102" s="78">
        <v>95</v>
      </c>
      <c r="B102" s="98" t="s">
        <v>340</v>
      </c>
      <c r="C102" s="83" t="s">
        <v>341</v>
      </c>
      <c r="D102" s="80">
        <f t="shared" si="1"/>
        <v>3469</v>
      </c>
      <c r="E102" s="80"/>
      <c r="F102" s="80">
        <f>3623-154</f>
        <v>3469</v>
      </c>
      <c r="G102" s="80"/>
      <c r="H102" s="89"/>
      <c r="I102" s="80">
        <f>454-154</f>
        <v>300</v>
      </c>
      <c r="J102" s="80"/>
      <c r="K102" s="89"/>
      <c r="L102" s="89"/>
      <c r="M102" s="89"/>
      <c r="N102" s="81"/>
    </row>
    <row r="103" spans="1:14" ht="18.75" customHeight="1" x14ac:dyDescent="0.25">
      <c r="A103" s="78">
        <v>96</v>
      </c>
      <c r="B103" s="98" t="s">
        <v>342</v>
      </c>
      <c r="C103" s="83" t="s">
        <v>343</v>
      </c>
      <c r="D103" s="80">
        <f t="shared" si="1"/>
        <v>1703</v>
      </c>
      <c r="E103" s="80"/>
      <c r="F103" s="80">
        <v>1703</v>
      </c>
      <c r="G103" s="80"/>
      <c r="H103" s="80"/>
      <c r="I103" s="80"/>
      <c r="J103" s="80"/>
      <c r="K103" s="80"/>
      <c r="L103" s="80"/>
      <c r="M103" s="80"/>
      <c r="N103" s="81"/>
    </row>
    <row r="104" spans="1:14" ht="18.75" customHeight="1" x14ac:dyDescent="0.25">
      <c r="A104" s="78">
        <v>97</v>
      </c>
      <c r="B104" s="98" t="s">
        <v>344</v>
      </c>
      <c r="C104" s="83" t="s">
        <v>345</v>
      </c>
      <c r="D104" s="80">
        <f t="shared" si="1"/>
        <v>2986</v>
      </c>
      <c r="E104" s="80"/>
      <c r="F104" s="80">
        <v>2986</v>
      </c>
      <c r="G104" s="80"/>
      <c r="H104" s="80"/>
      <c r="I104" s="80">
        <v>1412</v>
      </c>
      <c r="J104" s="80"/>
      <c r="K104" s="80"/>
      <c r="L104" s="80"/>
      <c r="M104" s="80"/>
      <c r="N104" s="81"/>
    </row>
    <row r="105" spans="1:14" ht="18.75" customHeight="1" x14ac:dyDescent="0.25">
      <c r="A105" s="78">
        <v>98</v>
      </c>
      <c r="B105" s="98" t="s">
        <v>346</v>
      </c>
      <c r="C105" s="83" t="s">
        <v>347</v>
      </c>
      <c r="D105" s="80">
        <f t="shared" si="1"/>
        <v>1226</v>
      </c>
      <c r="E105" s="80"/>
      <c r="F105" s="80">
        <v>1226</v>
      </c>
      <c r="G105" s="80"/>
      <c r="H105" s="80"/>
      <c r="I105" s="80"/>
      <c r="J105" s="80"/>
      <c r="K105" s="80"/>
      <c r="L105" s="80"/>
      <c r="M105" s="80"/>
      <c r="N105" s="81"/>
    </row>
    <row r="106" spans="1:14" s="85" customFormat="1" ht="18.75" customHeight="1" x14ac:dyDescent="0.25">
      <c r="A106" s="78">
        <v>99</v>
      </c>
      <c r="B106" s="98" t="s">
        <v>348</v>
      </c>
      <c r="C106" s="83" t="s">
        <v>349</v>
      </c>
      <c r="D106" s="80">
        <f t="shared" si="1"/>
        <v>4074</v>
      </c>
      <c r="E106" s="80"/>
      <c r="F106" s="80">
        <f>4220-146</f>
        <v>4074</v>
      </c>
      <c r="G106" s="80"/>
      <c r="H106" s="80"/>
      <c r="I106" s="80">
        <f>606-146</f>
        <v>460</v>
      </c>
      <c r="J106" s="80"/>
      <c r="K106" s="80"/>
      <c r="L106" s="80"/>
      <c r="M106" s="80"/>
      <c r="N106" s="84"/>
    </row>
    <row r="107" spans="1:14" ht="18.75" customHeight="1" x14ac:dyDescent="0.25">
      <c r="A107" s="78">
        <v>100</v>
      </c>
      <c r="B107" s="98" t="s">
        <v>350</v>
      </c>
      <c r="C107" s="83" t="s">
        <v>351</v>
      </c>
      <c r="D107" s="80">
        <f t="shared" si="1"/>
        <v>1961</v>
      </c>
      <c r="E107" s="80"/>
      <c r="F107" s="80">
        <v>1961</v>
      </c>
      <c r="G107" s="80"/>
      <c r="H107" s="80"/>
      <c r="I107" s="80"/>
      <c r="J107" s="80"/>
      <c r="K107" s="80"/>
      <c r="L107" s="80"/>
      <c r="M107" s="80"/>
      <c r="N107" s="81"/>
    </row>
    <row r="108" spans="1:14" ht="18.75" customHeight="1" x14ac:dyDescent="0.25">
      <c r="A108" s="78">
        <v>101</v>
      </c>
      <c r="B108" s="98" t="s">
        <v>352</v>
      </c>
      <c r="C108" s="83" t="s">
        <v>353</v>
      </c>
      <c r="D108" s="80">
        <f t="shared" si="1"/>
        <v>1984</v>
      </c>
      <c r="E108" s="80"/>
      <c r="F108" s="80">
        <v>1984</v>
      </c>
      <c r="G108" s="80"/>
      <c r="H108" s="80"/>
      <c r="I108" s="80"/>
      <c r="J108" s="80"/>
      <c r="K108" s="80"/>
      <c r="L108" s="80"/>
      <c r="M108" s="80"/>
      <c r="N108" s="81"/>
    </row>
    <row r="109" spans="1:14" ht="18.75" customHeight="1" x14ac:dyDescent="0.25">
      <c r="A109" s="78">
        <v>102</v>
      </c>
      <c r="B109" s="98" t="s">
        <v>354</v>
      </c>
      <c r="C109" s="83" t="s">
        <v>355</v>
      </c>
      <c r="D109" s="80">
        <f t="shared" si="1"/>
        <v>1175</v>
      </c>
      <c r="E109" s="80"/>
      <c r="F109" s="80">
        <v>1175</v>
      </c>
      <c r="G109" s="80"/>
      <c r="H109" s="80"/>
      <c r="I109" s="80"/>
      <c r="J109" s="80"/>
      <c r="K109" s="80"/>
      <c r="L109" s="80"/>
      <c r="M109" s="80"/>
      <c r="N109" s="81"/>
    </row>
    <row r="110" spans="1:14" ht="18.75" customHeight="1" x14ac:dyDescent="0.25">
      <c r="A110" s="78">
        <v>103</v>
      </c>
      <c r="B110" s="98" t="s">
        <v>356</v>
      </c>
      <c r="C110" s="83" t="s">
        <v>357</v>
      </c>
      <c r="D110" s="80">
        <f t="shared" si="1"/>
        <v>4784</v>
      </c>
      <c r="E110" s="80"/>
      <c r="F110" s="80">
        <v>4784</v>
      </c>
      <c r="G110" s="80"/>
      <c r="H110" s="80"/>
      <c r="I110" s="80">
        <v>934</v>
      </c>
      <c r="J110" s="80"/>
      <c r="K110" s="80"/>
      <c r="L110" s="80"/>
      <c r="M110" s="80"/>
      <c r="N110" s="81"/>
    </row>
    <row r="111" spans="1:14" ht="18.75" customHeight="1" x14ac:dyDescent="0.25">
      <c r="A111" s="78">
        <v>104</v>
      </c>
      <c r="B111" s="98" t="s">
        <v>358</v>
      </c>
      <c r="C111" s="83" t="s">
        <v>359</v>
      </c>
      <c r="D111" s="80">
        <f t="shared" si="1"/>
        <v>1580</v>
      </c>
      <c r="E111" s="80"/>
      <c r="F111" s="80">
        <v>1580</v>
      </c>
      <c r="G111" s="80"/>
      <c r="H111" s="80"/>
      <c r="I111" s="80"/>
      <c r="J111" s="80"/>
      <c r="K111" s="80"/>
      <c r="L111" s="80"/>
      <c r="M111" s="80"/>
      <c r="N111" s="81"/>
    </row>
    <row r="112" spans="1:14" ht="18.75" customHeight="1" x14ac:dyDescent="0.25">
      <c r="A112" s="78">
        <v>105</v>
      </c>
      <c r="B112" s="98" t="s">
        <v>360</v>
      </c>
      <c r="C112" s="83" t="s">
        <v>361</v>
      </c>
      <c r="D112" s="80">
        <f t="shared" si="1"/>
        <v>1511</v>
      </c>
      <c r="E112" s="80"/>
      <c r="F112" s="80">
        <v>1511</v>
      </c>
      <c r="G112" s="80"/>
      <c r="H112" s="80"/>
      <c r="I112" s="80"/>
      <c r="J112" s="80"/>
      <c r="K112" s="80"/>
      <c r="L112" s="80"/>
      <c r="M112" s="80"/>
      <c r="N112" s="81"/>
    </row>
    <row r="113" spans="1:14" ht="21" customHeight="1" x14ac:dyDescent="0.25">
      <c r="A113" s="78">
        <v>106</v>
      </c>
      <c r="B113" s="98" t="s">
        <v>362</v>
      </c>
      <c r="C113" s="83" t="s">
        <v>363</v>
      </c>
      <c r="D113" s="80">
        <f t="shared" si="1"/>
        <v>3372</v>
      </c>
      <c r="E113" s="80"/>
      <c r="F113" s="80">
        <v>3372</v>
      </c>
      <c r="G113" s="80">
        <v>642</v>
      </c>
      <c r="H113" s="80"/>
      <c r="I113" s="80"/>
      <c r="J113" s="80"/>
      <c r="K113" s="80">
        <v>40</v>
      </c>
      <c r="L113" s="80"/>
      <c r="M113" s="80"/>
      <c r="N113" s="81"/>
    </row>
    <row r="114" spans="1:14" ht="19.5" customHeight="1" x14ac:dyDescent="0.25">
      <c r="A114" s="78">
        <v>107</v>
      </c>
      <c r="B114" s="98" t="s">
        <v>364</v>
      </c>
      <c r="C114" s="83" t="s">
        <v>365</v>
      </c>
      <c r="D114" s="80">
        <f t="shared" si="1"/>
        <v>2596</v>
      </c>
      <c r="E114" s="80"/>
      <c r="F114" s="80">
        <v>2596</v>
      </c>
      <c r="G114" s="80"/>
      <c r="H114" s="80"/>
      <c r="I114" s="80"/>
      <c r="J114" s="80">
        <v>259</v>
      </c>
      <c r="K114" s="80"/>
      <c r="L114" s="80"/>
      <c r="M114" s="80"/>
      <c r="N114" s="81"/>
    </row>
    <row r="115" spans="1:14" ht="18" customHeight="1" x14ac:dyDescent="0.25">
      <c r="A115" s="78">
        <v>108</v>
      </c>
      <c r="B115" s="98" t="s">
        <v>366</v>
      </c>
      <c r="C115" s="83" t="s">
        <v>367</v>
      </c>
      <c r="D115" s="80">
        <f t="shared" si="1"/>
        <v>1826</v>
      </c>
      <c r="E115" s="80"/>
      <c r="F115" s="80">
        <v>1826</v>
      </c>
      <c r="G115" s="80"/>
      <c r="H115" s="80"/>
      <c r="I115" s="80"/>
      <c r="J115" s="80"/>
      <c r="K115" s="80"/>
      <c r="L115" s="80"/>
      <c r="M115" s="80"/>
      <c r="N115" s="81"/>
    </row>
    <row r="116" spans="1:14" ht="16.5" customHeight="1" x14ac:dyDescent="0.25">
      <c r="A116" s="78">
        <v>109</v>
      </c>
      <c r="B116" s="98" t="s">
        <v>368</v>
      </c>
      <c r="C116" s="83" t="s">
        <v>369</v>
      </c>
      <c r="D116" s="80">
        <f t="shared" si="1"/>
        <v>1076</v>
      </c>
      <c r="E116" s="80"/>
      <c r="F116" s="80">
        <v>1076</v>
      </c>
      <c r="G116" s="80"/>
      <c r="H116" s="80"/>
      <c r="I116" s="80"/>
      <c r="J116" s="80"/>
      <c r="K116" s="80"/>
      <c r="L116" s="80"/>
      <c r="M116" s="80"/>
      <c r="N116" s="81"/>
    </row>
    <row r="117" spans="1:14" ht="18" customHeight="1" x14ac:dyDescent="0.25">
      <c r="A117" s="78">
        <v>110</v>
      </c>
      <c r="B117" s="98" t="s">
        <v>370</v>
      </c>
      <c r="C117" s="83" t="s">
        <v>371</v>
      </c>
      <c r="D117" s="80">
        <f t="shared" si="1"/>
        <v>2119</v>
      </c>
      <c r="E117" s="80"/>
      <c r="F117" s="80">
        <v>2119</v>
      </c>
      <c r="G117" s="80"/>
      <c r="H117" s="80"/>
      <c r="I117" s="80"/>
      <c r="J117" s="80">
        <v>429</v>
      </c>
      <c r="K117" s="80"/>
      <c r="L117" s="80"/>
      <c r="M117" s="80"/>
      <c r="N117" s="81"/>
    </row>
    <row r="118" spans="1:14" ht="19.5" customHeight="1" x14ac:dyDescent="0.25">
      <c r="A118" s="78">
        <v>111</v>
      </c>
      <c r="B118" s="98" t="s">
        <v>372</v>
      </c>
      <c r="C118" s="83" t="s">
        <v>373</v>
      </c>
      <c r="D118" s="80">
        <f t="shared" si="1"/>
        <v>70</v>
      </c>
      <c r="E118" s="80"/>
      <c r="F118" s="80">
        <f>845-704-71</f>
        <v>70</v>
      </c>
      <c r="G118" s="80"/>
      <c r="H118" s="80"/>
      <c r="I118" s="80"/>
      <c r="J118" s="80"/>
      <c r="K118" s="80"/>
      <c r="L118" s="80"/>
      <c r="M118" s="80"/>
      <c r="N118" s="81"/>
    </row>
    <row r="119" spans="1:14" ht="40.5" customHeight="1" x14ac:dyDescent="0.25">
      <c r="A119" s="467">
        <v>112</v>
      </c>
      <c r="B119" s="98" t="s">
        <v>374</v>
      </c>
      <c r="C119" s="83" t="s">
        <v>375</v>
      </c>
      <c r="D119" s="80">
        <f t="shared" si="1"/>
        <v>775</v>
      </c>
      <c r="E119" s="80"/>
      <c r="F119" s="80">
        <f>0+704+71</f>
        <v>775</v>
      </c>
      <c r="G119" s="80"/>
      <c r="H119" s="80"/>
      <c r="I119" s="80"/>
      <c r="J119" s="80"/>
      <c r="K119" s="80"/>
      <c r="L119" s="80"/>
      <c r="M119" s="80"/>
      <c r="N119" s="81"/>
    </row>
    <row r="120" spans="1:14" ht="19.5" customHeight="1" x14ac:dyDescent="0.25">
      <c r="A120" s="468"/>
      <c r="B120" s="98" t="s">
        <v>376</v>
      </c>
      <c r="C120" s="83" t="s">
        <v>377</v>
      </c>
      <c r="D120" s="80">
        <f t="shared" si="1"/>
        <v>6707</v>
      </c>
      <c r="E120" s="80"/>
      <c r="F120" s="80">
        <v>6707</v>
      </c>
      <c r="G120" s="80"/>
      <c r="H120" s="80"/>
      <c r="I120" s="80">
        <v>1220</v>
      </c>
      <c r="J120" s="80">
        <v>502</v>
      </c>
      <c r="K120" s="80"/>
      <c r="L120" s="80"/>
      <c r="M120" s="80"/>
      <c r="N120" s="81"/>
    </row>
    <row r="121" spans="1:14" ht="18.75" customHeight="1" x14ac:dyDescent="0.25">
      <c r="A121" s="78">
        <v>113</v>
      </c>
      <c r="B121" s="98" t="s">
        <v>378</v>
      </c>
      <c r="C121" s="83" t="s">
        <v>379</v>
      </c>
      <c r="D121" s="80">
        <f t="shared" si="1"/>
        <v>1964</v>
      </c>
      <c r="E121" s="80"/>
      <c r="F121" s="80">
        <v>1964</v>
      </c>
      <c r="G121" s="80">
        <v>1964</v>
      </c>
      <c r="H121" s="80"/>
      <c r="I121" s="80"/>
      <c r="J121" s="80"/>
      <c r="K121" s="80">
        <v>200</v>
      </c>
      <c r="L121" s="80"/>
      <c r="M121" s="80"/>
      <c r="N121" s="81"/>
    </row>
    <row r="122" spans="1:14" ht="19.5" customHeight="1" x14ac:dyDescent="0.25">
      <c r="A122" s="78">
        <v>114</v>
      </c>
      <c r="B122" s="98" t="s">
        <v>380</v>
      </c>
      <c r="C122" s="83" t="s">
        <v>381</v>
      </c>
      <c r="D122" s="80">
        <f t="shared" si="1"/>
        <v>2608</v>
      </c>
      <c r="E122" s="80"/>
      <c r="F122" s="80">
        <v>2608</v>
      </c>
      <c r="G122" s="80"/>
      <c r="H122" s="80"/>
      <c r="I122" s="80">
        <v>436</v>
      </c>
      <c r="J122" s="80">
        <v>175</v>
      </c>
      <c r="K122" s="80"/>
      <c r="L122" s="80"/>
      <c r="M122" s="80"/>
      <c r="N122" s="81"/>
    </row>
    <row r="123" spans="1:14" ht="15" customHeight="1" x14ac:dyDescent="0.25">
      <c r="A123" s="78">
        <v>115</v>
      </c>
      <c r="B123" s="98" t="s">
        <v>382</v>
      </c>
      <c r="C123" s="83" t="s">
        <v>383</v>
      </c>
      <c r="D123" s="80">
        <f t="shared" si="1"/>
        <v>687</v>
      </c>
      <c r="E123" s="80"/>
      <c r="F123" s="80">
        <v>687</v>
      </c>
      <c r="G123" s="80"/>
      <c r="H123" s="80"/>
      <c r="I123" s="80"/>
      <c r="J123" s="80"/>
      <c r="K123" s="80"/>
      <c r="L123" s="80"/>
      <c r="M123" s="80"/>
      <c r="N123" s="81"/>
    </row>
    <row r="124" spans="1:14" ht="17.25" customHeight="1" x14ac:dyDescent="0.25">
      <c r="A124" s="77">
        <f t="shared" ref="A124:A137" si="2">A123+1</f>
        <v>116</v>
      </c>
      <c r="B124" s="98" t="s">
        <v>384</v>
      </c>
      <c r="C124" s="83" t="s">
        <v>79</v>
      </c>
      <c r="D124" s="80">
        <f t="shared" si="1"/>
        <v>683</v>
      </c>
      <c r="E124" s="80"/>
      <c r="F124" s="80">
        <v>683</v>
      </c>
      <c r="G124" s="80"/>
      <c r="H124" s="80"/>
      <c r="I124" s="80">
        <v>268</v>
      </c>
      <c r="J124" s="80">
        <v>341</v>
      </c>
      <c r="K124" s="80"/>
      <c r="L124" s="80"/>
      <c r="M124" s="80"/>
      <c r="N124" s="81"/>
    </row>
    <row r="125" spans="1:14" ht="16.5" customHeight="1" x14ac:dyDescent="0.25">
      <c r="A125" s="77">
        <f t="shared" si="2"/>
        <v>117</v>
      </c>
      <c r="B125" s="98" t="s">
        <v>28</v>
      </c>
      <c r="C125" s="83" t="s">
        <v>5</v>
      </c>
      <c r="D125" s="80">
        <f t="shared" si="1"/>
        <v>1211</v>
      </c>
      <c r="E125" s="80"/>
      <c r="F125" s="80">
        <f>1232-21</f>
        <v>1211</v>
      </c>
      <c r="G125" s="80"/>
      <c r="H125" s="80"/>
      <c r="I125" s="80"/>
      <c r="J125" s="80"/>
      <c r="K125" s="80"/>
      <c r="L125" s="80"/>
      <c r="M125" s="80">
        <f>70-21</f>
        <v>49</v>
      </c>
      <c r="N125" s="81"/>
    </row>
    <row r="126" spans="1:14" ht="16.5" customHeight="1" x14ac:dyDescent="0.25">
      <c r="A126" s="77">
        <f t="shared" si="2"/>
        <v>118</v>
      </c>
      <c r="B126" s="98" t="s">
        <v>385</v>
      </c>
      <c r="C126" s="83" t="s">
        <v>72</v>
      </c>
      <c r="D126" s="80">
        <f t="shared" si="1"/>
        <v>2852</v>
      </c>
      <c r="E126" s="80"/>
      <c r="F126" s="80">
        <f>2852</f>
        <v>2852</v>
      </c>
      <c r="G126" s="80">
        <f>2852</f>
        <v>2852</v>
      </c>
      <c r="H126" s="80"/>
      <c r="I126" s="80">
        <f>26+28</f>
        <v>54</v>
      </c>
      <c r="J126" s="80"/>
      <c r="K126" s="80">
        <v>872</v>
      </c>
      <c r="L126" s="80">
        <v>10</v>
      </c>
      <c r="M126" s="80"/>
      <c r="N126" s="81"/>
    </row>
    <row r="127" spans="1:14" ht="18" customHeight="1" x14ac:dyDescent="0.25">
      <c r="A127" s="77">
        <f t="shared" si="2"/>
        <v>119</v>
      </c>
      <c r="B127" s="98" t="s">
        <v>26</v>
      </c>
      <c r="C127" s="83" t="s">
        <v>386</v>
      </c>
      <c r="D127" s="80">
        <f t="shared" si="1"/>
        <v>13433</v>
      </c>
      <c r="E127" s="80"/>
      <c r="F127" s="80">
        <f>11677+154+1180-286+819-12-139+146-106</f>
        <v>13433</v>
      </c>
      <c r="G127" s="80"/>
      <c r="H127" s="80"/>
      <c r="I127" s="80">
        <f>11677+154+1180-286+819-12-139+146-106</f>
        <v>13433</v>
      </c>
      <c r="J127" s="80"/>
      <c r="K127" s="80"/>
      <c r="L127" s="80"/>
      <c r="M127" s="80"/>
      <c r="N127" s="81"/>
    </row>
    <row r="128" spans="1:14" ht="16.5" customHeight="1" x14ac:dyDescent="0.25">
      <c r="A128" s="77">
        <f t="shared" si="2"/>
        <v>120</v>
      </c>
      <c r="B128" s="98" t="s">
        <v>387</v>
      </c>
      <c r="C128" s="83" t="s">
        <v>73</v>
      </c>
      <c r="D128" s="80">
        <f t="shared" si="1"/>
        <v>360</v>
      </c>
      <c r="E128" s="80"/>
      <c r="F128" s="80">
        <v>360</v>
      </c>
      <c r="G128" s="80"/>
      <c r="H128" s="80"/>
      <c r="I128" s="80"/>
      <c r="J128" s="80"/>
      <c r="K128" s="80"/>
      <c r="L128" s="80"/>
      <c r="M128" s="80"/>
      <c r="N128" s="81"/>
    </row>
    <row r="129" spans="1:14" ht="15.75" customHeight="1" x14ac:dyDescent="0.25">
      <c r="A129" s="77">
        <f t="shared" si="2"/>
        <v>121</v>
      </c>
      <c r="B129" s="98" t="s">
        <v>388</v>
      </c>
      <c r="C129" s="83" t="s">
        <v>83</v>
      </c>
      <c r="D129" s="80">
        <f t="shared" si="1"/>
        <v>6960</v>
      </c>
      <c r="E129" s="80"/>
      <c r="F129" s="80">
        <v>6960</v>
      </c>
      <c r="G129" s="80"/>
      <c r="H129" s="80"/>
      <c r="I129" s="80"/>
      <c r="J129" s="80"/>
      <c r="K129" s="80"/>
      <c r="L129" s="80"/>
      <c r="M129" s="80"/>
      <c r="N129" s="81"/>
    </row>
    <row r="130" spans="1:14" ht="18" customHeight="1" x14ac:dyDescent="0.25">
      <c r="A130" s="77">
        <f t="shared" si="2"/>
        <v>122</v>
      </c>
      <c r="B130" s="98" t="s">
        <v>18</v>
      </c>
      <c r="C130" s="83" t="s">
        <v>6</v>
      </c>
      <c r="D130" s="80">
        <f t="shared" si="1"/>
        <v>1724</v>
      </c>
      <c r="E130" s="80"/>
      <c r="F130" s="80">
        <v>1724</v>
      </c>
      <c r="G130" s="80"/>
      <c r="H130" s="80"/>
      <c r="I130" s="80"/>
      <c r="J130" s="80"/>
      <c r="K130" s="80"/>
      <c r="L130" s="80"/>
      <c r="M130" s="80"/>
      <c r="N130" s="81"/>
    </row>
    <row r="131" spans="1:14" ht="16.5" customHeight="1" x14ac:dyDescent="0.25">
      <c r="A131" s="77">
        <f t="shared" si="2"/>
        <v>123</v>
      </c>
      <c r="B131" s="98" t="s">
        <v>389</v>
      </c>
      <c r="C131" s="83" t="s">
        <v>71</v>
      </c>
      <c r="D131" s="80">
        <f t="shared" si="1"/>
        <v>2914</v>
      </c>
      <c r="E131" s="80"/>
      <c r="F131" s="80">
        <v>2914</v>
      </c>
      <c r="G131" s="80"/>
      <c r="H131" s="80"/>
      <c r="I131" s="80"/>
      <c r="J131" s="80"/>
      <c r="K131" s="80"/>
      <c r="L131" s="80"/>
      <c r="M131" s="80"/>
      <c r="N131" s="81"/>
    </row>
    <row r="132" spans="1:14" ht="15" customHeight="1" x14ac:dyDescent="0.25">
      <c r="A132" s="77">
        <f t="shared" si="2"/>
        <v>124</v>
      </c>
      <c r="B132" s="98" t="s">
        <v>17</v>
      </c>
      <c r="C132" s="83" t="s">
        <v>7</v>
      </c>
      <c r="D132" s="80">
        <f t="shared" si="1"/>
        <v>299</v>
      </c>
      <c r="E132" s="80"/>
      <c r="F132" s="80">
        <f>507-202-6</f>
        <v>299</v>
      </c>
      <c r="G132" s="80"/>
      <c r="H132" s="80">
        <f>507-202-6</f>
        <v>299</v>
      </c>
      <c r="I132" s="80"/>
      <c r="J132" s="80"/>
      <c r="K132" s="80"/>
      <c r="L132" s="80"/>
      <c r="M132" s="80"/>
      <c r="N132" s="81"/>
    </row>
    <row r="133" spans="1:14" ht="16.5" customHeight="1" x14ac:dyDescent="0.25">
      <c r="A133" s="77">
        <f t="shared" si="2"/>
        <v>125</v>
      </c>
      <c r="B133" s="98" t="s">
        <v>390</v>
      </c>
      <c r="C133" s="83" t="s">
        <v>391</v>
      </c>
      <c r="D133" s="80">
        <f t="shared" si="1"/>
        <v>1362</v>
      </c>
      <c r="E133" s="80"/>
      <c r="F133" s="80">
        <v>1362</v>
      </c>
      <c r="G133" s="80"/>
      <c r="H133" s="80"/>
      <c r="I133" s="80"/>
      <c r="J133" s="80">
        <v>1362</v>
      </c>
      <c r="K133" s="80"/>
      <c r="L133" s="80"/>
      <c r="M133" s="80"/>
      <c r="N133" s="81"/>
    </row>
    <row r="134" spans="1:14" ht="16.5" customHeight="1" x14ac:dyDescent="0.25">
      <c r="A134" s="77">
        <f t="shared" si="2"/>
        <v>126</v>
      </c>
      <c r="B134" s="98" t="s">
        <v>392</v>
      </c>
      <c r="C134" s="83" t="s">
        <v>69</v>
      </c>
      <c r="D134" s="80">
        <f t="shared" si="1"/>
        <v>1407</v>
      </c>
      <c r="E134" s="80"/>
      <c r="F134" s="80">
        <v>1407</v>
      </c>
      <c r="G134" s="80"/>
      <c r="H134" s="80"/>
      <c r="I134" s="80"/>
      <c r="J134" s="80">
        <v>707</v>
      </c>
      <c r="K134" s="80"/>
      <c r="L134" s="80"/>
      <c r="M134" s="80"/>
      <c r="N134" s="81"/>
    </row>
    <row r="135" spans="1:14" ht="17.25" customHeight="1" x14ac:dyDescent="0.25">
      <c r="A135" s="77">
        <f t="shared" si="2"/>
        <v>127</v>
      </c>
      <c r="B135" s="98" t="s">
        <v>22</v>
      </c>
      <c r="C135" s="88" t="s">
        <v>10</v>
      </c>
      <c r="D135" s="80">
        <f t="shared" ref="D135:D136" si="3">E135+F135+N135</f>
        <v>3798</v>
      </c>
      <c r="E135" s="80"/>
      <c r="F135" s="80">
        <v>3798</v>
      </c>
      <c r="G135" s="80"/>
      <c r="H135" s="80"/>
      <c r="I135" s="80">
        <v>639</v>
      </c>
      <c r="J135" s="80">
        <v>68</v>
      </c>
      <c r="K135" s="80"/>
      <c r="L135" s="80"/>
      <c r="M135" s="80"/>
      <c r="N135" s="81"/>
    </row>
    <row r="136" spans="1:14" ht="14.25" customHeight="1" x14ac:dyDescent="0.25">
      <c r="A136" s="77">
        <f t="shared" si="2"/>
        <v>128</v>
      </c>
      <c r="B136" s="98" t="s">
        <v>25</v>
      </c>
      <c r="C136" s="83" t="s">
        <v>393</v>
      </c>
      <c r="D136" s="80">
        <f t="shared" si="3"/>
        <v>235</v>
      </c>
      <c r="E136" s="80"/>
      <c r="F136" s="80">
        <v>235</v>
      </c>
      <c r="G136" s="80"/>
      <c r="H136" s="80"/>
      <c r="I136" s="80"/>
      <c r="J136" s="80"/>
      <c r="K136" s="80"/>
      <c r="L136" s="80"/>
      <c r="M136" s="80"/>
      <c r="N136" s="81"/>
    </row>
    <row r="137" spans="1:14" s="85" customFormat="1" ht="25.5" customHeight="1" x14ac:dyDescent="0.25">
      <c r="A137" s="77">
        <f t="shared" si="2"/>
        <v>129</v>
      </c>
      <c r="B137" s="98" t="s">
        <v>394</v>
      </c>
      <c r="C137" s="92" t="s">
        <v>395</v>
      </c>
      <c r="D137" s="89">
        <f>SUM(D138:D140)</f>
        <v>1986</v>
      </c>
      <c r="E137" s="89">
        <f t="shared" ref="E137:N137" si="4">SUM(E138:E140)</f>
        <v>14</v>
      </c>
      <c r="F137" s="89">
        <f t="shared" si="4"/>
        <v>1869</v>
      </c>
      <c r="G137" s="89">
        <f t="shared" si="4"/>
        <v>0</v>
      </c>
      <c r="H137" s="89">
        <f t="shared" si="4"/>
        <v>0</v>
      </c>
      <c r="I137" s="89">
        <f t="shared" si="4"/>
        <v>1869</v>
      </c>
      <c r="J137" s="89">
        <f t="shared" si="4"/>
        <v>0</v>
      </c>
      <c r="K137" s="89">
        <f t="shared" si="4"/>
        <v>0</v>
      </c>
      <c r="L137" s="89">
        <f t="shared" si="4"/>
        <v>0</v>
      </c>
      <c r="M137" s="89">
        <f t="shared" si="4"/>
        <v>0</v>
      </c>
      <c r="N137" s="89">
        <f t="shared" si="4"/>
        <v>103</v>
      </c>
    </row>
    <row r="138" spans="1:14" ht="18" customHeight="1" x14ac:dyDescent="0.25">
      <c r="A138" s="77"/>
      <c r="B138" s="98" t="s">
        <v>394</v>
      </c>
      <c r="C138" s="93" t="s">
        <v>396</v>
      </c>
      <c r="D138" s="80">
        <f>E138+F138+N138</f>
        <v>1883</v>
      </c>
      <c r="E138" s="80">
        <f>90-75-1</f>
        <v>14</v>
      </c>
      <c r="F138" s="80">
        <f>4790-2931+10</f>
        <v>1869</v>
      </c>
      <c r="G138" s="80"/>
      <c r="H138" s="80"/>
      <c r="I138" s="80">
        <f>4790-2931+10</f>
        <v>1869</v>
      </c>
      <c r="J138" s="80"/>
      <c r="K138" s="80"/>
      <c r="L138" s="80"/>
      <c r="M138" s="80"/>
      <c r="N138" s="81"/>
    </row>
    <row r="139" spans="1:14" ht="24" customHeight="1" x14ac:dyDescent="0.25">
      <c r="A139" s="77"/>
      <c r="B139" s="98" t="s">
        <v>394</v>
      </c>
      <c r="C139" s="94" t="s">
        <v>397</v>
      </c>
      <c r="D139" s="80">
        <f>E139+F139+N139</f>
        <v>89</v>
      </c>
      <c r="E139" s="80"/>
      <c r="F139" s="80"/>
      <c r="G139" s="80"/>
      <c r="H139" s="80"/>
      <c r="I139" s="80"/>
      <c r="J139" s="80"/>
      <c r="K139" s="80"/>
      <c r="L139" s="80"/>
      <c r="M139" s="80"/>
      <c r="N139" s="81">
        <f>360-267-4</f>
        <v>89</v>
      </c>
    </row>
    <row r="140" spans="1:14" ht="26.25" customHeight="1" x14ac:dyDescent="0.25">
      <c r="A140" s="77"/>
      <c r="B140" s="98" t="s">
        <v>394</v>
      </c>
      <c r="C140" s="94" t="s">
        <v>398</v>
      </c>
      <c r="D140" s="80">
        <f>E140+F140+N140</f>
        <v>14</v>
      </c>
      <c r="E140" s="80"/>
      <c r="F140" s="80"/>
      <c r="G140" s="80"/>
      <c r="H140" s="80"/>
      <c r="I140" s="80"/>
      <c r="J140" s="80"/>
      <c r="K140" s="80"/>
      <c r="L140" s="80"/>
      <c r="M140" s="80"/>
      <c r="N140" s="81">
        <f>75-61</f>
        <v>14</v>
      </c>
    </row>
    <row r="141" spans="1:14" ht="26.25" customHeight="1" x14ac:dyDescent="0.25">
      <c r="A141" s="77"/>
      <c r="B141" s="98" t="s">
        <v>399</v>
      </c>
      <c r="C141" s="92" t="s">
        <v>400</v>
      </c>
      <c r="D141" s="89">
        <f>SUM(D142:D144)</f>
        <v>3239</v>
      </c>
      <c r="E141" s="89">
        <f t="shared" ref="E141:N141" si="5">SUM(E142:E144)</f>
        <v>76</v>
      </c>
      <c r="F141" s="89">
        <f t="shared" si="5"/>
        <v>2921</v>
      </c>
      <c r="G141" s="89">
        <f t="shared" si="5"/>
        <v>0</v>
      </c>
      <c r="H141" s="89">
        <f t="shared" si="5"/>
        <v>0</v>
      </c>
      <c r="I141" s="89">
        <f t="shared" si="5"/>
        <v>2921</v>
      </c>
      <c r="J141" s="89">
        <f t="shared" si="5"/>
        <v>0</v>
      </c>
      <c r="K141" s="89">
        <f t="shared" si="5"/>
        <v>0</v>
      </c>
      <c r="L141" s="89">
        <f t="shared" si="5"/>
        <v>0</v>
      </c>
      <c r="M141" s="89">
        <f t="shared" si="5"/>
        <v>0</v>
      </c>
      <c r="N141" s="89">
        <f t="shared" si="5"/>
        <v>242</v>
      </c>
    </row>
    <row r="142" spans="1:14" ht="17.25" customHeight="1" x14ac:dyDescent="0.25">
      <c r="A142" s="77"/>
      <c r="B142" s="98" t="s">
        <v>399</v>
      </c>
      <c r="C142" s="93" t="s">
        <v>396</v>
      </c>
      <c r="D142" s="80">
        <f t="shared" ref="D142:D148" si="6">E142+F142+N142</f>
        <v>2997</v>
      </c>
      <c r="E142" s="80">
        <f>0+75+1</f>
        <v>76</v>
      </c>
      <c r="F142" s="80">
        <f>0+2931-10</f>
        <v>2921</v>
      </c>
      <c r="G142" s="80"/>
      <c r="H142" s="80"/>
      <c r="I142" s="80">
        <f>0+2931-10</f>
        <v>2921</v>
      </c>
      <c r="J142" s="80"/>
      <c r="K142" s="80"/>
      <c r="L142" s="80"/>
      <c r="M142" s="80"/>
      <c r="N142" s="81"/>
    </row>
    <row r="143" spans="1:14" ht="26.25" customHeight="1" x14ac:dyDescent="0.25">
      <c r="A143" s="77"/>
      <c r="B143" s="98" t="s">
        <v>399</v>
      </c>
      <c r="C143" s="94" t="s">
        <v>397</v>
      </c>
      <c r="D143" s="80">
        <f t="shared" si="6"/>
        <v>181</v>
      </c>
      <c r="E143" s="80"/>
      <c r="F143" s="80"/>
      <c r="G143" s="80"/>
      <c r="H143" s="80"/>
      <c r="I143" s="80"/>
      <c r="J143" s="80"/>
      <c r="K143" s="80"/>
      <c r="L143" s="80"/>
      <c r="M143" s="80"/>
      <c r="N143" s="81">
        <f>0+267+4-90</f>
        <v>181</v>
      </c>
    </row>
    <row r="144" spans="1:14" ht="26.25" customHeight="1" x14ac:dyDescent="0.25">
      <c r="A144" s="77"/>
      <c r="B144" s="98" t="s">
        <v>399</v>
      </c>
      <c r="C144" s="94" t="s">
        <v>398</v>
      </c>
      <c r="D144" s="80">
        <f t="shared" si="6"/>
        <v>61</v>
      </c>
      <c r="E144" s="80"/>
      <c r="F144" s="80"/>
      <c r="G144" s="80"/>
      <c r="H144" s="80"/>
      <c r="I144" s="80"/>
      <c r="J144" s="80"/>
      <c r="K144" s="80"/>
      <c r="L144" s="80"/>
      <c r="M144" s="80"/>
      <c r="N144" s="81">
        <f>0+61</f>
        <v>61</v>
      </c>
    </row>
    <row r="145" spans="1:14" ht="18.75" customHeight="1" x14ac:dyDescent="0.25">
      <c r="A145" s="77">
        <v>130</v>
      </c>
      <c r="B145" s="98" t="s">
        <v>401</v>
      </c>
      <c r="C145" s="94" t="s">
        <v>402</v>
      </c>
      <c r="D145" s="95">
        <f t="shared" si="6"/>
        <v>25</v>
      </c>
      <c r="E145" s="80"/>
      <c r="F145" s="80">
        <f>0+25</f>
        <v>25</v>
      </c>
      <c r="G145" s="80"/>
      <c r="H145" s="80">
        <f>0+25</f>
        <v>25</v>
      </c>
      <c r="I145" s="80"/>
      <c r="J145" s="80"/>
      <c r="K145" s="80"/>
      <c r="L145" s="80"/>
      <c r="M145" s="80"/>
      <c r="N145" s="81"/>
    </row>
    <row r="146" spans="1:14" ht="52.5" customHeight="1" x14ac:dyDescent="0.25">
      <c r="A146" s="77">
        <v>131</v>
      </c>
      <c r="B146" s="98" t="s">
        <v>403</v>
      </c>
      <c r="C146" s="87" t="s">
        <v>404</v>
      </c>
      <c r="D146" s="95">
        <f t="shared" si="6"/>
        <v>1698</v>
      </c>
      <c r="E146" s="80"/>
      <c r="F146" s="80">
        <f>0+1699-1</f>
        <v>1698</v>
      </c>
      <c r="G146" s="80">
        <f>0+269+34</f>
        <v>303</v>
      </c>
      <c r="H146" s="80"/>
      <c r="I146" s="80"/>
      <c r="J146" s="80"/>
      <c r="K146" s="80"/>
      <c r="L146" s="80"/>
      <c r="M146" s="80"/>
      <c r="N146" s="81"/>
    </row>
    <row r="147" spans="1:14" ht="50.25" customHeight="1" x14ac:dyDescent="0.25">
      <c r="A147" s="77">
        <v>132</v>
      </c>
      <c r="B147" s="98" t="s">
        <v>405</v>
      </c>
      <c r="C147" s="87" t="s">
        <v>406</v>
      </c>
      <c r="D147" s="95">
        <f t="shared" si="6"/>
        <v>265</v>
      </c>
      <c r="E147" s="80"/>
      <c r="F147" s="80">
        <f>0+247+18</f>
        <v>265</v>
      </c>
      <c r="G147" s="80"/>
      <c r="H147" s="80"/>
      <c r="I147" s="80"/>
      <c r="J147" s="80"/>
      <c r="K147" s="80"/>
      <c r="L147" s="80"/>
      <c r="M147" s="80"/>
      <c r="N147" s="81"/>
    </row>
    <row r="148" spans="1:14" ht="16.5" customHeight="1" x14ac:dyDescent="0.25">
      <c r="A148" s="77"/>
      <c r="B148" s="77"/>
      <c r="C148" s="83" t="s">
        <v>78</v>
      </c>
      <c r="D148" s="95">
        <f t="shared" si="6"/>
        <v>1091</v>
      </c>
      <c r="E148" s="80"/>
      <c r="F148" s="80">
        <f>1061+18+19-19+12</f>
        <v>1091</v>
      </c>
      <c r="G148" s="80"/>
      <c r="H148" s="80">
        <f>0+18+12</f>
        <v>30</v>
      </c>
      <c r="I148" s="80">
        <v>105</v>
      </c>
      <c r="J148" s="80"/>
      <c r="K148" s="80"/>
      <c r="L148" s="80"/>
      <c r="M148" s="80"/>
      <c r="N148" s="81"/>
    </row>
    <row r="149" spans="1:14" ht="17.25" customHeight="1" x14ac:dyDescent="0.25">
      <c r="A149" s="77"/>
      <c r="B149" s="77"/>
      <c r="C149" s="92" t="s">
        <v>407</v>
      </c>
      <c r="D149" s="89">
        <f t="shared" ref="D149:N149" si="7">SUM(D7:D148)-D137-D141</f>
        <v>253934</v>
      </c>
      <c r="E149" s="89">
        <f t="shared" si="7"/>
        <v>90</v>
      </c>
      <c r="F149" s="89">
        <f t="shared" si="7"/>
        <v>253499</v>
      </c>
      <c r="G149" s="89">
        <f t="shared" si="7"/>
        <v>33072</v>
      </c>
      <c r="H149" s="89">
        <f t="shared" si="7"/>
        <v>2025</v>
      </c>
      <c r="I149" s="89">
        <f t="shared" si="7"/>
        <v>27922</v>
      </c>
      <c r="J149" s="89">
        <f t="shared" si="7"/>
        <v>4011</v>
      </c>
      <c r="K149" s="89">
        <f t="shared" si="7"/>
        <v>1962</v>
      </c>
      <c r="L149" s="89">
        <f t="shared" si="7"/>
        <v>161</v>
      </c>
      <c r="M149" s="89">
        <f t="shared" si="7"/>
        <v>319</v>
      </c>
      <c r="N149" s="89">
        <f t="shared" si="7"/>
        <v>345</v>
      </c>
    </row>
    <row r="152" spans="1:14" x14ac:dyDescent="0.25"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</sheetData>
  <mergeCells count="19">
    <mergeCell ref="A32:A33"/>
    <mergeCell ref="A119:A120"/>
    <mergeCell ref="N4:N6"/>
    <mergeCell ref="G5:G6"/>
    <mergeCell ref="H5:H6"/>
    <mergeCell ref="I5:I6"/>
    <mergeCell ref="J5:K5"/>
    <mergeCell ref="L5:L6"/>
    <mergeCell ref="M5:M6"/>
    <mergeCell ref="A1:N1"/>
    <mergeCell ref="L2:N2"/>
    <mergeCell ref="A3:A6"/>
    <mergeCell ref="B3:B6"/>
    <mergeCell ref="C3:C6"/>
    <mergeCell ref="D3:D6"/>
    <mergeCell ref="F3:N3"/>
    <mergeCell ref="E4:E6"/>
    <mergeCell ref="F4:F6"/>
    <mergeCell ref="G4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" sqref="D1"/>
    </sheetView>
  </sheetViews>
  <sheetFormatPr defaultRowHeight="12.75" x14ac:dyDescent="0.2"/>
  <cols>
    <col min="1" max="1" width="4" style="1" customWidth="1"/>
    <col min="2" max="2" width="7.85546875" style="1" customWidth="1"/>
    <col min="3" max="3" width="33.5703125" style="1" customWidth="1"/>
    <col min="4" max="4" width="14" style="8" customWidth="1"/>
    <col min="5" max="5" width="16.7109375" style="8" customWidth="1"/>
    <col min="6" max="6" width="14.28515625" style="8" customWidth="1"/>
    <col min="7" max="7" width="16.42578125" style="8" customWidth="1"/>
    <col min="8" max="8" width="14.28515625" style="7" customWidth="1"/>
    <col min="9" max="9" width="17.5703125" style="8" customWidth="1"/>
    <col min="10" max="10" width="10.85546875" style="8" customWidth="1"/>
    <col min="11" max="11" width="16.85546875" style="8" customWidth="1"/>
    <col min="12" max="12" width="17.140625" style="8" customWidth="1"/>
    <col min="13" max="13" width="12.5703125" style="8" customWidth="1"/>
    <col min="14" max="14" width="16.28515625" style="8" customWidth="1"/>
    <col min="15" max="15" width="16.42578125" style="8" customWidth="1"/>
    <col min="16" max="16" width="17.28515625" style="8" customWidth="1"/>
    <col min="17" max="17" width="14.7109375" style="8" customWidth="1"/>
    <col min="18" max="18" width="9.140625" style="1"/>
    <col min="19" max="19" width="11.28515625" style="1" bestFit="1" customWidth="1"/>
    <col min="20" max="16384" width="9.140625" style="1"/>
  </cols>
  <sheetData>
    <row r="1" spans="1:19" ht="15.75" x14ac:dyDescent="0.25">
      <c r="D1" s="99" t="s">
        <v>408</v>
      </c>
      <c r="E1" s="121"/>
      <c r="F1" s="121"/>
      <c r="G1" s="121"/>
      <c r="H1" s="122"/>
      <c r="I1" s="121"/>
      <c r="J1" s="121"/>
      <c r="K1" s="121"/>
      <c r="L1" s="121"/>
      <c r="M1" s="121"/>
      <c r="N1" s="121"/>
      <c r="O1" s="121"/>
      <c r="P1" s="121"/>
      <c r="Q1" s="123"/>
    </row>
    <row r="3" spans="1:19" s="100" customFormat="1" ht="21" customHeight="1" x14ac:dyDescent="0.2">
      <c r="A3" s="472" t="s">
        <v>194</v>
      </c>
      <c r="B3" s="473" t="s">
        <v>13</v>
      </c>
      <c r="C3" s="476" t="s">
        <v>409</v>
      </c>
      <c r="D3" s="124" t="s">
        <v>410</v>
      </c>
      <c r="E3" s="479" t="s">
        <v>411</v>
      </c>
      <c r="F3" s="480"/>
      <c r="G3" s="480"/>
      <c r="H3" s="480"/>
      <c r="I3" s="481"/>
      <c r="J3" s="485" t="s">
        <v>412</v>
      </c>
      <c r="K3" s="485"/>
      <c r="L3" s="485"/>
      <c r="M3" s="485"/>
      <c r="N3" s="485"/>
      <c r="O3" s="485"/>
      <c r="P3" s="485"/>
      <c r="Q3" s="485"/>
    </row>
    <row r="4" spans="1:19" s="100" customFormat="1" ht="18" customHeight="1" x14ac:dyDescent="0.2">
      <c r="A4" s="472"/>
      <c r="B4" s="474"/>
      <c r="C4" s="477"/>
      <c r="D4" s="482" t="s">
        <v>407</v>
      </c>
      <c r="E4" s="471" t="s">
        <v>413</v>
      </c>
      <c r="F4" s="484" t="s">
        <v>414</v>
      </c>
      <c r="G4" s="484"/>
      <c r="H4" s="484"/>
      <c r="I4" s="484"/>
      <c r="J4" s="493" t="s">
        <v>29</v>
      </c>
      <c r="K4" s="496" t="s">
        <v>415</v>
      </c>
      <c r="L4" s="497"/>
      <c r="M4" s="486" t="s">
        <v>413</v>
      </c>
      <c r="N4" s="487"/>
      <c r="O4" s="487"/>
      <c r="P4" s="487"/>
      <c r="Q4" s="488"/>
    </row>
    <row r="5" spans="1:19" s="102" customFormat="1" ht="53.25" customHeight="1" x14ac:dyDescent="0.25">
      <c r="A5" s="472"/>
      <c r="B5" s="474"/>
      <c r="C5" s="477"/>
      <c r="D5" s="483"/>
      <c r="E5" s="471"/>
      <c r="F5" s="484"/>
      <c r="G5" s="484"/>
      <c r="H5" s="484"/>
      <c r="I5" s="484"/>
      <c r="J5" s="494"/>
      <c r="K5" s="101" t="s">
        <v>416</v>
      </c>
      <c r="L5" s="101" t="s">
        <v>414</v>
      </c>
      <c r="M5" s="489"/>
      <c r="N5" s="490"/>
      <c r="O5" s="490"/>
      <c r="P5" s="490"/>
      <c r="Q5" s="491"/>
    </row>
    <row r="6" spans="1:19" s="100" customFormat="1" ht="30" customHeight="1" x14ac:dyDescent="0.2">
      <c r="A6" s="472"/>
      <c r="B6" s="474"/>
      <c r="C6" s="477"/>
      <c r="D6" s="483"/>
      <c r="E6" s="469" t="s">
        <v>417</v>
      </c>
      <c r="F6" s="469" t="s">
        <v>418</v>
      </c>
      <c r="G6" s="471" t="s">
        <v>417</v>
      </c>
      <c r="H6" s="471" t="s">
        <v>419</v>
      </c>
      <c r="I6" s="471"/>
      <c r="J6" s="494"/>
      <c r="K6" s="492" t="s">
        <v>417</v>
      </c>
      <c r="L6" s="492" t="s">
        <v>417</v>
      </c>
      <c r="M6" s="485" t="s">
        <v>407</v>
      </c>
      <c r="N6" s="492" t="s">
        <v>420</v>
      </c>
      <c r="O6" s="492" t="s">
        <v>417</v>
      </c>
      <c r="P6" s="492" t="s">
        <v>421</v>
      </c>
      <c r="Q6" s="469" t="s">
        <v>418</v>
      </c>
    </row>
    <row r="7" spans="1:19" s="100" customFormat="1" ht="48" x14ac:dyDescent="0.2">
      <c r="A7" s="472"/>
      <c r="B7" s="475"/>
      <c r="C7" s="478"/>
      <c r="D7" s="475"/>
      <c r="E7" s="470"/>
      <c r="F7" s="470"/>
      <c r="G7" s="471"/>
      <c r="H7" s="103" t="s">
        <v>422</v>
      </c>
      <c r="I7" s="104" t="s">
        <v>423</v>
      </c>
      <c r="J7" s="495"/>
      <c r="K7" s="492"/>
      <c r="L7" s="492"/>
      <c r="M7" s="485"/>
      <c r="N7" s="492"/>
      <c r="O7" s="492"/>
      <c r="P7" s="492"/>
      <c r="Q7" s="470"/>
    </row>
    <row r="8" spans="1:19" ht="15" x14ac:dyDescent="0.25">
      <c r="A8" s="105">
        <v>1</v>
      </c>
      <c r="B8" s="97" t="s">
        <v>28</v>
      </c>
      <c r="C8" s="106" t="s">
        <v>5</v>
      </c>
      <c r="D8" s="111">
        <f>E8+F8+G8+H8+I8+J8</f>
        <v>10928</v>
      </c>
      <c r="E8" s="109"/>
      <c r="F8" s="109"/>
      <c r="G8" s="109">
        <v>400</v>
      </c>
      <c r="H8" s="110">
        <v>25</v>
      </c>
      <c r="I8" s="109">
        <v>10</v>
      </c>
      <c r="J8" s="111">
        <f>N8+O8+P8+L8+K8+Q8</f>
        <v>10493</v>
      </c>
      <c r="K8" s="111">
        <v>500</v>
      </c>
      <c r="L8" s="111">
        <v>2350</v>
      </c>
      <c r="M8" s="111">
        <f>N8+O8+P8+Q8</f>
        <v>7643</v>
      </c>
      <c r="N8" s="109"/>
      <c r="O8" s="109">
        <f>5559-306-1352-603-28</f>
        <v>3270</v>
      </c>
      <c r="P8" s="109">
        <v>3653</v>
      </c>
      <c r="Q8" s="109">
        <v>720</v>
      </c>
      <c r="S8" s="112"/>
    </row>
    <row r="9" spans="1:19" ht="15" x14ac:dyDescent="0.25">
      <c r="A9" s="105">
        <v>2</v>
      </c>
      <c r="B9" s="97" t="s">
        <v>385</v>
      </c>
      <c r="C9" s="113" t="s">
        <v>72</v>
      </c>
      <c r="D9" s="111">
        <f t="shared" ref="D9:D24" si="0">E9+F9+G9+H9+I9+J9</f>
        <v>3476</v>
      </c>
      <c r="E9" s="109"/>
      <c r="F9" s="109">
        <v>70</v>
      </c>
      <c r="G9" s="109">
        <v>30</v>
      </c>
      <c r="H9" s="110"/>
      <c r="I9" s="109"/>
      <c r="J9" s="111">
        <f>N9+O9+P9+L9+K9+Q9</f>
        <v>3376</v>
      </c>
      <c r="K9" s="111"/>
      <c r="L9" s="111"/>
      <c r="M9" s="111">
        <f t="shared" ref="M9:M22" si="1">N9+O9+P9+Q9</f>
        <v>3376</v>
      </c>
      <c r="N9" s="109"/>
      <c r="O9" s="109">
        <v>625</v>
      </c>
      <c r="P9" s="109">
        <v>311</v>
      </c>
      <c r="Q9" s="109">
        <f>1440+1000</f>
        <v>2440</v>
      </c>
      <c r="S9" s="112"/>
    </row>
    <row r="10" spans="1:19" ht="15" x14ac:dyDescent="0.25">
      <c r="A10" s="105">
        <v>3</v>
      </c>
      <c r="B10" s="97">
        <v>914</v>
      </c>
      <c r="C10" s="106" t="s">
        <v>424</v>
      </c>
      <c r="D10" s="111">
        <f t="shared" si="0"/>
        <v>106500</v>
      </c>
      <c r="E10" s="109">
        <v>886</v>
      </c>
      <c r="F10" s="109"/>
      <c r="G10" s="109"/>
      <c r="H10" s="110"/>
      <c r="I10" s="109"/>
      <c r="J10" s="111">
        <f>N10+O10+P10+L10+K10</f>
        <v>105614</v>
      </c>
      <c r="K10" s="111"/>
      <c r="L10" s="111"/>
      <c r="M10" s="111">
        <f t="shared" si="1"/>
        <v>105614</v>
      </c>
      <c r="N10" s="109"/>
      <c r="O10" s="109">
        <f>95378-312+1352-292+1794+603-231+732</f>
        <v>99024</v>
      </c>
      <c r="P10" s="109">
        <v>6590</v>
      </c>
      <c r="Q10" s="109"/>
      <c r="S10" s="112"/>
    </row>
    <row r="11" spans="1:19" ht="15" x14ac:dyDescent="0.25">
      <c r="A11" s="105">
        <v>4</v>
      </c>
      <c r="B11" s="97" t="s">
        <v>425</v>
      </c>
      <c r="C11" s="113" t="s">
        <v>426</v>
      </c>
      <c r="D11" s="111">
        <f t="shared" si="0"/>
        <v>38625</v>
      </c>
      <c r="E11" s="109">
        <v>100</v>
      </c>
      <c r="F11" s="109"/>
      <c r="G11" s="109"/>
      <c r="H11" s="110"/>
      <c r="I11" s="109"/>
      <c r="J11" s="111">
        <f>N11+O11+P11+L11+K11</f>
        <v>38525</v>
      </c>
      <c r="K11" s="111"/>
      <c r="L11" s="111"/>
      <c r="M11" s="111">
        <f t="shared" si="1"/>
        <v>38525</v>
      </c>
      <c r="N11" s="109">
        <v>7427</v>
      </c>
      <c r="O11" s="109">
        <f>25575-162</f>
        <v>25413</v>
      </c>
      <c r="P11" s="109">
        <v>5685</v>
      </c>
      <c r="Q11" s="109"/>
      <c r="S11" s="112"/>
    </row>
    <row r="12" spans="1:19" ht="15" x14ac:dyDescent="0.25">
      <c r="A12" s="105">
        <v>5</v>
      </c>
      <c r="B12" s="97" t="s">
        <v>427</v>
      </c>
      <c r="C12" s="113" t="s">
        <v>428</v>
      </c>
      <c r="D12" s="111">
        <f t="shared" si="0"/>
        <v>22216</v>
      </c>
      <c r="E12" s="109"/>
      <c r="F12" s="109"/>
      <c r="G12" s="109"/>
      <c r="H12" s="110"/>
      <c r="I12" s="109"/>
      <c r="J12" s="111">
        <f>N12+O12+P12+L12+K12</f>
        <v>22216</v>
      </c>
      <c r="K12" s="111"/>
      <c r="L12" s="111"/>
      <c r="M12" s="111">
        <f t="shared" si="1"/>
        <v>22216</v>
      </c>
      <c r="N12" s="109"/>
      <c r="O12" s="109">
        <f>15811-156-105+1219</f>
        <v>16769</v>
      </c>
      <c r="P12" s="109">
        <v>5447</v>
      </c>
      <c r="Q12" s="109"/>
      <c r="S12" s="112"/>
    </row>
    <row r="13" spans="1:19" ht="15" x14ac:dyDescent="0.25">
      <c r="A13" s="105">
        <v>6</v>
      </c>
      <c r="B13" s="97" t="s">
        <v>429</v>
      </c>
      <c r="C13" s="113" t="s">
        <v>430</v>
      </c>
      <c r="D13" s="111">
        <f t="shared" si="0"/>
        <v>9414</v>
      </c>
      <c r="E13" s="109"/>
      <c r="F13" s="109"/>
      <c r="G13" s="109"/>
      <c r="H13" s="110"/>
      <c r="I13" s="109"/>
      <c r="J13" s="111">
        <f>N13+O13+P13+L13+K13</f>
        <v>9414</v>
      </c>
      <c r="K13" s="111"/>
      <c r="L13" s="111"/>
      <c r="M13" s="111">
        <f t="shared" si="1"/>
        <v>9414</v>
      </c>
      <c r="N13" s="109"/>
      <c r="O13" s="109">
        <f>9142-312-107-50</f>
        <v>8673</v>
      </c>
      <c r="P13" s="109">
        <v>741</v>
      </c>
      <c r="Q13" s="109"/>
      <c r="S13" s="112"/>
    </row>
    <row r="14" spans="1:19" ht="15" x14ac:dyDescent="0.25">
      <c r="A14" s="105">
        <v>7</v>
      </c>
      <c r="B14" s="97">
        <v>260</v>
      </c>
      <c r="C14" s="113" t="s">
        <v>431</v>
      </c>
      <c r="D14" s="111">
        <f t="shared" si="0"/>
        <v>4654</v>
      </c>
      <c r="E14" s="109"/>
      <c r="F14" s="109"/>
      <c r="G14" s="109"/>
      <c r="H14" s="110"/>
      <c r="I14" s="109"/>
      <c r="J14" s="111">
        <f>N14+O14+P14+L14+K14</f>
        <v>4654</v>
      </c>
      <c r="K14" s="111"/>
      <c r="L14" s="111"/>
      <c r="M14" s="111">
        <f t="shared" si="1"/>
        <v>4654</v>
      </c>
      <c r="N14" s="109"/>
      <c r="O14" s="109">
        <f>2496+1242+126+504+286</f>
        <v>4654</v>
      </c>
      <c r="P14" s="109"/>
      <c r="Q14" s="109"/>
      <c r="S14" s="112"/>
    </row>
    <row r="15" spans="1:19" ht="15" x14ac:dyDescent="0.25">
      <c r="A15" s="105">
        <v>8</v>
      </c>
      <c r="B15" s="97" t="s">
        <v>387</v>
      </c>
      <c r="C15" s="113" t="s">
        <v>73</v>
      </c>
      <c r="D15" s="111">
        <f t="shared" si="0"/>
        <v>85</v>
      </c>
      <c r="E15" s="109"/>
      <c r="F15" s="109">
        <v>20</v>
      </c>
      <c r="G15" s="109"/>
      <c r="H15" s="110">
        <v>65</v>
      </c>
      <c r="I15" s="109"/>
      <c r="J15" s="111">
        <f t="shared" ref="J15:J22" si="2">N15+O15+P15+L15+K15</f>
        <v>0</v>
      </c>
      <c r="K15" s="111"/>
      <c r="L15" s="111"/>
      <c r="M15" s="111">
        <f t="shared" si="1"/>
        <v>0</v>
      </c>
      <c r="N15" s="109"/>
      <c r="O15" s="109"/>
      <c r="P15" s="109"/>
      <c r="Q15" s="109"/>
      <c r="S15" s="112"/>
    </row>
    <row r="16" spans="1:19" ht="15" x14ac:dyDescent="0.25">
      <c r="A16" s="105">
        <v>9</v>
      </c>
      <c r="B16" s="97" t="s">
        <v>21</v>
      </c>
      <c r="C16" s="113" t="s">
        <v>68</v>
      </c>
      <c r="D16" s="111">
        <f t="shared" si="0"/>
        <v>1</v>
      </c>
      <c r="E16" s="109"/>
      <c r="F16" s="109"/>
      <c r="G16" s="109"/>
      <c r="H16" s="110">
        <v>1</v>
      </c>
      <c r="I16" s="109"/>
      <c r="J16" s="111">
        <f t="shared" si="2"/>
        <v>0</v>
      </c>
      <c r="K16" s="111"/>
      <c r="L16" s="111"/>
      <c r="M16" s="111">
        <f t="shared" si="1"/>
        <v>0</v>
      </c>
      <c r="N16" s="109"/>
      <c r="O16" s="109"/>
      <c r="P16" s="109"/>
      <c r="Q16" s="109"/>
      <c r="S16" s="112"/>
    </row>
    <row r="17" spans="1:19" ht="15" x14ac:dyDescent="0.25">
      <c r="A17" s="105">
        <v>10</v>
      </c>
      <c r="B17" s="97" t="s">
        <v>22</v>
      </c>
      <c r="C17" s="113" t="s">
        <v>432</v>
      </c>
      <c r="D17" s="111">
        <f t="shared" si="0"/>
        <v>20</v>
      </c>
      <c r="E17" s="109"/>
      <c r="F17" s="109"/>
      <c r="G17" s="109"/>
      <c r="H17" s="110">
        <v>20</v>
      </c>
      <c r="I17" s="109"/>
      <c r="J17" s="111">
        <f t="shared" si="2"/>
        <v>0</v>
      </c>
      <c r="K17" s="111"/>
      <c r="L17" s="111"/>
      <c r="M17" s="111">
        <f t="shared" si="1"/>
        <v>0</v>
      </c>
      <c r="N17" s="109"/>
      <c r="O17" s="109"/>
      <c r="P17" s="109"/>
      <c r="Q17" s="109"/>
      <c r="S17" s="112"/>
    </row>
    <row r="18" spans="1:19" ht="15" x14ac:dyDescent="0.25">
      <c r="A18" s="105">
        <v>11</v>
      </c>
      <c r="B18" s="97" t="s">
        <v>380</v>
      </c>
      <c r="C18" s="113" t="s">
        <v>85</v>
      </c>
      <c r="D18" s="111">
        <f t="shared" si="0"/>
        <v>119</v>
      </c>
      <c r="E18" s="109"/>
      <c r="F18" s="109"/>
      <c r="G18" s="109"/>
      <c r="H18" s="110">
        <v>119</v>
      </c>
      <c r="I18" s="109"/>
      <c r="J18" s="111">
        <f t="shared" si="2"/>
        <v>0</v>
      </c>
      <c r="K18" s="111"/>
      <c r="L18" s="111"/>
      <c r="M18" s="111">
        <f t="shared" si="1"/>
        <v>0</v>
      </c>
      <c r="N18" s="109"/>
      <c r="O18" s="109"/>
      <c r="P18" s="109"/>
      <c r="Q18" s="109"/>
      <c r="S18" s="112"/>
    </row>
    <row r="19" spans="1:19" ht="15" x14ac:dyDescent="0.25">
      <c r="A19" s="105">
        <v>12</v>
      </c>
      <c r="B19" s="97">
        <v>12001</v>
      </c>
      <c r="C19" s="113" t="s">
        <v>433</v>
      </c>
      <c r="D19" s="111">
        <f t="shared" si="0"/>
        <v>20</v>
      </c>
      <c r="E19" s="109"/>
      <c r="F19" s="109"/>
      <c r="G19" s="109"/>
      <c r="H19" s="110">
        <v>20</v>
      </c>
      <c r="I19" s="109"/>
      <c r="J19" s="111">
        <f t="shared" si="2"/>
        <v>0</v>
      </c>
      <c r="K19" s="111"/>
      <c r="L19" s="111"/>
      <c r="M19" s="111">
        <f t="shared" si="1"/>
        <v>0</v>
      </c>
      <c r="N19" s="109"/>
      <c r="O19" s="109"/>
      <c r="P19" s="109"/>
      <c r="Q19" s="109"/>
      <c r="S19" s="112"/>
    </row>
    <row r="20" spans="1:19" ht="15" x14ac:dyDescent="0.25">
      <c r="A20" s="105">
        <v>13</v>
      </c>
      <c r="B20" s="97" t="s">
        <v>236</v>
      </c>
      <c r="C20" s="106" t="s">
        <v>237</v>
      </c>
      <c r="D20" s="111">
        <f t="shared" si="0"/>
        <v>50</v>
      </c>
      <c r="E20" s="109"/>
      <c r="F20" s="109"/>
      <c r="G20" s="109">
        <v>50</v>
      </c>
      <c r="H20" s="110"/>
      <c r="I20" s="109"/>
      <c r="J20" s="111">
        <f t="shared" si="2"/>
        <v>0</v>
      </c>
      <c r="K20" s="111"/>
      <c r="L20" s="111"/>
      <c r="M20" s="111">
        <f t="shared" si="1"/>
        <v>0</v>
      </c>
      <c r="N20" s="109"/>
      <c r="O20" s="109"/>
      <c r="P20" s="109"/>
      <c r="Q20" s="109"/>
      <c r="S20" s="112"/>
    </row>
    <row r="21" spans="1:19" ht="15" x14ac:dyDescent="0.25">
      <c r="A21" s="105">
        <v>14</v>
      </c>
      <c r="B21" s="97" t="s">
        <v>384</v>
      </c>
      <c r="C21" s="106" t="s">
        <v>79</v>
      </c>
      <c r="D21" s="111">
        <f t="shared" si="0"/>
        <v>30</v>
      </c>
      <c r="E21" s="109"/>
      <c r="F21" s="109"/>
      <c r="G21" s="109"/>
      <c r="H21" s="110">
        <v>30</v>
      </c>
      <c r="I21" s="109"/>
      <c r="J21" s="111">
        <f t="shared" si="2"/>
        <v>0</v>
      </c>
      <c r="K21" s="111"/>
      <c r="L21" s="111"/>
      <c r="M21" s="111">
        <f t="shared" si="1"/>
        <v>0</v>
      </c>
      <c r="N21" s="109"/>
      <c r="O21" s="109"/>
      <c r="P21" s="109"/>
      <c r="Q21" s="109"/>
      <c r="S21" s="112"/>
    </row>
    <row r="22" spans="1:19" ht="15" x14ac:dyDescent="0.25">
      <c r="A22" s="105">
        <v>15</v>
      </c>
      <c r="B22" s="97">
        <v>22126</v>
      </c>
      <c r="C22" s="106" t="s">
        <v>434</v>
      </c>
      <c r="D22" s="111">
        <f t="shared" si="0"/>
        <v>20</v>
      </c>
      <c r="E22" s="109"/>
      <c r="F22" s="109"/>
      <c r="G22" s="109"/>
      <c r="H22" s="110">
        <f>0+20</f>
        <v>20</v>
      </c>
      <c r="I22" s="109"/>
      <c r="J22" s="111">
        <f t="shared" si="2"/>
        <v>0</v>
      </c>
      <c r="K22" s="111"/>
      <c r="L22" s="111"/>
      <c r="M22" s="111">
        <f t="shared" si="1"/>
        <v>0</v>
      </c>
      <c r="N22" s="109"/>
      <c r="O22" s="109"/>
      <c r="P22" s="109"/>
      <c r="Q22" s="109"/>
      <c r="S22" s="112"/>
    </row>
    <row r="23" spans="1:19" s="119" customFormat="1" x14ac:dyDescent="0.2">
      <c r="A23" s="114"/>
      <c r="B23" s="114"/>
      <c r="C23" s="115" t="s">
        <v>8</v>
      </c>
      <c r="D23" s="107">
        <f>SUM(D8:D22)</f>
        <v>196158</v>
      </c>
      <c r="E23" s="116">
        <f t="shared" ref="E23:Q23" si="3">SUM(E8:E22)</f>
        <v>986</v>
      </c>
      <c r="F23" s="116">
        <f t="shared" si="3"/>
        <v>90</v>
      </c>
      <c r="G23" s="116">
        <f t="shared" si="3"/>
        <v>480</v>
      </c>
      <c r="H23" s="116">
        <f t="shared" si="3"/>
        <v>300</v>
      </c>
      <c r="I23" s="116">
        <f t="shared" si="3"/>
        <v>10</v>
      </c>
      <c r="J23" s="116">
        <f t="shared" si="3"/>
        <v>194292</v>
      </c>
      <c r="K23" s="116">
        <f t="shared" si="3"/>
        <v>500</v>
      </c>
      <c r="L23" s="116">
        <f t="shared" si="3"/>
        <v>2350</v>
      </c>
      <c r="M23" s="116">
        <f t="shared" si="3"/>
        <v>191442</v>
      </c>
      <c r="N23" s="116">
        <f t="shared" si="3"/>
        <v>7427</v>
      </c>
      <c r="O23" s="116">
        <f t="shared" si="3"/>
        <v>158428</v>
      </c>
      <c r="P23" s="116">
        <f t="shared" si="3"/>
        <v>22427</v>
      </c>
      <c r="Q23" s="116">
        <f t="shared" si="3"/>
        <v>3160</v>
      </c>
      <c r="S23" s="120"/>
    </row>
    <row r="24" spans="1:19" x14ac:dyDescent="0.2">
      <c r="A24" s="105"/>
      <c r="B24" s="105"/>
      <c r="C24" s="106" t="s">
        <v>435</v>
      </c>
      <c r="D24" s="111">
        <f t="shared" si="0"/>
        <v>13844</v>
      </c>
      <c r="E24" s="111"/>
      <c r="F24" s="111"/>
      <c r="G24" s="111"/>
      <c r="H24" s="117"/>
      <c r="I24" s="111"/>
      <c r="J24" s="111">
        <f>N24+O24+P24+L24+K24</f>
        <v>13844</v>
      </c>
      <c r="K24" s="111"/>
      <c r="L24" s="111"/>
      <c r="M24" s="111">
        <f>N24+O24+P24+Q24</f>
        <v>13844</v>
      </c>
      <c r="N24" s="109"/>
      <c r="O24" s="109">
        <f>18786-156-1000-100-126-1794-748-286-732</f>
        <v>13844</v>
      </c>
      <c r="P24" s="109"/>
      <c r="Q24" s="109"/>
      <c r="S24" s="112"/>
    </row>
    <row r="25" spans="1:19" s="119" customFormat="1" ht="25.5" x14ac:dyDescent="0.2">
      <c r="A25" s="114"/>
      <c r="B25" s="114"/>
      <c r="C25" s="118" t="s">
        <v>436</v>
      </c>
      <c r="D25" s="107">
        <f>D23+D24</f>
        <v>210002</v>
      </c>
      <c r="E25" s="107">
        <f t="shared" ref="E25:K25" si="4">E24+E23</f>
        <v>986</v>
      </c>
      <c r="F25" s="107">
        <f t="shared" si="4"/>
        <v>90</v>
      </c>
      <c r="G25" s="107">
        <f t="shared" si="4"/>
        <v>480</v>
      </c>
      <c r="H25" s="108">
        <f t="shared" si="4"/>
        <v>300</v>
      </c>
      <c r="I25" s="107">
        <f t="shared" si="4"/>
        <v>10</v>
      </c>
      <c r="J25" s="107">
        <f t="shared" si="4"/>
        <v>208136</v>
      </c>
      <c r="K25" s="107">
        <f t="shared" si="4"/>
        <v>500</v>
      </c>
      <c r="L25" s="107">
        <f>L23+L24</f>
        <v>2350</v>
      </c>
      <c r="M25" s="107">
        <f>N25+O25+P25+Q25</f>
        <v>205286</v>
      </c>
      <c r="N25" s="107">
        <f>N23+N24</f>
        <v>7427</v>
      </c>
      <c r="O25" s="107">
        <f>O23+O24</f>
        <v>172272</v>
      </c>
      <c r="P25" s="107">
        <f>P23+P24</f>
        <v>22427</v>
      </c>
      <c r="Q25" s="107">
        <f>Q23+Q24</f>
        <v>3160</v>
      </c>
      <c r="S25" s="120"/>
    </row>
  </sheetData>
  <mergeCells count="22">
    <mergeCell ref="J3:Q3"/>
    <mergeCell ref="M4:Q5"/>
    <mergeCell ref="Q6:Q7"/>
    <mergeCell ref="K6:K7"/>
    <mergeCell ref="L6:L7"/>
    <mergeCell ref="M6:M7"/>
    <mergeCell ref="N6:N7"/>
    <mergeCell ref="O6:O7"/>
    <mergeCell ref="P6:P7"/>
    <mergeCell ref="J4:J7"/>
    <mergeCell ref="K4:L4"/>
    <mergeCell ref="E6:E7"/>
    <mergeCell ref="F6:F7"/>
    <mergeCell ref="G6:G7"/>
    <mergeCell ref="H6:I6"/>
    <mergeCell ref="A3:A7"/>
    <mergeCell ref="B3:B7"/>
    <mergeCell ref="C3:C7"/>
    <mergeCell ref="E3:I3"/>
    <mergeCell ref="D4:D7"/>
    <mergeCell ref="E4:E5"/>
    <mergeCell ref="F4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24" sqref="F24"/>
    </sheetView>
  </sheetViews>
  <sheetFormatPr defaultRowHeight="12.75" x14ac:dyDescent="0.25"/>
  <cols>
    <col min="1" max="1" width="5.7109375" style="9" customWidth="1"/>
    <col min="2" max="2" width="10.28515625" style="9" customWidth="1"/>
    <col min="3" max="3" width="32.5703125" style="20" customWidth="1"/>
    <col min="4" max="4" width="15.5703125" style="9" customWidth="1"/>
    <col min="5" max="5" width="17.85546875" style="21" customWidth="1"/>
    <col min="6" max="6" width="16.7109375" style="21" customWidth="1"/>
    <col min="7" max="16384" width="9.140625" style="9"/>
  </cols>
  <sheetData>
    <row r="1" spans="1:6" ht="75" customHeight="1" x14ac:dyDescent="0.25">
      <c r="A1" s="502" t="s">
        <v>12</v>
      </c>
      <c r="B1" s="502"/>
      <c r="C1" s="502"/>
      <c r="D1" s="502"/>
      <c r="E1" s="502"/>
      <c r="F1" s="502"/>
    </row>
    <row r="2" spans="1:6" ht="16.5" customHeight="1" x14ac:dyDescent="0.25">
      <c r="A2" s="498" t="s">
        <v>880</v>
      </c>
      <c r="B2" s="500" t="s">
        <v>13</v>
      </c>
      <c r="C2" s="500" t="s">
        <v>9</v>
      </c>
      <c r="D2" s="500" t="s">
        <v>890</v>
      </c>
      <c r="E2" s="503" t="s">
        <v>2</v>
      </c>
      <c r="F2" s="504"/>
    </row>
    <row r="3" spans="1:6" ht="48" customHeight="1" x14ac:dyDescent="0.25">
      <c r="A3" s="499"/>
      <c r="B3" s="501"/>
      <c r="C3" s="501"/>
      <c r="D3" s="501"/>
      <c r="E3" s="10" t="s">
        <v>14</v>
      </c>
      <c r="F3" s="10" t="s">
        <v>15</v>
      </c>
    </row>
    <row r="4" spans="1:6" ht="15" x14ac:dyDescent="0.25">
      <c r="A4" s="428">
        <v>1</v>
      </c>
      <c r="B4" s="12">
        <v>28</v>
      </c>
      <c r="C4" s="11" t="s">
        <v>16</v>
      </c>
      <c r="D4" s="13">
        <f>SUM(E4:F4)</f>
        <v>51795</v>
      </c>
      <c r="E4" s="14">
        <v>23147</v>
      </c>
      <c r="F4" s="14">
        <v>28648</v>
      </c>
    </row>
    <row r="5" spans="1:6" ht="15" x14ac:dyDescent="0.25">
      <c r="A5" s="428">
        <v>2</v>
      </c>
      <c r="B5" s="12" t="s">
        <v>17</v>
      </c>
      <c r="C5" s="15" t="s">
        <v>7</v>
      </c>
      <c r="D5" s="13">
        <f t="shared" ref="D5:D14" si="0">SUM(E5:F5)</f>
        <v>75410</v>
      </c>
      <c r="E5" s="14">
        <v>27087</v>
      </c>
      <c r="F5" s="14">
        <v>48323</v>
      </c>
    </row>
    <row r="6" spans="1:6" ht="15" x14ac:dyDescent="0.25">
      <c r="A6" s="428">
        <v>3</v>
      </c>
      <c r="B6" s="12" t="s">
        <v>18</v>
      </c>
      <c r="C6" s="15" t="s">
        <v>6</v>
      </c>
      <c r="D6" s="13">
        <f t="shared" si="0"/>
        <v>71300</v>
      </c>
      <c r="E6" s="14">
        <v>25070</v>
      </c>
      <c r="F6" s="14">
        <v>46230</v>
      </c>
    </row>
    <row r="7" spans="1:6" ht="15" x14ac:dyDescent="0.25">
      <c r="A7" s="428">
        <v>4</v>
      </c>
      <c r="B7" s="12" t="s">
        <v>19</v>
      </c>
      <c r="C7" s="15" t="s">
        <v>3</v>
      </c>
      <c r="D7" s="13">
        <f t="shared" si="0"/>
        <v>81050</v>
      </c>
      <c r="E7" s="14">
        <v>28055</v>
      </c>
      <c r="F7" s="14">
        <v>52995</v>
      </c>
    </row>
    <row r="8" spans="1:6" ht="15" x14ac:dyDescent="0.25">
      <c r="A8" s="428">
        <v>5</v>
      </c>
      <c r="B8" s="12" t="s">
        <v>21</v>
      </c>
      <c r="C8" s="16" t="s">
        <v>20</v>
      </c>
      <c r="D8" s="13">
        <f t="shared" si="0"/>
        <v>72650</v>
      </c>
      <c r="E8" s="14">
        <v>26539</v>
      </c>
      <c r="F8" s="14">
        <v>46111</v>
      </c>
    </row>
    <row r="9" spans="1:6" ht="15" x14ac:dyDescent="0.25">
      <c r="A9" s="428">
        <v>6</v>
      </c>
      <c r="B9" s="12" t="s">
        <v>22</v>
      </c>
      <c r="C9" s="15" t="s">
        <v>10</v>
      </c>
      <c r="D9" s="13">
        <f t="shared" si="0"/>
        <v>104600</v>
      </c>
      <c r="E9" s="14">
        <v>38910</v>
      </c>
      <c r="F9" s="14">
        <v>65690</v>
      </c>
    </row>
    <row r="10" spans="1:6" ht="15" x14ac:dyDescent="0.25">
      <c r="A10" s="428">
        <v>7</v>
      </c>
      <c r="B10" s="12" t="s">
        <v>24</v>
      </c>
      <c r="C10" s="15" t="s">
        <v>23</v>
      </c>
      <c r="D10" s="13">
        <f t="shared" si="0"/>
        <v>72785</v>
      </c>
      <c r="E10" s="14">
        <v>28183</v>
      </c>
      <c r="F10" s="14">
        <v>44602</v>
      </c>
    </row>
    <row r="11" spans="1:6" ht="15" x14ac:dyDescent="0.25">
      <c r="A11" s="428">
        <v>8</v>
      </c>
      <c r="B11" s="12" t="s">
        <v>25</v>
      </c>
      <c r="C11" s="15" t="s">
        <v>11</v>
      </c>
      <c r="D11" s="13">
        <f t="shared" si="0"/>
        <v>67230</v>
      </c>
      <c r="E11" s="14">
        <v>22015</v>
      </c>
      <c r="F11" s="14">
        <v>45215</v>
      </c>
    </row>
    <row r="12" spans="1:6" ht="15" x14ac:dyDescent="0.25">
      <c r="A12" s="428">
        <v>9</v>
      </c>
      <c r="B12" s="12" t="s">
        <v>26</v>
      </c>
      <c r="C12" s="15" t="s">
        <v>0</v>
      </c>
      <c r="D12" s="13">
        <f t="shared" si="0"/>
        <v>65200</v>
      </c>
      <c r="E12" s="14">
        <v>23998</v>
      </c>
      <c r="F12" s="14">
        <v>41202</v>
      </c>
    </row>
    <row r="13" spans="1:6" ht="15" x14ac:dyDescent="0.25">
      <c r="A13" s="428">
        <v>10</v>
      </c>
      <c r="B13" s="12" t="s">
        <v>27</v>
      </c>
      <c r="C13" s="16" t="s">
        <v>4</v>
      </c>
      <c r="D13" s="13">
        <f t="shared" si="0"/>
        <v>49500</v>
      </c>
      <c r="E13" s="14">
        <v>13597</v>
      </c>
      <c r="F13" s="14">
        <v>35903</v>
      </c>
    </row>
    <row r="14" spans="1:6" ht="15" x14ac:dyDescent="0.25">
      <c r="A14" s="428">
        <v>11</v>
      </c>
      <c r="B14" s="12" t="s">
        <v>28</v>
      </c>
      <c r="C14" s="16" t="s">
        <v>5</v>
      </c>
      <c r="D14" s="13">
        <f t="shared" si="0"/>
        <v>52400</v>
      </c>
      <c r="E14" s="14">
        <v>20223</v>
      </c>
      <c r="F14" s="14">
        <v>32177</v>
      </c>
    </row>
    <row r="15" spans="1:6" ht="24" customHeight="1" x14ac:dyDescent="0.25">
      <c r="A15" s="428"/>
      <c r="B15" s="18"/>
      <c r="C15" s="17" t="s">
        <v>8</v>
      </c>
      <c r="D15" s="19">
        <f>SUM(D4:D14)</f>
        <v>763920</v>
      </c>
      <c r="E15" s="19">
        <f>SUM(E4:E14)</f>
        <v>276824</v>
      </c>
      <c r="F15" s="19">
        <f>SUM(F4:F14)</f>
        <v>487096</v>
      </c>
    </row>
    <row r="17" spans="4:4" x14ac:dyDescent="0.25">
      <c r="D17" s="21"/>
    </row>
    <row r="18" spans="4:4" x14ac:dyDescent="0.25">
      <c r="D18" s="21"/>
    </row>
  </sheetData>
  <mergeCells count="6">
    <mergeCell ref="A2:A3"/>
    <mergeCell ref="B2:B3"/>
    <mergeCell ref="A1:F1"/>
    <mergeCell ref="C2:C3"/>
    <mergeCell ref="D2:D3"/>
    <mergeCell ref="E2:F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RowHeight="12.75" x14ac:dyDescent="0.25"/>
  <cols>
    <col min="1" max="1" width="6.140625" style="3" customWidth="1"/>
    <col min="2" max="2" width="8" style="3" customWidth="1"/>
    <col min="3" max="3" width="37.42578125" style="2" customWidth="1"/>
    <col min="4" max="4" width="11.7109375" style="55" customWidth="1"/>
    <col min="5" max="11" width="11.7109375" style="164" customWidth="1"/>
    <col min="12" max="13" width="11.7109375" style="4" customWidth="1"/>
    <col min="14" max="14" width="9.5703125" style="2" bestFit="1" customWidth="1"/>
    <col min="15" max="15" width="11.85546875" style="2" customWidth="1"/>
    <col min="16" max="16384" width="9.140625" style="2"/>
  </cols>
  <sheetData>
    <row r="1" spans="1:14" ht="22.5" customHeight="1" x14ac:dyDescent="0.25">
      <c r="A1" s="507" t="s">
        <v>469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2"/>
    </row>
    <row r="2" spans="1:14" ht="13.5" thickBot="1" x14ac:dyDescent="0.3"/>
    <row r="3" spans="1:14" ht="15" x14ac:dyDescent="0.25">
      <c r="A3" s="508" t="s">
        <v>194</v>
      </c>
      <c r="B3" s="510" t="s">
        <v>13</v>
      </c>
      <c r="C3" s="512" t="s">
        <v>9</v>
      </c>
      <c r="D3" s="514" t="s">
        <v>470</v>
      </c>
      <c r="E3" s="515"/>
      <c r="F3" s="515"/>
      <c r="G3" s="515"/>
      <c r="H3" s="516"/>
      <c r="I3" s="517" t="s">
        <v>471</v>
      </c>
      <c r="J3" s="518"/>
      <c r="K3" s="518"/>
      <c r="L3" s="519"/>
      <c r="M3" s="505" t="s">
        <v>407</v>
      </c>
    </row>
    <row r="4" spans="1:14" ht="27.75" customHeight="1" thickBot="1" x14ac:dyDescent="0.3">
      <c r="A4" s="509"/>
      <c r="B4" s="511"/>
      <c r="C4" s="513"/>
      <c r="D4" s="227" t="s">
        <v>472</v>
      </c>
      <c r="E4" s="166" t="s">
        <v>473</v>
      </c>
      <c r="F4" s="166" t="s">
        <v>474</v>
      </c>
      <c r="G4" s="167" t="s">
        <v>475</v>
      </c>
      <c r="H4" s="228" t="s">
        <v>29</v>
      </c>
      <c r="I4" s="165" t="s">
        <v>473</v>
      </c>
      <c r="J4" s="166" t="s">
        <v>474</v>
      </c>
      <c r="K4" s="167" t="s">
        <v>475</v>
      </c>
      <c r="L4" s="168" t="s">
        <v>29</v>
      </c>
      <c r="M4" s="506"/>
    </row>
    <row r="5" spans="1:14" x14ac:dyDescent="0.25">
      <c r="A5" s="169">
        <v>1</v>
      </c>
      <c r="B5" s="169" t="s">
        <v>219</v>
      </c>
      <c r="C5" s="170" t="s">
        <v>180</v>
      </c>
      <c r="D5" s="171"/>
      <c r="E5" s="172">
        <v>698</v>
      </c>
      <c r="F5" s="172">
        <v>36</v>
      </c>
      <c r="G5" s="172">
        <v>119</v>
      </c>
      <c r="H5" s="173">
        <f>D5+E5+F5+G5</f>
        <v>853</v>
      </c>
      <c r="I5" s="174"/>
      <c r="J5" s="175"/>
      <c r="K5" s="175"/>
      <c r="L5" s="176">
        <f>I5+J5+K5</f>
        <v>0</v>
      </c>
      <c r="M5" s="177">
        <f t="shared" ref="M5:M48" si="0">H5+L5</f>
        <v>853</v>
      </c>
      <c r="N5" s="178"/>
    </row>
    <row r="6" spans="1:14" x14ac:dyDescent="0.25">
      <c r="A6" s="179">
        <v>2</v>
      </c>
      <c r="B6" s="179" t="s">
        <v>222</v>
      </c>
      <c r="C6" s="180" t="s">
        <v>111</v>
      </c>
      <c r="D6" s="181"/>
      <c r="E6" s="182">
        <v>984</v>
      </c>
      <c r="F6" s="182">
        <v>48</v>
      </c>
      <c r="G6" s="182"/>
      <c r="H6" s="173">
        <f t="shared" ref="H6:H48" si="1">D6+E6+F6+G6</f>
        <v>1032</v>
      </c>
      <c r="I6" s="183"/>
      <c r="J6" s="59"/>
      <c r="K6" s="59"/>
      <c r="L6" s="184">
        <f t="shared" ref="L6:L48" si="2">I6+J6+K6</f>
        <v>0</v>
      </c>
      <c r="M6" s="185">
        <f t="shared" si="0"/>
        <v>1032</v>
      </c>
      <c r="N6" s="178"/>
    </row>
    <row r="7" spans="1:14" x14ac:dyDescent="0.25">
      <c r="A7" s="179">
        <v>3</v>
      </c>
      <c r="B7" s="179" t="s">
        <v>27</v>
      </c>
      <c r="C7" s="180" t="s">
        <v>4</v>
      </c>
      <c r="D7" s="181"/>
      <c r="E7" s="182">
        <f>2546+344</f>
        <v>2890</v>
      </c>
      <c r="F7" s="182"/>
      <c r="G7" s="182">
        <f>444-344</f>
        <v>100</v>
      </c>
      <c r="H7" s="173">
        <f t="shared" si="1"/>
        <v>2990</v>
      </c>
      <c r="I7" s="183">
        <v>1621</v>
      </c>
      <c r="J7" s="59"/>
      <c r="K7" s="59"/>
      <c r="L7" s="184">
        <f t="shared" si="2"/>
        <v>1621</v>
      </c>
      <c r="M7" s="185">
        <f t="shared" si="0"/>
        <v>4611</v>
      </c>
      <c r="N7" s="178"/>
    </row>
    <row r="8" spans="1:14" x14ac:dyDescent="0.25">
      <c r="A8" s="179">
        <v>4</v>
      </c>
      <c r="B8" s="179" t="s">
        <v>225</v>
      </c>
      <c r="C8" s="180" t="s">
        <v>110</v>
      </c>
      <c r="D8" s="181"/>
      <c r="E8" s="182">
        <v>1641</v>
      </c>
      <c r="F8" s="182"/>
      <c r="G8" s="182">
        <v>168</v>
      </c>
      <c r="H8" s="173">
        <f t="shared" si="1"/>
        <v>1809</v>
      </c>
      <c r="I8" s="183"/>
      <c r="J8" s="59"/>
      <c r="K8" s="59"/>
      <c r="L8" s="184">
        <f t="shared" si="2"/>
        <v>0</v>
      </c>
      <c r="M8" s="185">
        <f t="shared" si="0"/>
        <v>1809</v>
      </c>
      <c r="N8" s="178"/>
    </row>
    <row r="9" spans="1:14" x14ac:dyDescent="0.25">
      <c r="A9" s="179">
        <v>5</v>
      </c>
      <c r="B9" s="179" t="s">
        <v>226</v>
      </c>
      <c r="C9" s="180" t="s">
        <v>175</v>
      </c>
      <c r="D9" s="181"/>
      <c r="E9" s="182">
        <v>237</v>
      </c>
      <c r="F9" s="182"/>
      <c r="G9" s="182"/>
      <c r="H9" s="173">
        <f t="shared" si="1"/>
        <v>237</v>
      </c>
      <c r="I9" s="183"/>
      <c r="J9" s="59"/>
      <c r="K9" s="59"/>
      <c r="L9" s="184">
        <f t="shared" si="2"/>
        <v>0</v>
      </c>
      <c r="M9" s="185">
        <f t="shared" si="0"/>
        <v>237</v>
      </c>
      <c r="N9" s="178"/>
    </row>
    <row r="10" spans="1:14" x14ac:dyDescent="0.25">
      <c r="A10" s="179">
        <v>6</v>
      </c>
      <c r="B10" s="179" t="s">
        <v>227</v>
      </c>
      <c r="C10" s="180" t="s">
        <v>456</v>
      </c>
      <c r="D10" s="181"/>
      <c r="E10" s="182">
        <v>230</v>
      </c>
      <c r="F10" s="182"/>
      <c r="G10" s="182"/>
      <c r="H10" s="173">
        <f t="shared" si="1"/>
        <v>230</v>
      </c>
      <c r="I10" s="183"/>
      <c r="J10" s="59"/>
      <c r="K10" s="59"/>
      <c r="L10" s="184">
        <f t="shared" si="2"/>
        <v>0</v>
      </c>
      <c r="M10" s="185">
        <f t="shared" si="0"/>
        <v>230</v>
      </c>
      <c r="N10" s="178"/>
    </row>
    <row r="11" spans="1:14" x14ac:dyDescent="0.25">
      <c r="A11" s="179">
        <v>7</v>
      </c>
      <c r="B11" s="179" t="s">
        <v>251</v>
      </c>
      <c r="C11" s="180" t="s">
        <v>108</v>
      </c>
      <c r="D11" s="181"/>
      <c r="E11" s="182">
        <v>963</v>
      </c>
      <c r="F11" s="182"/>
      <c r="G11" s="182"/>
      <c r="H11" s="173">
        <f t="shared" si="1"/>
        <v>963</v>
      </c>
      <c r="I11" s="183"/>
      <c r="J11" s="59"/>
      <c r="K11" s="59"/>
      <c r="L11" s="184">
        <f t="shared" si="2"/>
        <v>0</v>
      </c>
      <c r="M11" s="185">
        <f t="shared" si="0"/>
        <v>963</v>
      </c>
      <c r="N11" s="178"/>
    </row>
    <row r="12" spans="1:14" x14ac:dyDescent="0.25">
      <c r="A12" s="179">
        <v>8</v>
      </c>
      <c r="B12" s="179" t="s">
        <v>236</v>
      </c>
      <c r="C12" s="180" t="s">
        <v>237</v>
      </c>
      <c r="D12" s="181"/>
      <c r="E12" s="182">
        <v>2091</v>
      </c>
      <c r="F12" s="182">
        <v>93</v>
      </c>
      <c r="G12" s="182">
        <v>253</v>
      </c>
      <c r="H12" s="173">
        <f t="shared" si="1"/>
        <v>2437</v>
      </c>
      <c r="I12" s="183">
        <v>2209</v>
      </c>
      <c r="J12" s="59">
        <v>58</v>
      </c>
      <c r="K12" s="59"/>
      <c r="L12" s="184">
        <f t="shared" si="2"/>
        <v>2267</v>
      </c>
      <c r="M12" s="185">
        <f t="shared" si="0"/>
        <v>4704</v>
      </c>
      <c r="N12" s="178"/>
    </row>
    <row r="13" spans="1:14" ht="25.5" x14ac:dyDescent="0.25">
      <c r="A13" s="179">
        <v>9</v>
      </c>
      <c r="B13" s="186" t="s">
        <v>24</v>
      </c>
      <c r="C13" s="187" t="s">
        <v>241</v>
      </c>
      <c r="D13" s="188"/>
      <c r="E13" s="182">
        <v>1681</v>
      </c>
      <c r="F13" s="182">
        <v>68</v>
      </c>
      <c r="G13" s="182"/>
      <c r="H13" s="173">
        <f t="shared" si="1"/>
        <v>1749</v>
      </c>
      <c r="I13" s="183"/>
      <c r="J13" s="59"/>
      <c r="K13" s="59"/>
      <c r="L13" s="184">
        <f t="shared" si="2"/>
        <v>0</v>
      </c>
      <c r="M13" s="185">
        <f t="shared" si="0"/>
        <v>1749</v>
      </c>
      <c r="N13" s="178"/>
    </row>
    <row r="14" spans="1:14" x14ac:dyDescent="0.25">
      <c r="A14" s="179">
        <v>10</v>
      </c>
      <c r="B14" s="179" t="s">
        <v>233</v>
      </c>
      <c r="C14" s="180" t="s">
        <v>96</v>
      </c>
      <c r="D14" s="181"/>
      <c r="E14" s="182">
        <v>1179</v>
      </c>
      <c r="F14" s="182">
        <v>0</v>
      </c>
      <c r="G14" s="182">
        <v>39</v>
      </c>
      <c r="H14" s="173">
        <f t="shared" si="1"/>
        <v>1218</v>
      </c>
      <c r="I14" s="183"/>
      <c r="J14" s="59"/>
      <c r="K14" s="59"/>
      <c r="L14" s="184">
        <f t="shared" si="2"/>
        <v>0</v>
      </c>
      <c r="M14" s="185">
        <f t="shared" si="0"/>
        <v>1218</v>
      </c>
      <c r="N14" s="178"/>
    </row>
    <row r="15" spans="1:14" x14ac:dyDescent="0.25">
      <c r="A15" s="179">
        <v>11</v>
      </c>
      <c r="B15" s="179">
        <v>12001</v>
      </c>
      <c r="C15" s="180" t="s">
        <v>433</v>
      </c>
      <c r="D15" s="181"/>
      <c r="E15" s="182">
        <v>2226</v>
      </c>
      <c r="F15" s="182"/>
      <c r="G15" s="182">
        <v>448</v>
      </c>
      <c r="H15" s="173">
        <f t="shared" si="1"/>
        <v>2674</v>
      </c>
      <c r="I15" s="183"/>
      <c r="J15" s="59"/>
      <c r="K15" s="59"/>
      <c r="L15" s="184">
        <f t="shared" si="2"/>
        <v>0</v>
      </c>
      <c r="M15" s="185">
        <f t="shared" si="0"/>
        <v>2674</v>
      </c>
      <c r="N15" s="178"/>
    </row>
    <row r="16" spans="1:14" x14ac:dyDescent="0.25">
      <c r="A16" s="179">
        <v>12</v>
      </c>
      <c r="B16" s="179" t="s">
        <v>244</v>
      </c>
      <c r="C16" s="189" t="s">
        <v>476</v>
      </c>
      <c r="D16" s="190"/>
      <c r="E16" s="182">
        <v>1124</v>
      </c>
      <c r="F16" s="182">
        <v>56</v>
      </c>
      <c r="G16" s="182"/>
      <c r="H16" s="173">
        <f t="shared" si="1"/>
        <v>1180</v>
      </c>
      <c r="I16" s="183"/>
      <c r="J16" s="59"/>
      <c r="K16" s="59"/>
      <c r="L16" s="184">
        <f t="shared" si="2"/>
        <v>0</v>
      </c>
      <c r="M16" s="185">
        <f t="shared" si="0"/>
        <v>1180</v>
      </c>
      <c r="N16" s="178"/>
    </row>
    <row r="17" spans="1:14" x14ac:dyDescent="0.25">
      <c r="A17" s="179">
        <v>13</v>
      </c>
      <c r="B17" s="179" t="s">
        <v>235</v>
      </c>
      <c r="C17" s="180" t="s">
        <v>95</v>
      </c>
      <c r="D17" s="181"/>
      <c r="E17" s="182">
        <v>2674</v>
      </c>
      <c r="F17" s="182">
        <v>88</v>
      </c>
      <c r="G17" s="182"/>
      <c r="H17" s="173">
        <f t="shared" si="1"/>
        <v>2762</v>
      </c>
      <c r="I17" s="183"/>
      <c r="J17" s="59"/>
      <c r="K17" s="59"/>
      <c r="L17" s="184">
        <f t="shared" si="2"/>
        <v>0</v>
      </c>
      <c r="M17" s="185">
        <f t="shared" si="0"/>
        <v>2762</v>
      </c>
      <c r="N17" s="178"/>
    </row>
    <row r="18" spans="1:14" x14ac:dyDescent="0.25">
      <c r="A18" s="179">
        <v>14</v>
      </c>
      <c r="B18" s="179" t="s">
        <v>256</v>
      </c>
      <c r="C18" s="180" t="s">
        <v>107</v>
      </c>
      <c r="D18" s="181"/>
      <c r="E18" s="182">
        <v>689</v>
      </c>
      <c r="F18" s="182">
        <v>44</v>
      </c>
      <c r="G18" s="182"/>
      <c r="H18" s="173">
        <f t="shared" si="1"/>
        <v>733</v>
      </c>
      <c r="I18" s="183"/>
      <c r="J18" s="59"/>
      <c r="K18" s="59"/>
      <c r="L18" s="184">
        <f t="shared" si="2"/>
        <v>0</v>
      </c>
      <c r="M18" s="185">
        <f t="shared" si="0"/>
        <v>733</v>
      </c>
      <c r="N18" s="178"/>
    </row>
    <row r="19" spans="1:14" x14ac:dyDescent="0.25">
      <c r="A19" s="179">
        <v>15</v>
      </c>
      <c r="B19" s="179" t="s">
        <v>265</v>
      </c>
      <c r="C19" s="180" t="s">
        <v>106</v>
      </c>
      <c r="D19" s="181"/>
      <c r="E19" s="182">
        <f>1331-111</f>
        <v>1220</v>
      </c>
      <c r="F19" s="182"/>
      <c r="G19" s="182">
        <f>229-19</f>
        <v>210</v>
      </c>
      <c r="H19" s="173">
        <f t="shared" si="1"/>
        <v>1430</v>
      </c>
      <c r="I19" s="183"/>
      <c r="J19" s="59"/>
      <c r="K19" s="59"/>
      <c r="L19" s="184">
        <f t="shared" si="2"/>
        <v>0</v>
      </c>
      <c r="M19" s="185">
        <f t="shared" si="0"/>
        <v>1430</v>
      </c>
      <c r="N19" s="178"/>
    </row>
    <row r="20" spans="1:14" x14ac:dyDescent="0.25">
      <c r="A20" s="179">
        <v>16</v>
      </c>
      <c r="B20" s="179" t="s">
        <v>266</v>
      </c>
      <c r="C20" s="180" t="s">
        <v>59</v>
      </c>
      <c r="D20" s="181"/>
      <c r="E20" s="182">
        <v>902</v>
      </c>
      <c r="F20" s="182">
        <v>46</v>
      </c>
      <c r="G20" s="182"/>
      <c r="H20" s="173">
        <f t="shared" si="1"/>
        <v>948</v>
      </c>
      <c r="I20" s="183"/>
      <c r="J20" s="59"/>
      <c r="K20" s="59"/>
      <c r="L20" s="184">
        <f t="shared" si="2"/>
        <v>0</v>
      </c>
      <c r="M20" s="185">
        <f t="shared" si="0"/>
        <v>948</v>
      </c>
      <c r="N20" s="178"/>
    </row>
    <row r="21" spans="1:14" x14ac:dyDescent="0.25">
      <c r="A21" s="179">
        <v>17</v>
      </c>
      <c r="B21" s="179" t="s">
        <v>274</v>
      </c>
      <c r="C21" s="191" t="s">
        <v>101</v>
      </c>
      <c r="D21" s="192"/>
      <c r="E21" s="182">
        <v>1374</v>
      </c>
      <c r="F21" s="182"/>
      <c r="G21" s="182"/>
      <c r="H21" s="173">
        <f t="shared" si="1"/>
        <v>1374</v>
      </c>
      <c r="I21" s="183"/>
      <c r="J21" s="59"/>
      <c r="K21" s="59"/>
      <c r="L21" s="184">
        <f t="shared" si="2"/>
        <v>0</v>
      </c>
      <c r="M21" s="185">
        <f t="shared" si="0"/>
        <v>1374</v>
      </c>
      <c r="N21" s="178"/>
    </row>
    <row r="22" spans="1:14" x14ac:dyDescent="0.25">
      <c r="A22" s="179">
        <v>18</v>
      </c>
      <c r="B22" s="179" t="s">
        <v>275</v>
      </c>
      <c r="C22" s="191" t="s">
        <v>100</v>
      </c>
      <c r="D22" s="192"/>
      <c r="E22" s="182">
        <v>396</v>
      </c>
      <c r="F22" s="182">
        <v>36</v>
      </c>
      <c r="G22" s="182"/>
      <c r="H22" s="173">
        <f t="shared" si="1"/>
        <v>432</v>
      </c>
      <c r="I22" s="183"/>
      <c r="J22" s="59"/>
      <c r="K22" s="59"/>
      <c r="L22" s="184">
        <f t="shared" si="2"/>
        <v>0</v>
      </c>
      <c r="M22" s="185">
        <f>H22+L22</f>
        <v>432</v>
      </c>
      <c r="N22" s="178"/>
    </row>
    <row r="23" spans="1:14" x14ac:dyDescent="0.25">
      <c r="A23" s="179">
        <v>19</v>
      </c>
      <c r="B23" s="179" t="s">
        <v>277</v>
      </c>
      <c r="C23" s="180" t="s">
        <v>104</v>
      </c>
      <c r="D23" s="181"/>
      <c r="E23" s="182">
        <v>937</v>
      </c>
      <c r="F23" s="182">
        <v>49</v>
      </c>
      <c r="G23" s="182">
        <v>115</v>
      </c>
      <c r="H23" s="173">
        <f t="shared" si="1"/>
        <v>1101</v>
      </c>
      <c r="I23" s="183"/>
      <c r="J23" s="59"/>
      <c r="K23" s="59"/>
      <c r="L23" s="184">
        <f t="shared" si="2"/>
        <v>0</v>
      </c>
      <c r="M23" s="185">
        <f t="shared" si="0"/>
        <v>1101</v>
      </c>
      <c r="N23" s="178"/>
    </row>
    <row r="24" spans="1:14" x14ac:dyDescent="0.25">
      <c r="A24" s="179">
        <v>20</v>
      </c>
      <c r="B24" s="179" t="s">
        <v>477</v>
      </c>
      <c r="C24" s="193" t="s">
        <v>478</v>
      </c>
      <c r="D24" s="194"/>
      <c r="E24" s="182"/>
      <c r="F24" s="182"/>
      <c r="G24" s="182"/>
      <c r="H24" s="173">
        <f t="shared" si="1"/>
        <v>0</v>
      </c>
      <c r="I24" s="183">
        <v>922</v>
      </c>
      <c r="J24" s="59"/>
      <c r="K24" s="59"/>
      <c r="L24" s="184">
        <f t="shared" si="2"/>
        <v>922</v>
      </c>
      <c r="M24" s="185">
        <f t="shared" si="0"/>
        <v>922</v>
      </c>
      <c r="N24" s="178"/>
    </row>
    <row r="25" spans="1:14" x14ac:dyDescent="0.25">
      <c r="A25" s="179">
        <v>21</v>
      </c>
      <c r="B25" s="179" t="s">
        <v>479</v>
      </c>
      <c r="C25" s="193" t="s">
        <v>480</v>
      </c>
      <c r="D25" s="194"/>
      <c r="E25" s="182">
        <v>617</v>
      </c>
      <c r="F25" s="182">
        <v>32</v>
      </c>
      <c r="G25" s="182"/>
      <c r="H25" s="173">
        <f t="shared" si="1"/>
        <v>649</v>
      </c>
      <c r="I25" s="183">
        <v>3077</v>
      </c>
      <c r="J25" s="59">
        <v>147</v>
      </c>
      <c r="K25" s="59">
        <v>16</v>
      </c>
      <c r="L25" s="184">
        <f t="shared" si="2"/>
        <v>3240</v>
      </c>
      <c r="M25" s="185">
        <f t="shared" si="0"/>
        <v>3889</v>
      </c>
      <c r="N25" s="178"/>
    </row>
    <row r="26" spans="1:14" x14ac:dyDescent="0.25">
      <c r="A26" s="179">
        <v>22</v>
      </c>
      <c r="B26" s="179" t="s">
        <v>305</v>
      </c>
      <c r="C26" s="180" t="s">
        <v>481</v>
      </c>
      <c r="D26" s="181"/>
      <c r="E26" s="182">
        <v>218</v>
      </c>
      <c r="F26" s="182">
        <v>8</v>
      </c>
      <c r="G26" s="182">
        <v>29</v>
      </c>
      <c r="H26" s="173">
        <f t="shared" si="1"/>
        <v>255</v>
      </c>
      <c r="I26" s="183"/>
      <c r="J26" s="59"/>
      <c r="K26" s="59"/>
      <c r="L26" s="184">
        <f t="shared" si="2"/>
        <v>0</v>
      </c>
      <c r="M26" s="185">
        <f t="shared" si="0"/>
        <v>255</v>
      </c>
      <c r="N26" s="178"/>
    </row>
    <row r="27" spans="1:14" x14ac:dyDescent="0.25">
      <c r="A27" s="179">
        <v>23</v>
      </c>
      <c r="B27" s="179" t="s">
        <v>482</v>
      </c>
      <c r="C27" s="180" t="s">
        <v>483</v>
      </c>
      <c r="D27" s="181"/>
      <c r="E27" s="182"/>
      <c r="F27" s="182"/>
      <c r="G27" s="182"/>
      <c r="H27" s="173">
        <f t="shared" si="1"/>
        <v>0</v>
      </c>
      <c r="I27" s="183">
        <v>1045</v>
      </c>
      <c r="J27" s="59"/>
      <c r="K27" s="59"/>
      <c r="L27" s="184">
        <f t="shared" si="2"/>
        <v>1045</v>
      </c>
      <c r="M27" s="185">
        <f t="shared" si="0"/>
        <v>1045</v>
      </c>
      <c r="N27" s="178"/>
    </row>
    <row r="28" spans="1:14" x14ac:dyDescent="0.25">
      <c r="A28" s="179">
        <v>24</v>
      </c>
      <c r="B28" s="179" t="s">
        <v>309</v>
      </c>
      <c r="C28" s="193" t="s">
        <v>484</v>
      </c>
      <c r="D28" s="194"/>
      <c r="E28" s="182"/>
      <c r="F28" s="182"/>
      <c r="G28" s="182"/>
      <c r="H28" s="173">
        <f t="shared" si="1"/>
        <v>0</v>
      </c>
      <c r="I28" s="183">
        <v>1501</v>
      </c>
      <c r="J28" s="59">
        <v>67</v>
      </c>
      <c r="K28" s="59"/>
      <c r="L28" s="184">
        <f t="shared" si="2"/>
        <v>1568</v>
      </c>
      <c r="M28" s="185">
        <f t="shared" si="0"/>
        <v>1568</v>
      </c>
      <c r="N28" s="178"/>
    </row>
    <row r="29" spans="1:14" x14ac:dyDescent="0.25">
      <c r="A29" s="179">
        <v>25</v>
      </c>
      <c r="B29" s="179" t="s">
        <v>313</v>
      </c>
      <c r="C29" s="180" t="s">
        <v>485</v>
      </c>
      <c r="D29" s="181"/>
      <c r="E29" s="182">
        <f>295+180</f>
        <v>475</v>
      </c>
      <c r="F29" s="182">
        <f>14+1</f>
        <v>15</v>
      </c>
      <c r="G29" s="182"/>
      <c r="H29" s="173">
        <f t="shared" si="1"/>
        <v>490</v>
      </c>
      <c r="I29" s="183">
        <v>548</v>
      </c>
      <c r="J29" s="59">
        <v>15</v>
      </c>
      <c r="K29" s="59"/>
      <c r="L29" s="184">
        <f t="shared" si="2"/>
        <v>563</v>
      </c>
      <c r="M29" s="185">
        <f t="shared" si="0"/>
        <v>1053</v>
      </c>
      <c r="N29" s="178"/>
    </row>
    <row r="30" spans="1:14" x14ac:dyDescent="0.25">
      <c r="A30" s="179">
        <v>26</v>
      </c>
      <c r="B30" s="179" t="s">
        <v>443</v>
      </c>
      <c r="C30" s="180" t="s">
        <v>486</v>
      </c>
      <c r="D30" s="181"/>
      <c r="E30" s="182"/>
      <c r="F30" s="182"/>
      <c r="G30" s="182"/>
      <c r="H30" s="173">
        <f t="shared" si="1"/>
        <v>0</v>
      </c>
      <c r="I30" s="183">
        <v>326</v>
      </c>
      <c r="J30" s="59">
        <v>7</v>
      </c>
      <c r="K30" s="59"/>
      <c r="L30" s="184">
        <f t="shared" si="2"/>
        <v>333</v>
      </c>
      <c r="M30" s="185">
        <f t="shared" si="0"/>
        <v>333</v>
      </c>
      <c r="N30" s="178"/>
    </row>
    <row r="31" spans="1:14" x14ac:dyDescent="0.25">
      <c r="A31" s="179">
        <v>27</v>
      </c>
      <c r="B31" s="179" t="s">
        <v>329</v>
      </c>
      <c r="C31" s="195" t="s">
        <v>487</v>
      </c>
      <c r="D31" s="196"/>
      <c r="E31" s="182">
        <f>1080+30</f>
        <v>1110</v>
      </c>
      <c r="F31" s="182">
        <f>48+1</f>
        <v>49</v>
      </c>
      <c r="G31" s="182">
        <v>7</v>
      </c>
      <c r="H31" s="173">
        <f t="shared" si="1"/>
        <v>1166</v>
      </c>
      <c r="I31" s="183"/>
      <c r="J31" s="59"/>
      <c r="K31" s="59"/>
      <c r="L31" s="184">
        <f t="shared" si="2"/>
        <v>0</v>
      </c>
      <c r="M31" s="185">
        <f t="shared" si="0"/>
        <v>1166</v>
      </c>
      <c r="N31" s="178"/>
    </row>
    <row r="32" spans="1:14" x14ac:dyDescent="0.25">
      <c r="A32" s="179">
        <v>28</v>
      </c>
      <c r="B32" s="179" t="s">
        <v>344</v>
      </c>
      <c r="C32" s="180" t="s">
        <v>488</v>
      </c>
      <c r="D32" s="181"/>
      <c r="E32" s="182">
        <v>1091</v>
      </c>
      <c r="F32" s="182"/>
      <c r="G32" s="182"/>
      <c r="H32" s="173">
        <f t="shared" si="1"/>
        <v>1091</v>
      </c>
      <c r="I32" s="183"/>
      <c r="J32" s="59"/>
      <c r="K32" s="59"/>
      <c r="L32" s="184">
        <f t="shared" si="2"/>
        <v>0</v>
      </c>
      <c r="M32" s="185">
        <f t="shared" si="0"/>
        <v>1091</v>
      </c>
      <c r="N32" s="178"/>
    </row>
    <row r="33" spans="1:14" x14ac:dyDescent="0.25">
      <c r="A33" s="179">
        <v>29</v>
      </c>
      <c r="B33" s="179" t="s">
        <v>352</v>
      </c>
      <c r="C33" s="180" t="s">
        <v>489</v>
      </c>
      <c r="D33" s="197"/>
      <c r="E33" s="182">
        <f>2975-210</f>
        <v>2765</v>
      </c>
      <c r="F33" s="182">
        <f>58-2</f>
        <v>56</v>
      </c>
      <c r="G33" s="182">
        <v>89</v>
      </c>
      <c r="H33" s="173">
        <f t="shared" si="1"/>
        <v>2910</v>
      </c>
      <c r="I33" s="183"/>
      <c r="J33" s="59"/>
      <c r="K33" s="59"/>
      <c r="L33" s="184">
        <f t="shared" si="2"/>
        <v>0</v>
      </c>
      <c r="M33" s="185">
        <f t="shared" si="0"/>
        <v>2910</v>
      </c>
      <c r="N33" s="178"/>
    </row>
    <row r="34" spans="1:14" x14ac:dyDescent="0.25">
      <c r="A34" s="179">
        <v>30</v>
      </c>
      <c r="B34" s="179" t="s">
        <v>362</v>
      </c>
      <c r="C34" s="180" t="s">
        <v>490</v>
      </c>
      <c r="D34" s="198"/>
      <c r="E34" s="182">
        <v>1428</v>
      </c>
      <c r="F34" s="182">
        <v>74</v>
      </c>
      <c r="G34" s="182"/>
      <c r="H34" s="173">
        <f t="shared" si="1"/>
        <v>1502</v>
      </c>
      <c r="I34" s="183"/>
      <c r="J34" s="59"/>
      <c r="K34" s="59"/>
      <c r="L34" s="184">
        <f t="shared" si="2"/>
        <v>0</v>
      </c>
      <c r="M34" s="185">
        <f t="shared" si="0"/>
        <v>1502</v>
      </c>
      <c r="N34" s="178"/>
    </row>
    <row r="35" spans="1:14" x14ac:dyDescent="0.25">
      <c r="A35" s="179">
        <v>31</v>
      </c>
      <c r="B35" s="179" t="s">
        <v>366</v>
      </c>
      <c r="C35" s="180" t="s">
        <v>112</v>
      </c>
      <c r="D35" s="198"/>
      <c r="E35" s="182">
        <v>429</v>
      </c>
      <c r="F35" s="182">
        <v>16</v>
      </c>
      <c r="G35" s="182"/>
      <c r="H35" s="173">
        <f t="shared" si="1"/>
        <v>445</v>
      </c>
      <c r="I35" s="183"/>
      <c r="J35" s="59"/>
      <c r="K35" s="59"/>
      <c r="L35" s="184">
        <f t="shared" si="2"/>
        <v>0</v>
      </c>
      <c r="M35" s="185">
        <f t="shared" si="0"/>
        <v>445</v>
      </c>
      <c r="N35" s="178"/>
    </row>
    <row r="36" spans="1:14" x14ac:dyDescent="0.25">
      <c r="A36" s="179">
        <v>32</v>
      </c>
      <c r="B36" s="179" t="s">
        <v>376</v>
      </c>
      <c r="C36" s="180" t="s">
        <v>92</v>
      </c>
      <c r="D36" s="199">
        <f>2660</f>
        <v>2660</v>
      </c>
      <c r="E36" s="182">
        <f>3590-108</f>
        <v>3482</v>
      </c>
      <c r="F36" s="182">
        <v>205</v>
      </c>
      <c r="G36" s="182">
        <v>520</v>
      </c>
      <c r="H36" s="173">
        <f t="shared" si="1"/>
        <v>6867</v>
      </c>
      <c r="I36" s="183"/>
      <c r="J36" s="59"/>
      <c r="K36" s="59"/>
      <c r="L36" s="184">
        <f t="shared" si="2"/>
        <v>0</v>
      </c>
      <c r="M36" s="185">
        <f t="shared" si="0"/>
        <v>6867</v>
      </c>
      <c r="N36" s="178"/>
    </row>
    <row r="37" spans="1:14" x14ac:dyDescent="0.25">
      <c r="A37" s="179">
        <v>33</v>
      </c>
      <c r="B37" s="179">
        <v>12</v>
      </c>
      <c r="C37" s="180" t="s">
        <v>491</v>
      </c>
      <c r="D37" s="198"/>
      <c r="E37" s="182">
        <v>2202</v>
      </c>
      <c r="F37" s="182">
        <v>19</v>
      </c>
      <c r="G37" s="182">
        <v>64</v>
      </c>
      <c r="H37" s="173">
        <f t="shared" si="1"/>
        <v>2285</v>
      </c>
      <c r="I37" s="183"/>
      <c r="J37" s="59"/>
      <c r="K37" s="59"/>
      <c r="L37" s="184">
        <f t="shared" si="2"/>
        <v>0</v>
      </c>
      <c r="M37" s="185">
        <f t="shared" si="0"/>
        <v>2285</v>
      </c>
      <c r="N37" s="178"/>
    </row>
    <row r="38" spans="1:14" x14ac:dyDescent="0.25">
      <c r="A38" s="179">
        <v>34</v>
      </c>
      <c r="B38" s="179" t="s">
        <v>380</v>
      </c>
      <c r="C38" s="180" t="s">
        <v>85</v>
      </c>
      <c r="D38" s="198"/>
      <c r="E38" s="182">
        <v>1641</v>
      </c>
      <c r="F38" s="182">
        <v>48</v>
      </c>
      <c r="G38" s="182">
        <v>182</v>
      </c>
      <c r="H38" s="173">
        <f t="shared" si="1"/>
        <v>1871</v>
      </c>
      <c r="I38" s="183">
        <v>3460</v>
      </c>
      <c r="J38" s="59">
        <v>6</v>
      </c>
      <c r="K38" s="59">
        <v>162</v>
      </c>
      <c r="L38" s="184">
        <f t="shared" si="2"/>
        <v>3628</v>
      </c>
      <c r="M38" s="185">
        <f t="shared" si="0"/>
        <v>5499</v>
      </c>
      <c r="N38" s="178"/>
    </row>
    <row r="39" spans="1:14" x14ac:dyDescent="0.25">
      <c r="A39" s="179">
        <v>35</v>
      </c>
      <c r="B39" s="179" t="s">
        <v>384</v>
      </c>
      <c r="C39" s="180" t="s">
        <v>79</v>
      </c>
      <c r="D39" s="199">
        <v>3200</v>
      </c>
      <c r="E39" s="182">
        <f>6170-216</f>
        <v>5954</v>
      </c>
      <c r="F39" s="182"/>
      <c r="G39" s="182">
        <v>1009</v>
      </c>
      <c r="H39" s="173">
        <f t="shared" si="1"/>
        <v>10163</v>
      </c>
      <c r="I39" s="183">
        <v>2697</v>
      </c>
      <c r="J39" s="59">
        <v>67</v>
      </c>
      <c r="K39" s="59"/>
      <c r="L39" s="184">
        <f t="shared" si="2"/>
        <v>2764</v>
      </c>
      <c r="M39" s="185">
        <f>H39+L39</f>
        <v>12927</v>
      </c>
      <c r="N39" s="178"/>
    </row>
    <row r="40" spans="1:14" x14ac:dyDescent="0.25">
      <c r="A40" s="179">
        <v>36</v>
      </c>
      <c r="B40" s="179" t="s">
        <v>28</v>
      </c>
      <c r="C40" s="180" t="s">
        <v>74</v>
      </c>
      <c r="D40" s="200">
        <f>1303</f>
        <v>1303</v>
      </c>
      <c r="E40" s="182">
        <f>5289+111</f>
        <v>5400</v>
      </c>
      <c r="F40" s="182">
        <v>0</v>
      </c>
      <c r="G40" s="182">
        <f>2540+19</f>
        <v>2559</v>
      </c>
      <c r="H40" s="173">
        <f t="shared" si="1"/>
        <v>9262</v>
      </c>
      <c r="I40" s="183">
        <v>5500</v>
      </c>
      <c r="J40" s="59"/>
      <c r="K40" s="59">
        <v>1200</v>
      </c>
      <c r="L40" s="184">
        <f t="shared" si="2"/>
        <v>6700</v>
      </c>
      <c r="M40" s="185">
        <f t="shared" si="0"/>
        <v>15962</v>
      </c>
      <c r="N40" s="178"/>
    </row>
    <row r="41" spans="1:14" x14ac:dyDescent="0.25">
      <c r="A41" s="179">
        <v>37</v>
      </c>
      <c r="B41" s="179" t="s">
        <v>26</v>
      </c>
      <c r="C41" s="180" t="s">
        <v>0</v>
      </c>
      <c r="D41" s="181"/>
      <c r="E41" s="182">
        <f>17900+3000</f>
        <v>20900</v>
      </c>
      <c r="F41" s="182"/>
      <c r="G41" s="182">
        <f>11050-3000</f>
        <v>8050</v>
      </c>
      <c r="H41" s="173">
        <f t="shared" si="1"/>
        <v>28950</v>
      </c>
      <c r="I41" s="183">
        <v>11000</v>
      </c>
      <c r="J41" s="59"/>
      <c r="K41" s="59">
        <v>1800</v>
      </c>
      <c r="L41" s="184">
        <f t="shared" si="2"/>
        <v>12800</v>
      </c>
      <c r="M41" s="185">
        <f t="shared" si="0"/>
        <v>41750</v>
      </c>
      <c r="N41" s="178"/>
    </row>
    <row r="42" spans="1:14" x14ac:dyDescent="0.25">
      <c r="A42" s="179">
        <v>38</v>
      </c>
      <c r="B42" s="179" t="s">
        <v>387</v>
      </c>
      <c r="C42" s="180" t="s">
        <v>73</v>
      </c>
      <c r="D42" s="181"/>
      <c r="E42" s="182">
        <f>340+200</f>
        <v>540</v>
      </c>
      <c r="F42" s="182"/>
      <c r="G42" s="182">
        <f>1260-200</f>
        <v>1060</v>
      </c>
      <c r="H42" s="173">
        <f t="shared" si="1"/>
        <v>1600</v>
      </c>
      <c r="I42" s="183"/>
      <c r="J42" s="59"/>
      <c r="K42" s="59"/>
      <c r="L42" s="184">
        <f t="shared" si="2"/>
        <v>0</v>
      </c>
      <c r="M42" s="185">
        <f t="shared" si="0"/>
        <v>1600</v>
      </c>
      <c r="N42" s="178"/>
    </row>
    <row r="43" spans="1:14" x14ac:dyDescent="0.25">
      <c r="A43" s="179">
        <v>39</v>
      </c>
      <c r="B43" s="179" t="s">
        <v>385</v>
      </c>
      <c r="C43" s="180" t="s">
        <v>72</v>
      </c>
      <c r="D43" s="181"/>
      <c r="E43" s="182">
        <v>2200</v>
      </c>
      <c r="F43" s="182"/>
      <c r="G43" s="182"/>
      <c r="H43" s="173">
        <f t="shared" si="1"/>
        <v>2200</v>
      </c>
      <c r="I43" s="183">
        <v>2000</v>
      </c>
      <c r="J43" s="59"/>
      <c r="K43" s="59"/>
      <c r="L43" s="184">
        <f t="shared" si="2"/>
        <v>2000</v>
      </c>
      <c r="M43" s="185">
        <f t="shared" si="0"/>
        <v>4200</v>
      </c>
      <c r="N43" s="178"/>
    </row>
    <row r="44" spans="1:14" x14ac:dyDescent="0.25">
      <c r="A44" s="179">
        <v>40</v>
      </c>
      <c r="B44" s="179" t="s">
        <v>392</v>
      </c>
      <c r="C44" s="180" t="s">
        <v>69</v>
      </c>
      <c r="D44" s="181"/>
      <c r="E44" s="182">
        <v>1320</v>
      </c>
      <c r="F44" s="182">
        <v>150</v>
      </c>
      <c r="G44" s="182">
        <v>500</v>
      </c>
      <c r="H44" s="173">
        <f t="shared" si="1"/>
        <v>1970</v>
      </c>
      <c r="I44" s="183"/>
      <c r="J44" s="59"/>
      <c r="K44" s="59"/>
      <c r="L44" s="184">
        <f t="shared" si="2"/>
        <v>0</v>
      </c>
      <c r="M44" s="185">
        <f t="shared" si="0"/>
        <v>1970</v>
      </c>
      <c r="N44" s="178"/>
    </row>
    <row r="45" spans="1:14" x14ac:dyDescent="0.25">
      <c r="A45" s="179">
        <v>41</v>
      </c>
      <c r="B45" s="179" t="s">
        <v>389</v>
      </c>
      <c r="C45" s="193" t="s">
        <v>492</v>
      </c>
      <c r="D45" s="194"/>
      <c r="E45" s="182"/>
      <c r="F45" s="182"/>
      <c r="G45" s="182"/>
      <c r="H45" s="173">
        <f t="shared" si="1"/>
        <v>0</v>
      </c>
      <c r="I45" s="183">
        <v>2550</v>
      </c>
      <c r="J45" s="59"/>
      <c r="K45" s="59">
        <v>251</v>
      </c>
      <c r="L45" s="184">
        <f t="shared" si="2"/>
        <v>2801</v>
      </c>
      <c r="M45" s="185">
        <f t="shared" si="0"/>
        <v>2801</v>
      </c>
      <c r="N45" s="178"/>
    </row>
    <row r="46" spans="1:14" x14ac:dyDescent="0.25">
      <c r="A46" s="179">
        <v>42</v>
      </c>
      <c r="B46" s="179" t="s">
        <v>21</v>
      </c>
      <c r="C46" s="189" t="s">
        <v>68</v>
      </c>
      <c r="D46" s="190"/>
      <c r="E46" s="182">
        <f>5663+324</f>
        <v>5987</v>
      </c>
      <c r="F46" s="182">
        <v>714</v>
      </c>
      <c r="G46" s="182">
        <v>1640</v>
      </c>
      <c r="H46" s="173">
        <f t="shared" si="1"/>
        <v>8341</v>
      </c>
      <c r="I46" s="183">
        <v>4851</v>
      </c>
      <c r="J46" s="59">
        <v>431</v>
      </c>
      <c r="K46" s="59">
        <v>129</v>
      </c>
      <c r="L46" s="201">
        <f t="shared" si="2"/>
        <v>5411</v>
      </c>
      <c r="M46" s="202">
        <f t="shared" si="0"/>
        <v>13752</v>
      </c>
      <c r="N46" s="178"/>
    </row>
    <row r="47" spans="1:14" x14ac:dyDescent="0.25">
      <c r="A47" s="179">
        <v>43</v>
      </c>
      <c r="B47" s="179" t="s">
        <v>22</v>
      </c>
      <c r="C47" s="189" t="s">
        <v>432</v>
      </c>
      <c r="D47" s="190"/>
      <c r="E47" s="182">
        <v>2138</v>
      </c>
      <c r="F47" s="182">
        <v>102</v>
      </c>
      <c r="G47" s="182">
        <v>355</v>
      </c>
      <c r="H47" s="173">
        <f t="shared" si="1"/>
        <v>2595</v>
      </c>
      <c r="I47" s="183"/>
      <c r="J47" s="59"/>
      <c r="K47" s="59"/>
      <c r="L47" s="201">
        <f t="shared" si="2"/>
        <v>0</v>
      </c>
      <c r="M47" s="202">
        <f t="shared" si="0"/>
        <v>2595</v>
      </c>
      <c r="N47" s="178"/>
    </row>
    <row r="48" spans="1:14" ht="13.5" thickBot="1" x14ac:dyDescent="0.3">
      <c r="A48" s="186"/>
      <c r="B48" s="186"/>
      <c r="C48" s="203" t="s">
        <v>1</v>
      </c>
      <c r="D48" s="204"/>
      <c r="E48" s="205"/>
      <c r="F48" s="205"/>
      <c r="G48" s="205"/>
      <c r="H48" s="173">
        <f t="shared" si="1"/>
        <v>0</v>
      </c>
      <c r="I48" s="206">
        <v>268</v>
      </c>
      <c r="J48" s="207"/>
      <c r="K48" s="207"/>
      <c r="L48" s="208">
        <f t="shared" si="2"/>
        <v>268</v>
      </c>
      <c r="M48" s="209">
        <f t="shared" si="0"/>
        <v>268</v>
      </c>
      <c r="N48" s="178"/>
    </row>
    <row r="49" spans="1:14" ht="13.5" thickBot="1" x14ac:dyDescent="0.3">
      <c r="A49" s="210"/>
      <c r="B49" s="210"/>
      <c r="C49" s="211" t="s">
        <v>8</v>
      </c>
      <c r="D49" s="229">
        <f>SUM(D5:D48)</f>
        <v>7163</v>
      </c>
      <c r="E49" s="213">
        <f>SUM(E5:E48)</f>
        <v>84033</v>
      </c>
      <c r="F49" s="213">
        <f t="shared" ref="F49:M49" si="3">SUM(F5:F48)</f>
        <v>2052</v>
      </c>
      <c r="G49" s="213">
        <f t="shared" si="3"/>
        <v>17516</v>
      </c>
      <c r="H49" s="230">
        <f t="shared" si="3"/>
        <v>110764</v>
      </c>
      <c r="I49" s="212">
        <f t="shared" si="3"/>
        <v>43575</v>
      </c>
      <c r="J49" s="213">
        <f t="shared" si="3"/>
        <v>798</v>
      </c>
      <c r="K49" s="213">
        <f t="shared" si="3"/>
        <v>3558</v>
      </c>
      <c r="L49" s="214">
        <f t="shared" si="3"/>
        <v>47931</v>
      </c>
      <c r="M49" s="215">
        <f t="shared" si="3"/>
        <v>158695</v>
      </c>
      <c r="N49" s="178"/>
    </row>
    <row r="50" spans="1:14" s="221" customFormat="1" x14ac:dyDescent="0.25">
      <c r="A50" s="216"/>
      <c r="B50" s="216"/>
      <c r="C50" s="217"/>
      <c r="D50" s="231"/>
      <c r="E50" s="219"/>
      <c r="F50" s="219"/>
      <c r="G50" s="219"/>
      <c r="H50" s="219"/>
      <c r="I50" s="219"/>
      <c r="J50" s="219"/>
      <c r="K50" s="219"/>
      <c r="L50" s="218"/>
      <c r="M50" s="218"/>
      <c r="N50" s="220"/>
    </row>
    <row r="51" spans="1:14" s="221" customFormat="1" x14ac:dyDescent="0.25">
      <c r="A51" s="216"/>
      <c r="B51" s="216"/>
      <c r="C51" s="217"/>
      <c r="D51" s="219"/>
      <c r="E51" s="219"/>
      <c r="F51" s="219"/>
      <c r="G51" s="219"/>
      <c r="H51" s="219"/>
      <c r="I51" s="219"/>
      <c r="J51" s="219"/>
      <c r="K51" s="219"/>
      <c r="L51" s="218"/>
      <c r="M51" s="218"/>
      <c r="N51" s="220"/>
    </row>
    <row r="52" spans="1:14" s="221" customFormat="1" x14ac:dyDescent="0.25">
      <c r="A52" s="216"/>
      <c r="B52" s="216"/>
      <c r="C52" s="222"/>
      <c r="D52" s="232"/>
      <c r="E52" s="224"/>
      <c r="F52" s="224"/>
      <c r="G52" s="224"/>
      <c r="H52" s="224"/>
      <c r="I52" s="224"/>
      <c r="J52" s="219"/>
      <c r="K52" s="224"/>
      <c r="L52" s="223"/>
      <c r="M52" s="223"/>
      <c r="N52" s="220"/>
    </row>
    <row r="53" spans="1:14" x14ac:dyDescent="0.25">
      <c r="C53" s="217"/>
      <c r="H53" s="233"/>
      <c r="M53" s="225"/>
    </row>
    <row r="55" spans="1:14" x14ac:dyDescent="0.25">
      <c r="D55" s="234"/>
      <c r="E55" s="234"/>
      <c r="F55" s="234"/>
      <c r="G55" s="234"/>
    </row>
    <row r="56" spans="1:14" x14ac:dyDescent="0.25">
      <c r="C56" s="226"/>
    </row>
  </sheetData>
  <mergeCells count="7">
    <mergeCell ref="M3:M4"/>
    <mergeCell ref="A1:L1"/>
    <mergeCell ref="A3:A4"/>
    <mergeCell ref="B3:B4"/>
    <mergeCell ref="C3:C4"/>
    <mergeCell ref="D3:H3"/>
    <mergeCell ref="I3:L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workbookViewId="0">
      <pane xSplit="3" ySplit="5" topLeftCell="D51" activePane="bottomRight" state="frozen"/>
      <selection pane="topRight" activeCell="D1" sqref="D1"/>
      <selection pane="bottomLeft" activeCell="A6" sqref="A6"/>
      <selection pane="bottomRight" activeCell="G69" sqref="G69:I69"/>
    </sheetView>
  </sheetViews>
  <sheetFormatPr defaultRowHeight="12" x14ac:dyDescent="0.25"/>
  <cols>
    <col min="1" max="1" width="3.85546875" style="236" customWidth="1"/>
    <col min="2" max="2" width="7" style="236" customWidth="1"/>
    <col min="3" max="3" width="36" style="235" customWidth="1"/>
    <col min="4" max="5" width="7.28515625" style="237" customWidth="1"/>
    <col min="6" max="6" width="12.42578125" style="238" customWidth="1"/>
    <col min="7" max="10" width="7.28515625" style="238" customWidth="1"/>
    <col min="11" max="11" width="7.28515625" style="237" customWidth="1"/>
    <col min="12" max="16" width="8.42578125" style="239" customWidth="1"/>
    <col min="17" max="17" width="13.140625" style="237" customWidth="1"/>
    <col min="18" max="18" width="12.42578125" style="309" customWidth="1"/>
    <col min="19" max="19" width="13.5703125" style="309" customWidth="1"/>
    <col min="20" max="21" width="13.28515625" style="309" customWidth="1"/>
    <col min="22" max="22" width="11.85546875" style="309" customWidth="1"/>
    <col min="23" max="23" width="16.85546875" style="236" customWidth="1"/>
    <col min="24" max="24" width="7.7109375" style="236" customWidth="1"/>
    <col min="25" max="16384" width="9.140625" style="235"/>
  </cols>
  <sheetData>
    <row r="1" spans="1:24" ht="26.25" customHeight="1" x14ac:dyDescent="0.25">
      <c r="A1" s="507" t="s">
        <v>493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</row>
    <row r="2" spans="1:24" ht="16.5" customHeight="1" thickBot="1" x14ac:dyDescent="0.3"/>
    <row r="3" spans="1:24" s="240" customFormat="1" ht="18" customHeight="1" x14ac:dyDescent="0.25">
      <c r="A3" s="521" t="s">
        <v>194</v>
      </c>
      <c r="B3" s="524" t="s">
        <v>13</v>
      </c>
      <c r="C3" s="527" t="s">
        <v>9</v>
      </c>
      <c r="D3" s="530" t="s">
        <v>494</v>
      </c>
      <c r="E3" s="531"/>
      <c r="F3" s="531"/>
      <c r="G3" s="531"/>
      <c r="H3" s="531"/>
      <c r="I3" s="531"/>
      <c r="J3" s="531"/>
      <c r="K3" s="531"/>
      <c r="L3" s="532" t="s">
        <v>495</v>
      </c>
      <c r="M3" s="533"/>
      <c r="N3" s="533"/>
      <c r="O3" s="533"/>
      <c r="P3" s="534"/>
      <c r="Q3" s="535" t="s">
        <v>496</v>
      </c>
      <c r="R3" s="536"/>
      <c r="S3" s="536"/>
      <c r="T3" s="536"/>
      <c r="U3" s="536"/>
      <c r="V3" s="536"/>
      <c r="W3" s="536"/>
      <c r="X3" s="537"/>
    </row>
    <row r="4" spans="1:24" s="240" customFormat="1" ht="46.5" customHeight="1" x14ac:dyDescent="0.25">
      <c r="A4" s="522"/>
      <c r="B4" s="525"/>
      <c r="C4" s="528"/>
      <c r="D4" s="538" t="s">
        <v>497</v>
      </c>
      <c r="E4" s="443" t="s">
        <v>498</v>
      </c>
      <c r="F4" s="241" t="s">
        <v>499</v>
      </c>
      <c r="G4" s="541" t="s">
        <v>500</v>
      </c>
      <c r="H4" s="542"/>
      <c r="I4" s="543"/>
      <c r="J4" s="556" t="s">
        <v>501</v>
      </c>
      <c r="K4" s="558" t="s">
        <v>29</v>
      </c>
      <c r="L4" s="560" t="s">
        <v>502</v>
      </c>
      <c r="M4" s="554" t="s">
        <v>503</v>
      </c>
      <c r="N4" s="554" t="s">
        <v>504</v>
      </c>
      <c r="O4" s="554" t="s">
        <v>505</v>
      </c>
      <c r="P4" s="551" t="s">
        <v>29</v>
      </c>
      <c r="Q4" s="553" t="s">
        <v>506</v>
      </c>
      <c r="R4" s="544" t="s">
        <v>507</v>
      </c>
      <c r="S4" s="544" t="s">
        <v>508</v>
      </c>
      <c r="T4" s="544" t="s">
        <v>509</v>
      </c>
      <c r="U4" s="544" t="s">
        <v>510</v>
      </c>
      <c r="V4" s="544" t="s">
        <v>511</v>
      </c>
      <c r="W4" s="545" t="s">
        <v>512</v>
      </c>
      <c r="X4" s="547" t="s">
        <v>29</v>
      </c>
    </row>
    <row r="5" spans="1:24" s="240" customFormat="1" ht="61.5" customHeight="1" thickBot="1" x14ac:dyDescent="0.3">
      <c r="A5" s="523"/>
      <c r="B5" s="526"/>
      <c r="C5" s="529"/>
      <c r="D5" s="539"/>
      <c r="E5" s="540"/>
      <c r="F5" s="243" t="s">
        <v>513</v>
      </c>
      <c r="G5" s="244" t="s">
        <v>514</v>
      </c>
      <c r="H5" s="244" t="s">
        <v>515</v>
      </c>
      <c r="I5" s="244" t="s">
        <v>516</v>
      </c>
      <c r="J5" s="557"/>
      <c r="K5" s="559"/>
      <c r="L5" s="561"/>
      <c r="M5" s="555"/>
      <c r="N5" s="555"/>
      <c r="O5" s="555"/>
      <c r="P5" s="552"/>
      <c r="Q5" s="539"/>
      <c r="R5" s="540"/>
      <c r="S5" s="540"/>
      <c r="T5" s="540"/>
      <c r="U5" s="540"/>
      <c r="V5" s="540"/>
      <c r="W5" s="546"/>
      <c r="X5" s="548"/>
    </row>
    <row r="6" spans="1:24" ht="12" customHeight="1" x14ac:dyDescent="0.25">
      <c r="A6" s="245">
        <v>1</v>
      </c>
      <c r="B6" s="246" t="s">
        <v>275</v>
      </c>
      <c r="C6" s="247" t="s">
        <v>517</v>
      </c>
      <c r="D6" s="248">
        <v>100</v>
      </c>
      <c r="E6" s="249">
        <v>2339</v>
      </c>
      <c r="F6" s="250">
        <v>251</v>
      </c>
      <c r="G6" s="251">
        <v>110</v>
      </c>
      <c r="H6" s="251">
        <v>16</v>
      </c>
      <c r="I6" s="251">
        <v>11</v>
      </c>
      <c r="J6" s="251">
        <f>SUM(F6:I6)</f>
        <v>388</v>
      </c>
      <c r="K6" s="252">
        <f t="shared" ref="K6:K69" si="0">D6+E6+J6</f>
        <v>2827</v>
      </c>
      <c r="L6" s="253">
        <v>36</v>
      </c>
      <c r="M6" s="254">
        <v>772</v>
      </c>
      <c r="N6" s="254">
        <v>2282</v>
      </c>
      <c r="O6" s="254">
        <v>421</v>
      </c>
      <c r="P6" s="255">
        <f>SUM(L6:O6)</f>
        <v>3511</v>
      </c>
      <c r="Q6" s="310"/>
      <c r="R6" s="311"/>
      <c r="S6" s="311"/>
      <c r="T6" s="311"/>
      <c r="U6" s="311"/>
      <c r="V6" s="311"/>
      <c r="W6" s="246"/>
      <c r="X6" s="256"/>
    </row>
    <row r="7" spans="1:24" ht="12" customHeight="1" x14ac:dyDescent="0.25">
      <c r="A7" s="257">
        <v>2</v>
      </c>
      <c r="B7" s="258" t="s">
        <v>215</v>
      </c>
      <c r="C7" s="259" t="s">
        <v>184</v>
      </c>
      <c r="D7" s="260"/>
      <c r="E7" s="261">
        <v>954</v>
      </c>
      <c r="F7" s="250">
        <v>103</v>
      </c>
      <c r="G7" s="251">
        <v>89</v>
      </c>
      <c r="H7" s="251"/>
      <c r="I7" s="251"/>
      <c r="J7" s="251">
        <f t="shared" ref="J7:J71" si="1">SUM(F7:I7)</f>
        <v>192</v>
      </c>
      <c r="K7" s="252">
        <f t="shared" si="0"/>
        <v>1146</v>
      </c>
      <c r="L7" s="262"/>
      <c r="M7" s="263"/>
      <c r="N7" s="263"/>
      <c r="O7" s="263"/>
      <c r="P7" s="255">
        <f t="shared" ref="P7:P71" si="2">SUM(L7:O7)</f>
        <v>0</v>
      </c>
      <c r="Q7" s="266"/>
      <c r="R7" s="63"/>
      <c r="S7" s="63"/>
      <c r="T7" s="63"/>
      <c r="U7" s="63"/>
      <c r="V7" s="63"/>
      <c r="W7" s="258"/>
      <c r="X7" s="264"/>
    </row>
    <row r="8" spans="1:24" ht="12" customHeight="1" x14ac:dyDescent="0.25">
      <c r="A8" s="257">
        <v>3</v>
      </c>
      <c r="B8" s="258" t="s">
        <v>217</v>
      </c>
      <c r="C8" s="259" t="s">
        <v>182</v>
      </c>
      <c r="D8" s="260"/>
      <c r="E8" s="261">
        <v>1262</v>
      </c>
      <c r="F8" s="250">
        <v>137</v>
      </c>
      <c r="G8" s="251"/>
      <c r="H8" s="251"/>
      <c r="I8" s="251"/>
      <c r="J8" s="251">
        <f t="shared" si="1"/>
        <v>137</v>
      </c>
      <c r="K8" s="252">
        <f t="shared" si="0"/>
        <v>1399</v>
      </c>
      <c r="L8" s="262"/>
      <c r="M8" s="263"/>
      <c r="N8" s="263"/>
      <c r="O8" s="263"/>
      <c r="P8" s="255">
        <f t="shared" si="2"/>
        <v>0</v>
      </c>
      <c r="Q8" s="266"/>
      <c r="R8" s="63"/>
      <c r="S8" s="63"/>
      <c r="T8" s="63"/>
      <c r="U8" s="63"/>
      <c r="V8" s="63"/>
      <c r="W8" s="258"/>
      <c r="X8" s="264"/>
    </row>
    <row r="9" spans="1:24" ht="12" customHeight="1" x14ac:dyDescent="0.25">
      <c r="A9" s="257">
        <v>4</v>
      </c>
      <c r="B9" s="258" t="s">
        <v>218</v>
      </c>
      <c r="C9" s="259" t="s">
        <v>181</v>
      </c>
      <c r="D9" s="260"/>
      <c r="E9" s="261">
        <v>648</v>
      </c>
      <c r="F9" s="250"/>
      <c r="G9" s="251"/>
      <c r="H9" s="251"/>
      <c r="I9" s="251"/>
      <c r="J9" s="251">
        <f t="shared" si="1"/>
        <v>0</v>
      </c>
      <c r="K9" s="252">
        <f t="shared" si="0"/>
        <v>648</v>
      </c>
      <c r="L9" s="262"/>
      <c r="M9" s="263"/>
      <c r="N9" s="263"/>
      <c r="O9" s="263"/>
      <c r="P9" s="255">
        <f t="shared" si="2"/>
        <v>0</v>
      </c>
      <c r="Q9" s="266"/>
      <c r="R9" s="63"/>
      <c r="S9" s="63"/>
      <c r="T9" s="63"/>
      <c r="U9" s="63"/>
      <c r="V9" s="63"/>
      <c r="W9" s="258"/>
      <c r="X9" s="264"/>
    </row>
    <row r="10" spans="1:24" x14ac:dyDescent="0.25">
      <c r="A10" s="257">
        <v>5</v>
      </c>
      <c r="B10" s="258" t="s">
        <v>216</v>
      </c>
      <c r="C10" s="265" t="s">
        <v>183</v>
      </c>
      <c r="D10" s="266">
        <v>25</v>
      </c>
      <c r="E10" s="267">
        <v>578</v>
      </c>
      <c r="F10" s="250"/>
      <c r="G10" s="251"/>
      <c r="H10" s="251"/>
      <c r="I10" s="251"/>
      <c r="J10" s="251">
        <f t="shared" si="1"/>
        <v>0</v>
      </c>
      <c r="K10" s="252">
        <f t="shared" si="0"/>
        <v>603</v>
      </c>
      <c r="L10" s="262"/>
      <c r="M10" s="263"/>
      <c r="N10" s="263"/>
      <c r="O10" s="263"/>
      <c r="P10" s="255">
        <f t="shared" si="2"/>
        <v>0</v>
      </c>
      <c r="Q10" s="266"/>
      <c r="R10" s="63"/>
      <c r="S10" s="63"/>
      <c r="T10" s="63"/>
      <c r="U10" s="63"/>
      <c r="V10" s="63"/>
      <c r="W10" s="258"/>
      <c r="X10" s="264"/>
    </row>
    <row r="11" spans="1:24" x14ac:dyDescent="0.25">
      <c r="A11" s="257">
        <v>6</v>
      </c>
      <c r="B11" s="258" t="s">
        <v>219</v>
      </c>
      <c r="C11" s="268" t="s">
        <v>180</v>
      </c>
      <c r="D11" s="260">
        <v>75</v>
      </c>
      <c r="E11" s="261">
        <v>1730</v>
      </c>
      <c r="F11" s="250">
        <v>186</v>
      </c>
      <c r="G11" s="251"/>
      <c r="H11" s="251"/>
      <c r="I11" s="251"/>
      <c r="J11" s="251">
        <f t="shared" si="1"/>
        <v>186</v>
      </c>
      <c r="K11" s="252">
        <f t="shared" si="0"/>
        <v>1991</v>
      </c>
      <c r="L11" s="262"/>
      <c r="M11" s="263"/>
      <c r="N11" s="263"/>
      <c r="O11" s="263"/>
      <c r="P11" s="255">
        <f t="shared" si="2"/>
        <v>0</v>
      </c>
      <c r="Q11" s="266"/>
      <c r="R11" s="63"/>
      <c r="S11" s="63"/>
      <c r="T11" s="63"/>
      <c r="U11" s="63"/>
      <c r="V11" s="63"/>
      <c r="W11" s="258"/>
      <c r="X11" s="264"/>
    </row>
    <row r="12" spans="1:24" x14ac:dyDescent="0.25">
      <c r="A12" s="257">
        <v>7</v>
      </c>
      <c r="B12" s="258" t="s">
        <v>220</v>
      </c>
      <c r="C12" s="268" t="s">
        <v>179</v>
      </c>
      <c r="D12" s="260"/>
      <c r="E12" s="261">
        <v>913</v>
      </c>
      <c r="F12" s="250">
        <v>98</v>
      </c>
      <c r="G12" s="251"/>
      <c r="H12" s="251"/>
      <c r="I12" s="251"/>
      <c r="J12" s="251">
        <f t="shared" si="1"/>
        <v>98</v>
      </c>
      <c r="K12" s="252">
        <f t="shared" si="0"/>
        <v>1011</v>
      </c>
      <c r="L12" s="262"/>
      <c r="M12" s="263"/>
      <c r="N12" s="263"/>
      <c r="O12" s="263"/>
      <c r="P12" s="255">
        <f t="shared" si="2"/>
        <v>0</v>
      </c>
      <c r="Q12" s="266"/>
      <c r="R12" s="63"/>
      <c r="S12" s="63"/>
      <c r="T12" s="63"/>
      <c r="U12" s="63"/>
      <c r="V12" s="63"/>
      <c r="W12" s="258"/>
      <c r="X12" s="264"/>
    </row>
    <row r="13" spans="1:24" x14ac:dyDescent="0.25">
      <c r="A13" s="257">
        <v>8</v>
      </c>
      <c r="B13" s="258" t="s">
        <v>221</v>
      </c>
      <c r="C13" s="268" t="s">
        <v>178</v>
      </c>
      <c r="D13" s="260"/>
      <c r="E13" s="261">
        <v>673</v>
      </c>
      <c r="F13" s="250"/>
      <c r="G13" s="251"/>
      <c r="H13" s="251"/>
      <c r="I13" s="251"/>
      <c r="J13" s="251">
        <f t="shared" si="1"/>
        <v>0</v>
      </c>
      <c r="K13" s="252">
        <f t="shared" si="0"/>
        <v>673</v>
      </c>
      <c r="L13" s="262"/>
      <c r="M13" s="263"/>
      <c r="N13" s="263"/>
      <c r="O13" s="263"/>
      <c r="P13" s="255">
        <f t="shared" si="2"/>
        <v>0</v>
      </c>
      <c r="Q13" s="266"/>
      <c r="R13" s="63"/>
      <c r="S13" s="63"/>
      <c r="T13" s="63"/>
      <c r="U13" s="63"/>
      <c r="V13" s="63"/>
      <c r="W13" s="258"/>
      <c r="X13" s="264"/>
    </row>
    <row r="14" spans="1:24" x14ac:dyDescent="0.25">
      <c r="A14" s="257">
        <v>9</v>
      </c>
      <c r="B14" s="258" t="s">
        <v>222</v>
      </c>
      <c r="C14" s="268" t="s">
        <v>111</v>
      </c>
      <c r="D14" s="260">
        <v>155</v>
      </c>
      <c r="E14" s="261">
        <v>3097</v>
      </c>
      <c r="F14" s="250">
        <v>333</v>
      </c>
      <c r="G14" s="251"/>
      <c r="H14" s="251"/>
      <c r="I14" s="251"/>
      <c r="J14" s="251">
        <f t="shared" si="1"/>
        <v>333</v>
      </c>
      <c r="K14" s="252">
        <f t="shared" si="0"/>
        <v>3585</v>
      </c>
      <c r="L14" s="262">
        <v>52</v>
      </c>
      <c r="M14" s="263">
        <v>1129</v>
      </c>
      <c r="N14" s="263">
        <v>3336</v>
      </c>
      <c r="O14" s="263">
        <v>615</v>
      </c>
      <c r="P14" s="255">
        <f t="shared" si="2"/>
        <v>5132</v>
      </c>
      <c r="Q14" s="266"/>
      <c r="R14" s="63"/>
      <c r="S14" s="63"/>
      <c r="T14" s="63"/>
      <c r="U14" s="63"/>
      <c r="V14" s="63"/>
      <c r="W14" s="258"/>
      <c r="X14" s="264"/>
    </row>
    <row r="15" spans="1:24" x14ac:dyDescent="0.25">
      <c r="A15" s="257">
        <v>10</v>
      </c>
      <c r="B15" s="258" t="s">
        <v>223</v>
      </c>
      <c r="C15" s="268" t="s">
        <v>177</v>
      </c>
      <c r="D15" s="260"/>
      <c r="E15" s="261">
        <v>589</v>
      </c>
      <c r="F15" s="250">
        <v>63</v>
      </c>
      <c r="G15" s="251"/>
      <c r="H15" s="251"/>
      <c r="I15" s="251"/>
      <c r="J15" s="251">
        <f t="shared" si="1"/>
        <v>63</v>
      </c>
      <c r="K15" s="252">
        <f t="shared" si="0"/>
        <v>652</v>
      </c>
      <c r="L15" s="262"/>
      <c r="M15" s="263"/>
      <c r="N15" s="263"/>
      <c r="O15" s="263"/>
      <c r="P15" s="255">
        <f t="shared" si="2"/>
        <v>0</v>
      </c>
      <c r="Q15" s="266"/>
      <c r="R15" s="63"/>
      <c r="S15" s="63"/>
      <c r="T15" s="63"/>
      <c r="U15" s="63"/>
      <c r="V15" s="63"/>
      <c r="W15" s="258"/>
      <c r="X15" s="264"/>
    </row>
    <row r="16" spans="1:24" x14ac:dyDescent="0.25">
      <c r="A16" s="257">
        <v>11</v>
      </c>
      <c r="B16" s="258" t="s">
        <v>27</v>
      </c>
      <c r="C16" s="268" t="s">
        <v>4</v>
      </c>
      <c r="D16" s="260">
        <v>221</v>
      </c>
      <c r="E16" s="261">
        <v>3364</v>
      </c>
      <c r="F16" s="250">
        <v>415</v>
      </c>
      <c r="G16" s="251">
        <v>344</v>
      </c>
      <c r="H16" s="251">
        <v>48</v>
      </c>
      <c r="I16" s="251">
        <v>31</v>
      </c>
      <c r="J16" s="251">
        <f t="shared" si="1"/>
        <v>838</v>
      </c>
      <c r="K16" s="252">
        <f t="shared" si="0"/>
        <v>4423</v>
      </c>
      <c r="L16" s="262">
        <v>86</v>
      </c>
      <c r="M16" s="263">
        <v>1878</v>
      </c>
      <c r="N16" s="263">
        <v>5550</v>
      </c>
      <c r="O16" s="263">
        <v>1024</v>
      </c>
      <c r="P16" s="255">
        <f t="shared" si="2"/>
        <v>8538</v>
      </c>
      <c r="Q16" s="266"/>
      <c r="R16" s="63"/>
      <c r="S16" s="63"/>
      <c r="T16" s="63"/>
      <c r="U16" s="63"/>
      <c r="V16" s="63"/>
      <c r="W16" s="258"/>
      <c r="X16" s="264"/>
    </row>
    <row r="17" spans="1:24" x14ac:dyDescent="0.25">
      <c r="A17" s="257">
        <v>12</v>
      </c>
      <c r="B17" s="258" t="s">
        <v>224</v>
      </c>
      <c r="C17" s="268" t="s">
        <v>176</v>
      </c>
      <c r="D17" s="260"/>
      <c r="E17" s="261">
        <v>705</v>
      </c>
      <c r="F17" s="250">
        <v>76</v>
      </c>
      <c r="G17" s="251"/>
      <c r="H17" s="251"/>
      <c r="I17" s="251"/>
      <c r="J17" s="251">
        <f t="shared" si="1"/>
        <v>76</v>
      </c>
      <c r="K17" s="252">
        <f t="shared" si="0"/>
        <v>781</v>
      </c>
      <c r="L17" s="262"/>
      <c r="M17" s="263"/>
      <c r="N17" s="263"/>
      <c r="O17" s="263"/>
      <c r="P17" s="255">
        <f t="shared" si="2"/>
        <v>0</v>
      </c>
      <c r="Q17" s="266"/>
      <c r="R17" s="63"/>
      <c r="S17" s="63"/>
      <c r="T17" s="63"/>
      <c r="U17" s="63"/>
      <c r="V17" s="63"/>
      <c r="W17" s="258"/>
      <c r="X17" s="264"/>
    </row>
    <row r="18" spans="1:24" x14ac:dyDescent="0.25">
      <c r="A18" s="257">
        <v>13</v>
      </c>
      <c r="B18" s="258" t="s">
        <v>225</v>
      </c>
      <c r="C18" s="268" t="s">
        <v>110</v>
      </c>
      <c r="D18" s="260">
        <v>174</v>
      </c>
      <c r="E18" s="261">
        <v>1913</v>
      </c>
      <c r="F18" s="250">
        <v>348</v>
      </c>
      <c r="G18" s="251"/>
      <c r="H18" s="251"/>
      <c r="I18" s="251"/>
      <c r="J18" s="251">
        <f t="shared" si="1"/>
        <v>348</v>
      </c>
      <c r="K18" s="252">
        <f t="shared" si="0"/>
        <v>2435</v>
      </c>
      <c r="L18" s="262">
        <v>51</v>
      </c>
      <c r="M18" s="263">
        <v>1111</v>
      </c>
      <c r="N18" s="263">
        <v>3282</v>
      </c>
      <c r="O18" s="263">
        <v>606</v>
      </c>
      <c r="P18" s="255">
        <f t="shared" si="2"/>
        <v>5050</v>
      </c>
      <c r="Q18" s="266"/>
      <c r="R18" s="63"/>
      <c r="S18" s="63"/>
      <c r="T18" s="63"/>
      <c r="U18" s="63"/>
      <c r="V18" s="63"/>
      <c r="W18" s="258"/>
      <c r="X18" s="264"/>
    </row>
    <row r="19" spans="1:24" x14ac:dyDescent="0.25">
      <c r="A19" s="257">
        <v>14</v>
      </c>
      <c r="B19" s="258" t="s">
        <v>226</v>
      </c>
      <c r="C19" s="268" t="s">
        <v>175</v>
      </c>
      <c r="D19" s="260"/>
      <c r="E19" s="261">
        <v>1559</v>
      </c>
      <c r="F19" s="250">
        <v>167</v>
      </c>
      <c r="G19" s="251"/>
      <c r="H19" s="251"/>
      <c r="I19" s="251"/>
      <c r="J19" s="251">
        <f t="shared" si="1"/>
        <v>167</v>
      </c>
      <c r="K19" s="252">
        <f t="shared" si="0"/>
        <v>1726</v>
      </c>
      <c r="L19" s="262"/>
      <c r="M19" s="263"/>
      <c r="N19" s="263"/>
      <c r="O19" s="263"/>
      <c r="P19" s="255">
        <f t="shared" si="2"/>
        <v>0</v>
      </c>
      <c r="Q19" s="266"/>
      <c r="R19" s="63"/>
      <c r="S19" s="63"/>
      <c r="T19" s="63"/>
      <c r="U19" s="63"/>
      <c r="V19" s="63"/>
      <c r="W19" s="258"/>
      <c r="X19" s="264"/>
    </row>
    <row r="20" spans="1:24" x14ac:dyDescent="0.25">
      <c r="A20" s="257">
        <v>15</v>
      </c>
      <c r="B20" s="258" t="s">
        <v>227</v>
      </c>
      <c r="C20" s="268" t="s">
        <v>456</v>
      </c>
      <c r="D20" s="260">
        <v>31</v>
      </c>
      <c r="E20" s="261">
        <v>720</v>
      </c>
      <c r="F20" s="250">
        <v>77</v>
      </c>
      <c r="G20" s="251"/>
      <c r="H20" s="251"/>
      <c r="I20" s="251"/>
      <c r="J20" s="251">
        <f t="shared" si="1"/>
        <v>77</v>
      </c>
      <c r="K20" s="252">
        <f t="shared" si="0"/>
        <v>828</v>
      </c>
      <c r="L20" s="262"/>
      <c r="M20" s="263"/>
      <c r="N20" s="263"/>
      <c r="O20" s="263"/>
      <c r="P20" s="255">
        <f t="shared" si="2"/>
        <v>0</v>
      </c>
      <c r="Q20" s="266"/>
      <c r="R20" s="63"/>
      <c r="S20" s="63"/>
      <c r="T20" s="63"/>
      <c r="U20" s="63"/>
      <c r="V20" s="63"/>
      <c r="W20" s="258"/>
      <c r="X20" s="264"/>
    </row>
    <row r="21" spans="1:24" x14ac:dyDescent="0.25">
      <c r="A21" s="257">
        <v>16</v>
      </c>
      <c r="B21" s="258" t="s">
        <v>228</v>
      </c>
      <c r="C21" s="268" t="s">
        <v>173</v>
      </c>
      <c r="D21" s="260">
        <v>40</v>
      </c>
      <c r="E21" s="261">
        <v>928</v>
      </c>
      <c r="F21" s="250"/>
      <c r="G21" s="251"/>
      <c r="H21" s="251"/>
      <c r="I21" s="251"/>
      <c r="J21" s="251">
        <f t="shared" si="1"/>
        <v>0</v>
      </c>
      <c r="K21" s="252">
        <f t="shared" si="0"/>
        <v>968</v>
      </c>
      <c r="L21" s="262"/>
      <c r="M21" s="263"/>
      <c r="N21" s="263"/>
      <c r="O21" s="263"/>
      <c r="P21" s="255">
        <f t="shared" si="2"/>
        <v>0</v>
      </c>
      <c r="Q21" s="266"/>
      <c r="R21" s="63"/>
      <c r="S21" s="63"/>
      <c r="T21" s="63"/>
      <c r="U21" s="63"/>
      <c r="V21" s="63"/>
      <c r="W21" s="258"/>
      <c r="X21" s="264"/>
    </row>
    <row r="22" spans="1:24" x14ac:dyDescent="0.25">
      <c r="A22" s="257">
        <v>17</v>
      </c>
      <c r="B22" s="258" t="s">
        <v>229</v>
      </c>
      <c r="C22" s="268" t="s">
        <v>172</v>
      </c>
      <c r="D22" s="260"/>
      <c r="E22" s="261">
        <v>768</v>
      </c>
      <c r="F22" s="250"/>
      <c r="G22" s="251"/>
      <c r="H22" s="251"/>
      <c r="I22" s="251"/>
      <c r="J22" s="251">
        <f t="shared" si="1"/>
        <v>0</v>
      </c>
      <c r="K22" s="252">
        <f t="shared" si="0"/>
        <v>768</v>
      </c>
      <c r="L22" s="262"/>
      <c r="M22" s="263"/>
      <c r="N22" s="263"/>
      <c r="O22" s="263"/>
      <c r="P22" s="255">
        <f t="shared" si="2"/>
        <v>0</v>
      </c>
      <c r="Q22" s="266"/>
      <c r="R22" s="63"/>
      <c r="S22" s="63"/>
      <c r="T22" s="63"/>
      <c r="U22" s="63"/>
      <c r="V22" s="63"/>
      <c r="W22" s="258"/>
      <c r="X22" s="264"/>
    </row>
    <row r="23" spans="1:24" x14ac:dyDescent="0.25">
      <c r="A23" s="257">
        <v>18</v>
      </c>
      <c r="B23" s="258" t="s">
        <v>230</v>
      </c>
      <c r="C23" s="268" t="s">
        <v>171</v>
      </c>
      <c r="D23" s="260"/>
      <c r="E23" s="261">
        <v>505</v>
      </c>
      <c r="F23" s="250"/>
      <c r="G23" s="251"/>
      <c r="H23" s="251"/>
      <c r="I23" s="251"/>
      <c r="J23" s="251">
        <f t="shared" si="1"/>
        <v>0</v>
      </c>
      <c r="K23" s="252">
        <f t="shared" si="0"/>
        <v>505</v>
      </c>
      <c r="L23" s="262"/>
      <c r="M23" s="263"/>
      <c r="N23" s="263"/>
      <c r="O23" s="263"/>
      <c r="P23" s="255">
        <f t="shared" si="2"/>
        <v>0</v>
      </c>
      <c r="Q23" s="266"/>
      <c r="R23" s="63"/>
      <c r="S23" s="63"/>
      <c r="T23" s="63"/>
      <c r="U23" s="63"/>
      <c r="V23" s="63"/>
      <c r="W23" s="258"/>
      <c r="X23" s="264"/>
    </row>
    <row r="24" spans="1:24" x14ac:dyDescent="0.25">
      <c r="A24" s="257">
        <v>19</v>
      </c>
      <c r="B24" s="258" t="s">
        <v>231</v>
      </c>
      <c r="C24" s="268" t="s">
        <v>170</v>
      </c>
      <c r="D24" s="260">
        <v>34</v>
      </c>
      <c r="E24" s="261">
        <v>786</v>
      </c>
      <c r="F24" s="250">
        <v>84</v>
      </c>
      <c r="G24" s="251"/>
      <c r="H24" s="251"/>
      <c r="I24" s="251"/>
      <c r="J24" s="251">
        <f t="shared" si="1"/>
        <v>84</v>
      </c>
      <c r="K24" s="252">
        <f t="shared" si="0"/>
        <v>904</v>
      </c>
      <c r="L24" s="262"/>
      <c r="M24" s="263"/>
      <c r="N24" s="263"/>
      <c r="O24" s="263"/>
      <c r="P24" s="255">
        <f t="shared" si="2"/>
        <v>0</v>
      </c>
      <c r="Q24" s="266"/>
      <c r="R24" s="63"/>
      <c r="S24" s="63"/>
      <c r="T24" s="63"/>
      <c r="U24" s="63"/>
      <c r="V24" s="63"/>
      <c r="W24" s="258"/>
      <c r="X24" s="264"/>
    </row>
    <row r="25" spans="1:24" x14ac:dyDescent="0.25">
      <c r="A25" s="257">
        <v>20</v>
      </c>
      <c r="B25" s="258" t="s">
        <v>232</v>
      </c>
      <c r="C25" s="268" t="s">
        <v>169</v>
      </c>
      <c r="D25" s="260">
        <v>46</v>
      </c>
      <c r="E25" s="261">
        <v>1072</v>
      </c>
      <c r="F25" s="250">
        <v>115</v>
      </c>
      <c r="G25" s="251"/>
      <c r="H25" s="251"/>
      <c r="I25" s="251"/>
      <c r="J25" s="251">
        <f t="shared" si="1"/>
        <v>115</v>
      </c>
      <c r="K25" s="252">
        <f t="shared" si="0"/>
        <v>1233</v>
      </c>
      <c r="L25" s="262"/>
      <c r="M25" s="263"/>
      <c r="N25" s="263"/>
      <c r="O25" s="263"/>
      <c r="P25" s="255">
        <f t="shared" si="2"/>
        <v>0</v>
      </c>
      <c r="Q25" s="266"/>
      <c r="R25" s="63"/>
      <c r="S25" s="63"/>
      <c r="T25" s="63"/>
      <c r="U25" s="63"/>
      <c r="V25" s="63"/>
      <c r="W25" s="258"/>
      <c r="X25" s="264"/>
    </row>
    <row r="26" spans="1:24" x14ac:dyDescent="0.25">
      <c r="A26" s="257">
        <v>21</v>
      </c>
      <c r="B26" s="258" t="s">
        <v>233</v>
      </c>
      <c r="C26" s="268" t="s">
        <v>96</v>
      </c>
      <c r="D26" s="260">
        <v>148</v>
      </c>
      <c r="E26" s="261">
        <v>3422</v>
      </c>
      <c r="F26" s="250">
        <v>367</v>
      </c>
      <c r="G26" s="251">
        <v>335</v>
      </c>
      <c r="H26" s="251">
        <v>47</v>
      </c>
      <c r="I26" s="251">
        <v>54</v>
      </c>
      <c r="J26" s="251">
        <f t="shared" si="1"/>
        <v>803</v>
      </c>
      <c r="K26" s="252">
        <f t="shared" si="0"/>
        <v>4373</v>
      </c>
      <c r="L26" s="262">
        <v>41</v>
      </c>
      <c r="M26" s="263">
        <v>916</v>
      </c>
      <c r="N26" s="263">
        <v>2707</v>
      </c>
      <c r="O26" s="263">
        <v>500</v>
      </c>
      <c r="P26" s="255">
        <f t="shared" si="2"/>
        <v>4164</v>
      </c>
      <c r="Q26" s="266"/>
      <c r="R26" s="63"/>
      <c r="S26" s="63"/>
      <c r="T26" s="63"/>
      <c r="U26" s="63"/>
      <c r="V26" s="63"/>
      <c r="W26" s="258"/>
      <c r="X26" s="264"/>
    </row>
    <row r="27" spans="1:24" x14ac:dyDescent="0.25">
      <c r="A27" s="257">
        <v>22</v>
      </c>
      <c r="B27" s="258">
        <v>12001</v>
      </c>
      <c r="C27" s="268" t="s">
        <v>433</v>
      </c>
      <c r="D27" s="260">
        <v>298</v>
      </c>
      <c r="E27" s="261">
        <v>5167</v>
      </c>
      <c r="F27" s="250">
        <v>656</v>
      </c>
      <c r="G27" s="251">
        <v>425</v>
      </c>
      <c r="H27" s="251">
        <v>60</v>
      </c>
      <c r="I27" s="251">
        <v>86</v>
      </c>
      <c r="J27" s="251">
        <f t="shared" si="1"/>
        <v>1227</v>
      </c>
      <c r="K27" s="252">
        <f t="shared" si="0"/>
        <v>6692</v>
      </c>
      <c r="L27" s="262">
        <v>113</v>
      </c>
      <c r="M27" s="263">
        <v>2462</v>
      </c>
      <c r="N27" s="263">
        <v>7274</v>
      </c>
      <c r="O27" s="263">
        <v>1342</v>
      </c>
      <c r="P27" s="255">
        <f t="shared" si="2"/>
        <v>11191</v>
      </c>
      <c r="Q27" s="266"/>
      <c r="R27" s="63"/>
      <c r="S27" s="63"/>
      <c r="T27" s="63"/>
      <c r="U27" s="63"/>
      <c r="V27" s="63"/>
      <c r="W27" s="258"/>
      <c r="X27" s="264"/>
    </row>
    <row r="28" spans="1:24" x14ac:dyDescent="0.25">
      <c r="A28" s="257">
        <v>23</v>
      </c>
      <c r="B28" s="258" t="s">
        <v>244</v>
      </c>
      <c r="C28" s="269" t="s">
        <v>476</v>
      </c>
      <c r="D28" s="260">
        <v>192</v>
      </c>
      <c r="E28" s="261">
        <v>3529</v>
      </c>
      <c r="F28" s="250">
        <v>379</v>
      </c>
      <c r="G28" s="251">
        <v>636</v>
      </c>
      <c r="H28" s="251">
        <v>90</v>
      </c>
      <c r="I28" s="251">
        <v>50</v>
      </c>
      <c r="J28" s="251">
        <f t="shared" si="1"/>
        <v>1155</v>
      </c>
      <c r="K28" s="252">
        <f t="shared" si="0"/>
        <v>4876</v>
      </c>
      <c r="L28" s="262">
        <v>53</v>
      </c>
      <c r="M28" s="263">
        <v>1146</v>
      </c>
      <c r="N28" s="263">
        <v>3387</v>
      </c>
      <c r="O28" s="263">
        <v>625</v>
      </c>
      <c r="P28" s="255">
        <f t="shared" si="2"/>
        <v>5211</v>
      </c>
      <c r="Q28" s="266"/>
      <c r="R28" s="63"/>
      <c r="S28" s="63"/>
      <c r="T28" s="63"/>
      <c r="U28" s="63"/>
      <c r="V28" s="63"/>
      <c r="W28" s="258"/>
      <c r="X28" s="264"/>
    </row>
    <row r="29" spans="1:24" x14ac:dyDescent="0.25">
      <c r="A29" s="257">
        <v>24</v>
      </c>
      <c r="B29" s="258" t="s">
        <v>235</v>
      </c>
      <c r="C29" s="268" t="s">
        <v>95</v>
      </c>
      <c r="D29" s="260">
        <v>176</v>
      </c>
      <c r="E29" s="261">
        <v>4073</v>
      </c>
      <c r="F29" s="250">
        <v>438</v>
      </c>
      <c r="G29" s="251">
        <v>354</v>
      </c>
      <c r="H29" s="251">
        <v>50</v>
      </c>
      <c r="I29" s="251">
        <v>47</v>
      </c>
      <c r="J29" s="251">
        <f t="shared" si="1"/>
        <v>889</v>
      </c>
      <c r="K29" s="252">
        <f t="shared" si="0"/>
        <v>5138</v>
      </c>
      <c r="L29" s="262">
        <v>69</v>
      </c>
      <c r="M29" s="263">
        <v>1494</v>
      </c>
      <c r="N29" s="263">
        <v>4416</v>
      </c>
      <c r="O29" s="263">
        <v>815</v>
      </c>
      <c r="P29" s="255">
        <f t="shared" si="2"/>
        <v>6794</v>
      </c>
      <c r="Q29" s="266"/>
      <c r="R29" s="63"/>
      <c r="S29" s="63"/>
      <c r="T29" s="63"/>
      <c r="U29" s="63"/>
      <c r="V29" s="63"/>
      <c r="W29" s="258"/>
      <c r="X29" s="264"/>
    </row>
    <row r="30" spans="1:24" x14ac:dyDescent="0.25">
      <c r="A30" s="549">
        <v>25</v>
      </c>
      <c r="B30" s="258" t="s">
        <v>236</v>
      </c>
      <c r="C30" s="270" t="s">
        <v>237</v>
      </c>
      <c r="D30" s="260">
        <v>126</v>
      </c>
      <c r="E30" s="261">
        <v>2567</v>
      </c>
      <c r="F30" s="250">
        <v>601</v>
      </c>
      <c r="G30" s="251">
        <v>474</v>
      </c>
      <c r="H30" s="251">
        <v>65</v>
      </c>
      <c r="I30" s="251">
        <v>62</v>
      </c>
      <c r="J30" s="251">
        <f t="shared" si="1"/>
        <v>1202</v>
      </c>
      <c r="K30" s="252">
        <f t="shared" si="0"/>
        <v>3895</v>
      </c>
      <c r="L30" s="262">
        <v>185</v>
      </c>
      <c r="M30" s="263">
        <v>4081</v>
      </c>
      <c r="N30" s="263">
        <v>12058</v>
      </c>
      <c r="O30" s="263">
        <v>2226</v>
      </c>
      <c r="P30" s="255">
        <f t="shared" si="2"/>
        <v>18550</v>
      </c>
      <c r="Q30" s="266"/>
      <c r="R30" s="63"/>
      <c r="S30" s="63"/>
      <c r="T30" s="63"/>
      <c r="U30" s="63"/>
      <c r="V30" s="63"/>
      <c r="W30" s="258"/>
      <c r="X30" s="264"/>
    </row>
    <row r="31" spans="1:24" ht="42" customHeight="1" x14ac:dyDescent="0.25">
      <c r="A31" s="550"/>
      <c r="B31" s="258" t="s">
        <v>238</v>
      </c>
      <c r="C31" s="86" t="s">
        <v>239</v>
      </c>
      <c r="D31" s="260">
        <v>116</v>
      </c>
      <c r="E31" s="261">
        <v>2352</v>
      </c>
      <c r="F31" s="250">
        <v>274</v>
      </c>
      <c r="G31" s="251"/>
      <c r="H31" s="251"/>
      <c r="I31" s="251"/>
      <c r="J31" s="251">
        <f t="shared" si="1"/>
        <v>274</v>
      </c>
      <c r="K31" s="252">
        <f t="shared" si="0"/>
        <v>2742</v>
      </c>
      <c r="L31" s="262"/>
      <c r="M31" s="263"/>
      <c r="N31" s="263"/>
      <c r="O31" s="263"/>
      <c r="P31" s="255"/>
      <c r="Q31" s="266"/>
      <c r="R31" s="63"/>
      <c r="S31" s="63"/>
      <c r="T31" s="63"/>
      <c r="U31" s="63"/>
      <c r="V31" s="63"/>
      <c r="W31" s="258"/>
      <c r="X31" s="264"/>
    </row>
    <row r="32" spans="1:24" x14ac:dyDescent="0.25">
      <c r="A32" s="257">
        <v>26</v>
      </c>
      <c r="B32" s="258">
        <v>16008</v>
      </c>
      <c r="C32" s="268" t="s">
        <v>518</v>
      </c>
      <c r="D32" s="260">
        <v>3</v>
      </c>
      <c r="E32" s="261">
        <v>396</v>
      </c>
      <c r="F32" s="250">
        <v>21</v>
      </c>
      <c r="G32" s="251"/>
      <c r="H32" s="251"/>
      <c r="I32" s="251"/>
      <c r="J32" s="251">
        <f t="shared" si="1"/>
        <v>21</v>
      </c>
      <c r="K32" s="252">
        <f t="shared" si="0"/>
        <v>420</v>
      </c>
      <c r="L32" s="262"/>
      <c r="M32" s="263"/>
      <c r="N32" s="263"/>
      <c r="O32" s="263"/>
      <c r="P32" s="255">
        <f t="shared" si="2"/>
        <v>0</v>
      </c>
      <c r="Q32" s="266"/>
      <c r="R32" s="63"/>
      <c r="S32" s="63"/>
      <c r="T32" s="63"/>
      <c r="U32" s="63"/>
      <c r="V32" s="63"/>
      <c r="W32" s="258"/>
      <c r="X32" s="264"/>
    </row>
    <row r="33" spans="1:24" ht="24" x14ac:dyDescent="0.25">
      <c r="A33" s="257">
        <v>27</v>
      </c>
      <c r="B33" s="258" t="s">
        <v>24</v>
      </c>
      <c r="C33" s="271" t="s">
        <v>241</v>
      </c>
      <c r="D33" s="260">
        <v>228</v>
      </c>
      <c r="E33" s="261">
        <v>4493</v>
      </c>
      <c r="F33" s="250">
        <v>624</v>
      </c>
      <c r="G33" s="251">
        <v>244</v>
      </c>
      <c r="H33" s="251">
        <v>34</v>
      </c>
      <c r="I33" s="251">
        <v>49</v>
      </c>
      <c r="J33" s="251">
        <f t="shared" si="1"/>
        <v>951</v>
      </c>
      <c r="K33" s="252">
        <f t="shared" si="0"/>
        <v>5672</v>
      </c>
      <c r="L33" s="262"/>
      <c r="M33" s="263"/>
      <c r="N33" s="263"/>
      <c r="O33" s="263"/>
      <c r="P33" s="255">
        <f t="shared" si="2"/>
        <v>0</v>
      </c>
      <c r="Q33" s="266"/>
      <c r="R33" s="63"/>
      <c r="S33" s="63"/>
      <c r="T33" s="63"/>
      <c r="U33" s="63"/>
      <c r="V33" s="63"/>
      <c r="W33" s="258"/>
      <c r="X33" s="264"/>
    </row>
    <row r="34" spans="1:24" x14ac:dyDescent="0.25">
      <c r="A34" s="257">
        <v>28</v>
      </c>
      <c r="B34" s="258" t="s">
        <v>242</v>
      </c>
      <c r="C34" s="268" t="s">
        <v>519</v>
      </c>
      <c r="D34" s="260">
        <v>39</v>
      </c>
      <c r="E34" s="261">
        <v>653</v>
      </c>
      <c r="F34" s="250">
        <v>40</v>
      </c>
      <c r="G34" s="251">
        <v>0</v>
      </c>
      <c r="H34" s="251">
        <v>0</v>
      </c>
      <c r="I34" s="251">
        <v>0</v>
      </c>
      <c r="J34" s="251">
        <f t="shared" si="1"/>
        <v>40</v>
      </c>
      <c r="K34" s="252">
        <f t="shared" si="0"/>
        <v>732</v>
      </c>
      <c r="L34" s="262"/>
      <c r="M34" s="263"/>
      <c r="N34" s="263"/>
      <c r="O34" s="263"/>
      <c r="P34" s="255">
        <f t="shared" si="2"/>
        <v>0</v>
      </c>
      <c r="Q34" s="266"/>
      <c r="R34" s="63"/>
      <c r="S34" s="63"/>
      <c r="T34" s="63"/>
      <c r="U34" s="63"/>
      <c r="V34" s="63"/>
      <c r="W34" s="258"/>
      <c r="X34" s="264"/>
    </row>
    <row r="35" spans="1:24" x14ac:dyDescent="0.25">
      <c r="A35" s="257">
        <v>29</v>
      </c>
      <c r="B35" s="258" t="s">
        <v>250</v>
      </c>
      <c r="C35" s="272" t="s">
        <v>168</v>
      </c>
      <c r="D35" s="260">
        <v>54</v>
      </c>
      <c r="E35" s="261">
        <v>1245</v>
      </c>
      <c r="F35" s="250">
        <v>134</v>
      </c>
      <c r="G35" s="251"/>
      <c r="H35" s="251"/>
      <c r="I35" s="251"/>
      <c r="J35" s="251">
        <f t="shared" si="1"/>
        <v>134</v>
      </c>
      <c r="K35" s="252">
        <f t="shared" si="0"/>
        <v>1433</v>
      </c>
      <c r="L35" s="262">
        <v>37</v>
      </c>
      <c r="M35" s="263">
        <v>818</v>
      </c>
      <c r="N35" s="263">
        <v>2416</v>
      </c>
      <c r="O35" s="263">
        <v>446</v>
      </c>
      <c r="P35" s="255">
        <f t="shared" si="2"/>
        <v>3717</v>
      </c>
      <c r="Q35" s="266"/>
      <c r="R35" s="63"/>
      <c r="S35" s="63"/>
      <c r="T35" s="63"/>
      <c r="U35" s="63"/>
      <c r="V35" s="63"/>
      <c r="W35" s="258"/>
      <c r="X35" s="264"/>
    </row>
    <row r="36" spans="1:24" ht="13.5" customHeight="1" x14ac:dyDescent="0.25">
      <c r="A36" s="257">
        <v>30</v>
      </c>
      <c r="B36" s="258" t="s">
        <v>248</v>
      </c>
      <c r="C36" s="265" t="s">
        <v>520</v>
      </c>
      <c r="D36" s="266">
        <v>0</v>
      </c>
      <c r="E36" s="267">
        <v>3020</v>
      </c>
      <c r="F36" s="250"/>
      <c r="G36" s="251"/>
      <c r="H36" s="251"/>
      <c r="I36" s="251"/>
      <c r="J36" s="251">
        <f t="shared" si="1"/>
        <v>0</v>
      </c>
      <c r="K36" s="252">
        <f t="shared" si="0"/>
        <v>3020</v>
      </c>
      <c r="L36" s="262"/>
      <c r="M36" s="263"/>
      <c r="N36" s="263"/>
      <c r="O36" s="263"/>
      <c r="P36" s="255">
        <f t="shared" si="2"/>
        <v>0</v>
      </c>
      <c r="Q36" s="266"/>
      <c r="R36" s="63"/>
      <c r="S36" s="63"/>
      <c r="T36" s="63"/>
      <c r="U36" s="63"/>
      <c r="V36" s="63"/>
      <c r="W36" s="258"/>
      <c r="X36" s="264"/>
    </row>
    <row r="37" spans="1:24" x14ac:dyDescent="0.25">
      <c r="A37" s="245">
        <v>31</v>
      </c>
      <c r="B37" s="258" t="s">
        <v>251</v>
      </c>
      <c r="C37" s="268" t="s">
        <v>108</v>
      </c>
      <c r="D37" s="260">
        <v>84</v>
      </c>
      <c r="E37" s="261">
        <v>1950</v>
      </c>
      <c r="F37" s="250">
        <v>210</v>
      </c>
      <c r="G37" s="251"/>
      <c r="H37" s="251"/>
      <c r="I37" s="251"/>
      <c r="J37" s="251">
        <f t="shared" si="1"/>
        <v>210</v>
      </c>
      <c r="K37" s="252">
        <f t="shared" si="0"/>
        <v>2244</v>
      </c>
      <c r="L37" s="262">
        <v>28</v>
      </c>
      <c r="M37" s="263">
        <v>627</v>
      </c>
      <c r="N37" s="263">
        <v>1852</v>
      </c>
      <c r="O37" s="263">
        <v>342</v>
      </c>
      <c r="P37" s="255">
        <f t="shared" si="2"/>
        <v>2849</v>
      </c>
      <c r="Q37" s="266"/>
      <c r="R37" s="63"/>
      <c r="S37" s="63"/>
      <c r="T37" s="63"/>
      <c r="U37" s="63"/>
      <c r="V37" s="63"/>
      <c r="W37" s="258"/>
      <c r="X37" s="264"/>
    </row>
    <row r="38" spans="1:24" x14ac:dyDescent="0.25">
      <c r="A38" s="245">
        <v>32</v>
      </c>
      <c r="B38" s="258" t="s">
        <v>252</v>
      </c>
      <c r="C38" s="259" t="s">
        <v>167</v>
      </c>
      <c r="D38" s="260"/>
      <c r="E38" s="261">
        <v>466</v>
      </c>
      <c r="F38" s="250">
        <v>50</v>
      </c>
      <c r="G38" s="251"/>
      <c r="H38" s="251"/>
      <c r="I38" s="251"/>
      <c r="J38" s="251">
        <f t="shared" si="1"/>
        <v>50</v>
      </c>
      <c r="K38" s="252">
        <f t="shared" si="0"/>
        <v>516</v>
      </c>
      <c r="L38" s="262"/>
      <c r="M38" s="263"/>
      <c r="N38" s="263"/>
      <c r="O38" s="263"/>
      <c r="P38" s="255">
        <f t="shared" si="2"/>
        <v>0</v>
      </c>
      <c r="Q38" s="266"/>
      <c r="R38" s="63"/>
      <c r="S38" s="63"/>
      <c r="T38" s="63"/>
      <c r="U38" s="63"/>
      <c r="V38" s="63"/>
      <c r="W38" s="258"/>
      <c r="X38" s="264"/>
    </row>
    <row r="39" spans="1:24" x14ac:dyDescent="0.25">
      <c r="A39" s="257">
        <v>33</v>
      </c>
      <c r="B39" s="258" t="s">
        <v>253</v>
      </c>
      <c r="C39" s="259" t="s">
        <v>166</v>
      </c>
      <c r="D39" s="260"/>
      <c r="E39" s="261">
        <v>460</v>
      </c>
      <c r="F39" s="250">
        <v>49</v>
      </c>
      <c r="G39" s="251"/>
      <c r="H39" s="251"/>
      <c r="I39" s="251"/>
      <c r="J39" s="251">
        <f t="shared" si="1"/>
        <v>49</v>
      </c>
      <c r="K39" s="252">
        <f t="shared" si="0"/>
        <v>509</v>
      </c>
      <c r="L39" s="262"/>
      <c r="M39" s="263"/>
      <c r="N39" s="263"/>
      <c r="O39" s="263"/>
      <c r="P39" s="255">
        <f t="shared" si="2"/>
        <v>0</v>
      </c>
      <c r="Q39" s="266"/>
      <c r="R39" s="63"/>
      <c r="S39" s="63"/>
      <c r="T39" s="63"/>
      <c r="U39" s="63"/>
      <c r="V39" s="63"/>
      <c r="W39" s="258"/>
      <c r="X39" s="264"/>
    </row>
    <row r="40" spans="1:24" x14ac:dyDescent="0.25">
      <c r="A40" s="257">
        <v>34</v>
      </c>
      <c r="B40" s="258" t="s">
        <v>254</v>
      </c>
      <c r="C40" s="272" t="s">
        <v>165</v>
      </c>
      <c r="D40" s="260">
        <v>71</v>
      </c>
      <c r="E40" s="261">
        <v>1641</v>
      </c>
      <c r="F40" s="250"/>
      <c r="G40" s="251"/>
      <c r="H40" s="251"/>
      <c r="I40" s="251"/>
      <c r="J40" s="251">
        <f t="shared" si="1"/>
        <v>0</v>
      </c>
      <c r="K40" s="252">
        <f t="shared" si="0"/>
        <v>1712</v>
      </c>
      <c r="L40" s="262"/>
      <c r="M40" s="263"/>
      <c r="N40" s="263"/>
      <c r="O40" s="263"/>
      <c r="P40" s="255">
        <f t="shared" si="2"/>
        <v>0</v>
      </c>
      <c r="Q40" s="266"/>
      <c r="R40" s="63"/>
      <c r="S40" s="63"/>
      <c r="T40" s="63"/>
      <c r="U40" s="63"/>
      <c r="V40" s="63"/>
      <c r="W40" s="258"/>
      <c r="X40" s="264"/>
    </row>
    <row r="41" spans="1:24" ht="11.25" customHeight="1" x14ac:dyDescent="0.25">
      <c r="A41" s="257">
        <v>35</v>
      </c>
      <c r="B41" s="258" t="s">
        <v>255</v>
      </c>
      <c r="C41" s="272" t="s">
        <v>164</v>
      </c>
      <c r="D41" s="260">
        <v>35</v>
      </c>
      <c r="E41" s="261">
        <v>823</v>
      </c>
      <c r="F41" s="250">
        <v>88</v>
      </c>
      <c r="G41" s="251"/>
      <c r="H41" s="251"/>
      <c r="I41" s="251"/>
      <c r="J41" s="251">
        <f t="shared" si="1"/>
        <v>88</v>
      </c>
      <c r="K41" s="252">
        <f t="shared" si="0"/>
        <v>946</v>
      </c>
      <c r="L41" s="262"/>
      <c r="M41" s="263"/>
      <c r="N41" s="263"/>
      <c r="O41" s="263"/>
      <c r="P41" s="255">
        <f t="shared" si="2"/>
        <v>0</v>
      </c>
      <c r="Q41" s="266"/>
      <c r="R41" s="63"/>
      <c r="S41" s="63"/>
      <c r="T41" s="63"/>
      <c r="U41" s="63"/>
      <c r="V41" s="63"/>
      <c r="W41" s="258"/>
      <c r="X41" s="264"/>
    </row>
    <row r="42" spans="1:24" x14ac:dyDescent="0.25">
      <c r="A42" s="257">
        <v>36</v>
      </c>
      <c r="B42" s="258" t="s">
        <v>256</v>
      </c>
      <c r="C42" s="268" t="s">
        <v>107</v>
      </c>
      <c r="D42" s="260">
        <v>120</v>
      </c>
      <c r="E42" s="261">
        <v>2793</v>
      </c>
      <c r="F42" s="250">
        <v>300</v>
      </c>
      <c r="G42" s="251"/>
      <c r="H42" s="251"/>
      <c r="I42" s="251"/>
      <c r="J42" s="251">
        <f t="shared" si="1"/>
        <v>300</v>
      </c>
      <c r="K42" s="252">
        <f t="shared" si="0"/>
        <v>3213</v>
      </c>
      <c r="L42" s="262">
        <v>41</v>
      </c>
      <c r="M42" s="263">
        <v>907</v>
      </c>
      <c r="N42" s="263">
        <v>2679</v>
      </c>
      <c r="O42" s="263">
        <v>495</v>
      </c>
      <c r="P42" s="255">
        <f t="shared" si="2"/>
        <v>4122</v>
      </c>
      <c r="Q42" s="266"/>
      <c r="R42" s="63"/>
      <c r="S42" s="63"/>
      <c r="T42" s="63"/>
      <c r="U42" s="63"/>
      <c r="V42" s="63"/>
      <c r="W42" s="258"/>
      <c r="X42" s="264"/>
    </row>
    <row r="43" spans="1:24" x14ac:dyDescent="0.25">
      <c r="A43" s="257">
        <v>37</v>
      </c>
      <c r="B43" s="258" t="s">
        <v>257</v>
      </c>
      <c r="C43" s="268" t="s">
        <v>163</v>
      </c>
      <c r="D43" s="260"/>
      <c r="E43" s="261">
        <v>815</v>
      </c>
      <c r="F43" s="250">
        <v>88</v>
      </c>
      <c r="G43" s="251"/>
      <c r="H43" s="251"/>
      <c r="I43" s="251"/>
      <c r="J43" s="251">
        <f t="shared" si="1"/>
        <v>88</v>
      </c>
      <c r="K43" s="252">
        <f t="shared" si="0"/>
        <v>903</v>
      </c>
      <c r="L43" s="262"/>
      <c r="M43" s="263"/>
      <c r="N43" s="263"/>
      <c r="O43" s="263"/>
      <c r="P43" s="255">
        <f t="shared" si="2"/>
        <v>0</v>
      </c>
      <c r="Q43" s="266"/>
      <c r="R43" s="63"/>
      <c r="S43" s="63"/>
      <c r="T43" s="63"/>
      <c r="U43" s="63"/>
      <c r="V43" s="63"/>
      <c r="W43" s="258"/>
      <c r="X43" s="264"/>
    </row>
    <row r="44" spans="1:24" x14ac:dyDescent="0.25">
      <c r="A44" s="257">
        <v>38</v>
      </c>
      <c r="B44" s="258" t="s">
        <v>258</v>
      </c>
      <c r="C44" s="268" t="s">
        <v>162</v>
      </c>
      <c r="D44" s="260"/>
      <c r="E44" s="261">
        <v>765</v>
      </c>
      <c r="F44" s="250">
        <v>82</v>
      </c>
      <c r="G44" s="251"/>
      <c r="H44" s="251"/>
      <c r="I44" s="251"/>
      <c r="J44" s="251">
        <f t="shared" si="1"/>
        <v>82</v>
      </c>
      <c r="K44" s="252">
        <f t="shared" si="0"/>
        <v>847</v>
      </c>
      <c r="L44" s="262"/>
      <c r="M44" s="263"/>
      <c r="N44" s="263"/>
      <c r="O44" s="263"/>
      <c r="P44" s="255">
        <f t="shared" si="2"/>
        <v>0</v>
      </c>
      <c r="Q44" s="266"/>
      <c r="R44" s="63"/>
      <c r="S44" s="63"/>
      <c r="T44" s="63"/>
      <c r="U44" s="63"/>
      <c r="V44" s="63"/>
      <c r="W44" s="258"/>
      <c r="X44" s="264"/>
    </row>
    <row r="45" spans="1:24" x14ac:dyDescent="0.25">
      <c r="A45" s="257">
        <v>39</v>
      </c>
      <c r="B45" s="258" t="s">
        <v>259</v>
      </c>
      <c r="C45" s="268" t="s">
        <v>161</v>
      </c>
      <c r="D45" s="260"/>
      <c r="E45" s="261">
        <v>1505</v>
      </c>
      <c r="F45" s="250">
        <v>162</v>
      </c>
      <c r="G45" s="251"/>
      <c r="H45" s="251"/>
      <c r="I45" s="251"/>
      <c r="J45" s="251">
        <f t="shared" si="1"/>
        <v>162</v>
      </c>
      <c r="K45" s="252">
        <f t="shared" si="0"/>
        <v>1667</v>
      </c>
      <c r="L45" s="262"/>
      <c r="M45" s="263"/>
      <c r="N45" s="263"/>
      <c r="O45" s="263"/>
      <c r="P45" s="255">
        <f t="shared" si="2"/>
        <v>0</v>
      </c>
      <c r="Q45" s="266"/>
      <c r="R45" s="63"/>
      <c r="S45" s="63"/>
      <c r="T45" s="63"/>
      <c r="U45" s="63"/>
      <c r="V45" s="63"/>
      <c r="W45" s="258"/>
      <c r="X45" s="264"/>
    </row>
    <row r="46" spans="1:24" x14ac:dyDescent="0.25">
      <c r="A46" s="257">
        <v>40</v>
      </c>
      <c r="B46" s="258" t="s">
        <v>260</v>
      </c>
      <c r="C46" s="268" t="s">
        <v>160</v>
      </c>
      <c r="D46" s="260">
        <v>23</v>
      </c>
      <c r="E46" s="261">
        <v>535</v>
      </c>
      <c r="F46" s="250">
        <v>57</v>
      </c>
      <c r="G46" s="251"/>
      <c r="H46" s="251"/>
      <c r="I46" s="251"/>
      <c r="J46" s="251">
        <f t="shared" si="1"/>
        <v>57</v>
      </c>
      <c r="K46" s="252">
        <f t="shared" si="0"/>
        <v>615</v>
      </c>
      <c r="L46" s="262"/>
      <c r="M46" s="263"/>
      <c r="N46" s="263"/>
      <c r="O46" s="263"/>
      <c r="P46" s="255">
        <f t="shared" si="2"/>
        <v>0</v>
      </c>
      <c r="Q46" s="266"/>
      <c r="R46" s="63"/>
      <c r="S46" s="63"/>
      <c r="T46" s="63"/>
      <c r="U46" s="63"/>
      <c r="V46" s="63"/>
      <c r="W46" s="258"/>
      <c r="X46" s="264"/>
    </row>
    <row r="47" spans="1:24" x14ac:dyDescent="0.25">
      <c r="A47" s="257">
        <v>41</v>
      </c>
      <c r="B47" s="258" t="s">
        <v>261</v>
      </c>
      <c r="C47" s="268" t="s">
        <v>159</v>
      </c>
      <c r="D47" s="260"/>
      <c r="E47" s="261">
        <v>937</v>
      </c>
      <c r="F47" s="250"/>
      <c r="G47" s="251"/>
      <c r="H47" s="251"/>
      <c r="I47" s="251"/>
      <c r="J47" s="251">
        <f t="shared" si="1"/>
        <v>0</v>
      </c>
      <c r="K47" s="252">
        <f t="shared" si="0"/>
        <v>937</v>
      </c>
      <c r="L47" s="262"/>
      <c r="M47" s="263"/>
      <c r="N47" s="263"/>
      <c r="O47" s="263"/>
      <c r="P47" s="255">
        <f t="shared" si="2"/>
        <v>0</v>
      </c>
      <c r="Q47" s="266"/>
      <c r="R47" s="63"/>
      <c r="S47" s="63"/>
      <c r="T47" s="63"/>
      <c r="U47" s="63"/>
      <c r="V47" s="63"/>
      <c r="W47" s="258"/>
      <c r="X47" s="264"/>
    </row>
    <row r="48" spans="1:24" x14ac:dyDescent="0.25">
      <c r="A48" s="257">
        <v>42</v>
      </c>
      <c r="B48" s="258" t="s">
        <v>262</v>
      </c>
      <c r="C48" s="268" t="s">
        <v>158</v>
      </c>
      <c r="D48" s="260"/>
      <c r="E48" s="261">
        <v>1032</v>
      </c>
      <c r="F48" s="250"/>
      <c r="G48" s="251"/>
      <c r="H48" s="251"/>
      <c r="I48" s="251"/>
      <c r="J48" s="251">
        <f t="shared" si="1"/>
        <v>0</v>
      </c>
      <c r="K48" s="252">
        <f t="shared" si="0"/>
        <v>1032</v>
      </c>
      <c r="L48" s="262"/>
      <c r="M48" s="263"/>
      <c r="N48" s="263"/>
      <c r="O48" s="263"/>
      <c r="P48" s="255">
        <f t="shared" si="2"/>
        <v>0</v>
      </c>
      <c r="Q48" s="266"/>
      <c r="R48" s="63"/>
      <c r="S48" s="63"/>
      <c r="T48" s="63"/>
      <c r="U48" s="63"/>
      <c r="V48" s="63"/>
      <c r="W48" s="258"/>
      <c r="X48" s="264"/>
    </row>
    <row r="49" spans="1:24" x14ac:dyDescent="0.25">
      <c r="A49" s="257">
        <v>43</v>
      </c>
      <c r="B49" s="258" t="s">
        <v>263</v>
      </c>
      <c r="C49" s="268" t="s">
        <v>157</v>
      </c>
      <c r="D49" s="260">
        <v>37</v>
      </c>
      <c r="E49" s="261">
        <v>863</v>
      </c>
      <c r="F49" s="250"/>
      <c r="G49" s="251"/>
      <c r="H49" s="251"/>
      <c r="I49" s="251"/>
      <c r="J49" s="251">
        <f t="shared" si="1"/>
        <v>0</v>
      </c>
      <c r="K49" s="252">
        <f t="shared" si="0"/>
        <v>900</v>
      </c>
      <c r="L49" s="262"/>
      <c r="M49" s="263"/>
      <c r="N49" s="263"/>
      <c r="O49" s="263"/>
      <c r="P49" s="255">
        <f t="shared" si="2"/>
        <v>0</v>
      </c>
      <c r="Q49" s="266"/>
      <c r="R49" s="63"/>
      <c r="S49" s="63"/>
      <c r="T49" s="63"/>
      <c r="U49" s="63"/>
      <c r="V49" s="63"/>
      <c r="W49" s="258"/>
      <c r="X49" s="264"/>
    </row>
    <row r="50" spans="1:24" x14ac:dyDescent="0.25">
      <c r="A50" s="257">
        <v>44</v>
      </c>
      <c r="B50" s="258" t="s">
        <v>264</v>
      </c>
      <c r="C50" s="269" t="s">
        <v>156</v>
      </c>
      <c r="D50" s="260">
        <v>35</v>
      </c>
      <c r="E50" s="261">
        <v>799</v>
      </c>
      <c r="F50" s="250">
        <v>86</v>
      </c>
      <c r="G50" s="251"/>
      <c r="H50" s="251"/>
      <c r="I50" s="251"/>
      <c r="J50" s="251">
        <f t="shared" si="1"/>
        <v>86</v>
      </c>
      <c r="K50" s="252">
        <f t="shared" si="0"/>
        <v>920</v>
      </c>
      <c r="L50" s="262"/>
      <c r="M50" s="263"/>
      <c r="N50" s="263"/>
      <c r="O50" s="263"/>
      <c r="P50" s="255">
        <f t="shared" si="2"/>
        <v>0</v>
      </c>
      <c r="Q50" s="266"/>
      <c r="R50" s="63"/>
      <c r="S50" s="63"/>
      <c r="T50" s="63"/>
      <c r="U50" s="63"/>
      <c r="V50" s="63"/>
      <c r="W50" s="258"/>
      <c r="X50" s="264"/>
    </row>
    <row r="51" spans="1:24" x14ac:dyDescent="0.25">
      <c r="A51" s="257">
        <v>45</v>
      </c>
      <c r="B51" s="258" t="s">
        <v>265</v>
      </c>
      <c r="C51" s="268" t="s">
        <v>106</v>
      </c>
      <c r="D51" s="260">
        <v>155</v>
      </c>
      <c r="E51" s="261">
        <v>3636</v>
      </c>
      <c r="F51" s="250">
        <v>390</v>
      </c>
      <c r="G51" s="251"/>
      <c r="H51" s="251"/>
      <c r="I51" s="251"/>
      <c r="J51" s="251">
        <f t="shared" si="1"/>
        <v>390</v>
      </c>
      <c r="K51" s="252">
        <f t="shared" si="0"/>
        <v>4181</v>
      </c>
      <c r="L51" s="262">
        <v>40</v>
      </c>
      <c r="M51" s="263">
        <v>876</v>
      </c>
      <c r="N51" s="263">
        <v>2590</v>
      </c>
      <c r="O51" s="263">
        <v>478</v>
      </c>
      <c r="P51" s="255">
        <f t="shared" si="2"/>
        <v>3984</v>
      </c>
      <c r="Q51" s="266"/>
      <c r="R51" s="63"/>
      <c r="S51" s="63"/>
      <c r="T51" s="63"/>
      <c r="U51" s="63"/>
      <c r="V51" s="63"/>
      <c r="W51" s="258"/>
      <c r="X51" s="264"/>
    </row>
    <row r="52" spans="1:24" x14ac:dyDescent="0.25">
      <c r="A52" s="257">
        <v>46</v>
      </c>
      <c r="B52" s="258" t="s">
        <v>266</v>
      </c>
      <c r="C52" s="268" t="s">
        <v>59</v>
      </c>
      <c r="D52" s="260">
        <v>65</v>
      </c>
      <c r="E52" s="261">
        <v>907</v>
      </c>
      <c r="F52" s="250">
        <v>98</v>
      </c>
      <c r="G52" s="251"/>
      <c r="H52" s="251"/>
      <c r="I52" s="251"/>
      <c r="J52" s="251">
        <f t="shared" si="1"/>
        <v>98</v>
      </c>
      <c r="K52" s="252">
        <f t="shared" si="0"/>
        <v>1070</v>
      </c>
      <c r="L52" s="262"/>
      <c r="M52" s="263"/>
      <c r="N52" s="263"/>
      <c r="O52" s="263"/>
      <c r="P52" s="255">
        <f t="shared" si="2"/>
        <v>0</v>
      </c>
      <c r="Q52" s="266"/>
      <c r="R52" s="63"/>
      <c r="S52" s="63"/>
      <c r="T52" s="63"/>
      <c r="U52" s="63"/>
      <c r="V52" s="63"/>
      <c r="W52" s="258"/>
      <c r="X52" s="264"/>
    </row>
    <row r="53" spans="1:24" x14ac:dyDescent="0.25">
      <c r="A53" s="257">
        <v>47</v>
      </c>
      <c r="B53" s="258" t="s">
        <v>267</v>
      </c>
      <c r="C53" s="268" t="s">
        <v>155</v>
      </c>
      <c r="D53" s="260"/>
      <c r="E53" s="261">
        <v>727</v>
      </c>
      <c r="F53" s="250">
        <v>78</v>
      </c>
      <c r="G53" s="251"/>
      <c r="H53" s="251"/>
      <c r="I53" s="251"/>
      <c r="J53" s="251">
        <f t="shared" si="1"/>
        <v>78</v>
      </c>
      <c r="K53" s="252">
        <f t="shared" si="0"/>
        <v>805</v>
      </c>
      <c r="L53" s="262"/>
      <c r="M53" s="263"/>
      <c r="N53" s="263"/>
      <c r="O53" s="263"/>
      <c r="P53" s="255">
        <f t="shared" si="2"/>
        <v>0</v>
      </c>
      <c r="Q53" s="266"/>
      <c r="R53" s="63"/>
      <c r="S53" s="63"/>
      <c r="T53" s="63"/>
      <c r="U53" s="63"/>
      <c r="V53" s="63"/>
      <c r="W53" s="258"/>
      <c r="X53" s="264"/>
    </row>
    <row r="54" spans="1:24" x14ac:dyDescent="0.25">
      <c r="A54" s="257">
        <v>48</v>
      </c>
      <c r="B54" s="258" t="s">
        <v>268</v>
      </c>
      <c r="C54" s="268" t="s">
        <v>154</v>
      </c>
      <c r="D54" s="260">
        <v>39</v>
      </c>
      <c r="E54" s="261">
        <v>884</v>
      </c>
      <c r="F54" s="250"/>
      <c r="G54" s="251"/>
      <c r="H54" s="251"/>
      <c r="I54" s="251"/>
      <c r="J54" s="251">
        <f t="shared" si="1"/>
        <v>0</v>
      </c>
      <c r="K54" s="252">
        <f t="shared" si="0"/>
        <v>923</v>
      </c>
      <c r="L54" s="262"/>
      <c r="M54" s="263"/>
      <c r="N54" s="263"/>
      <c r="O54" s="263"/>
      <c r="P54" s="255">
        <f t="shared" si="2"/>
        <v>0</v>
      </c>
      <c r="Q54" s="266"/>
      <c r="R54" s="63"/>
      <c r="S54" s="63"/>
      <c r="T54" s="63"/>
      <c r="U54" s="63"/>
      <c r="V54" s="63"/>
      <c r="W54" s="258"/>
      <c r="X54" s="264"/>
    </row>
    <row r="55" spans="1:24" x14ac:dyDescent="0.25">
      <c r="A55" s="257">
        <v>49</v>
      </c>
      <c r="B55" s="258" t="s">
        <v>270</v>
      </c>
      <c r="C55" s="268" t="s">
        <v>152</v>
      </c>
      <c r="D55" s="260"/>
      <c r="E55" s="261">
        <v>611</v>
      </c>
      <c r="F55" s="250"/>
      <c r="G55" s="251"/>
      <c r="H55" s="251"/>
      <c r="I55" s="251"/>
      <c r="J55" s="251">
        <f t="shared" si="1"/>
        <v>0</v>
      </c>
      <c r="K55" s="252">
        <f t="shared" si="0"/>
        <v>611</v>
      </c>
      <c r="L55" s="262"/>
      <c r="M55" s="263"/>
      <c r="N55" s="263"/>
      <c r="O55" s="263"/>
      <c r="P55" s="255">
        <f t="shared" si="2"/>
        <v>0</v>
      </c>
      <c r="Q55" s="266"/>
      <c r="R55" s="63"/>
      <c r="S55" s="63"/>
      <c r="T55" s="63"/>
      <c r="U55" s="63"/>
      <c r="V55" s="63"/>
      <c r="W55" s="258"/>
      <c r="X55" s="264"/>
    </row>
    <row r="56" spans="1:24" ht="12" customHeight="1" x14ac:dyDescent="0.25">
      <c r="A56" s="245">
        <v>50</v>
      </c>
      <c r="B56" s="258" t="s">
        <v>271</v>
      </c>
      <c r="C56" s="259" t="s">
        <v>151</v>
      </c>
      <c r="D56" s="260">
        <v>57</v>
      </c>
      <c r="E56" s="261">
        <v>1303</v>
      </c>
      <c r="F56" s="250">
        <v>140</v>
      </c>
      <c r="G56" s="251"/>
      <c r="H56" s="251"/>
      <c r="I56" s="251"/>
      <c r="J56" s="251">
        <f t="shared" si="1"/>
        <v>140</v>
      </c>
      <c r="K56" s="252">
        <f t="shared" si="0"/>
        <v>1500</v>
      </c>
      <c r="L56" s="262"/>
      <c r="M56" s="263"/>
      <c r="N56" s="263"/>
      <c r="O56" s="263"/>
      <c r="P56" s="255">
        <f t="shared" si="2"/>
        <v>0</v>
      </c>
      <c r="Q56" s="266"/>
      <c r="R56" s="63"/>
      <c r="S56" s="63"/>
      <c r="T56" s="63"/>
      <c r="U56" s="63"/>
      <c r="V56" s="63"/>
      <c r="W56" s="258"/>
      <c r="X56" s="264"/>
    </row>
    <row r="57" spans="1:24" ht="12" customHeight="1" x14ac:dyDescent="0.25">
      <c r="A57" s="245">
        <v>51</v>
      </c>
      <c r="B57" s="258" t="s">
        <v>272</v>
      </c>
      <c r="C57" s="259" t="s">
        <v>150</v>
      </c>
      <c r="D57" s="260">
        <v>27</v>
      </c>
      <c r="E57" s="261">
        <v>650</v>
      </c>
      <c r="F57" s="250"/>
      <c r="G57" s="251"/>
      <c r="H57" s="251"/>
      <c r="I57" s="251"/>
      <c r="J57" s="251">
        <f t="shared" si="1"/>
        <v>0</v>
      </c>
      <c r="K57" s="252">
        <f t="shared" si="0"/>
        <v>677</v>
      </c>
      <c r="L57" s="262"/>
      <c r="M57" s="263"/>
      <c r="N57" s="263"/>
      <c r="O57" s="263"/>
      <c r="P57" s="255">
        <f t="shared" si="2"/>
        <v>0</v>
      </c>
      <c r="Q57" s="266"/>
      <c r="R57" s="63"/>
      <c r="S57" s="63"/>
      <c r="T57" s="63"/>
      <c r="U57" s="63"/>
      <c r="V57" s="63"/>
      <c r="W57" s="258"/>
      <c r="X57" s="264"/>
    </row>
    <row r="58" spans="1:24" ht="12" customHeight="1" x14ac:dyDescent="0.25">
      <c r="A58" s="245">
        <v>52</v>
      </c>
      <c r="B58" s="258" t="s">
        <v>273</v>
      </c>
      <c r="C58" s="259" t="s">
        <v>149</v>
      </c>
      <c r="D58" s="260">
        <v>49</v>
      </c>
      <c r="E58" s="261">
        <v>1135</v>
      </c>
      <c r="F58" s="250"/>
      <c r="G58" s="251"/>
      <c r="H58" s="251"/>
      <c r="I58" s="251"/>
      <c r="J58" s="251">
        <f t="shared" si="1"/>
        <v>0</v>
      </c>
      <c r="K58" s="252">
        <f t="shared" si="0"/>
        <v>1184</v>
      </c>
      <c r="L58" s="262"/>
      <c r="M58" s="263"/>
      <c r="N58" s="263"/>
      <c r="O58" s="263"/>
      <c r="P58" s="255">
        <f t="shared" si="2"/>
        <v>0</v>
      </c>
      <c r="Q58" s="266"/>
      <c r="R58" s="63"/>
      <c r="S58" s="63"/>
      <c r="T58" s="63"/>
      <c r="U58" s="63"/>
      <c r="V58" s="63"/>
      <c r="W58" s="258"/>
      <c r="X58" s="264"/>
    </row>
    <row r="59" spans="1:24" ht="12" customHeight="1" x14ac:dyDescent="0.25">
      <c r="A59" s="257">
        <v>53</v>
      </c>
      <c r="B59" s="258" t="s">
        <v>274</v>
      </c>
      <c r="C59" s="259" t="s">
        <v>101</v>
      </c>
      <c r="D59" s="260"/>
      <c r="E59" s="261">
        <v>4280</v>
      </c>
      <c r="F59" s="250">
        <v>460</v>
      </c>
      <c r="G59" s="251"/>
      <c r="H59" s="251"/>
      <c r="I59" s="251"/>
      <c r="J59" s="251">
        <f t="shared" si="1"/>
        <v>460</v>
      </c>
      <c r="K59" s="252">
        <f t="shared" si="0"/>
        <v>4740</v>
      </c>
      <c r="L59" s="262">
        <v>64</v>
      </c>
      <c r="M59" s="263">
        <v>1406</v>
      </c>
      <c r="N59" s="263">
        <v>4154</v>
      </c>
      <c r="O59" s="263">
        <v>767</v>
      </c>
      <c r="P59" s="255">
        <f t="shared" si="2"/>
        <v>6391</v>
      </c>
      <c r="Q59" s="266"/>
      <c r="R59" s="63"/>
      <c r="S59" s="63"/>
      <c r="T59" s="63"/>
      <c r="U59" s="63"/>
      <c r="V59" s="63"/>
      <c r="W59" s="258"/>
      <c r="X59" s="264"/>
    </row>
    <row r="60" spans="1:24" x14ac:dyDescent="0.25">
      <c r="A60" s="257">
        <v>54</v>
      </c>
      <c r="B60" s="258" t="s">
        <v>277</v>
      </c>
      <c r="C60" s="268" t="s">
        <v>104</v>
      </c>
      <c r="D60" s="260">
        <v>145</v>
      </c>
      <c r="E60" s="261">
        <v>1987</v>
      </c>
      <c r="F60" s="250">
        <v>214</v>
      </c>
      <c r="G60" s="251">
        <v>120</v>
      </c>
      <c r="H60" s="251"/>
      <c r="I60" s="251"/>
      <c r="J60" s="251">
        <f t="shared" si="1"/>
        <v>334</v>
      </c>
      <c r="K60" s="252">
        <f t="shared" si="0"/>
        <v>2466</v>
      </c>
      <c r="L60" s="262">
        <v>31</v>
      </c>
      <c r="M60" s="263">
        <v>672</v>
      </c>
      <c r="N60" s="263">
        <v>1986</v>
      </c>
      <c r="O60" s="263">
        <v>367</v>
      </c>
      <c r="P60" s="255">
        <f t="shared" si="2"/>
        <v>3056</v>
      </c>
      <c r="Q60" s="266"/>
      <c r="R60" s="63"/>
      <c r="S60" s="63"/>
      <c r="T60" s="63"/>
      <c r="U60" s="63"/>
      <c r="V60" s="63"/>
      <c r="W60" s="258"/>
      <c r="X60" s="264"/>
    </row>
    <row r="61" spans="1:24" ht="12" customHeight="1" x14ac:dyDescent="0.25">
      <c r="A61" s="257">
        <v>55</v>
      </c>
      <c r="B61" s="258" t="s">
        <v>278</v>
      </c>
      <c r="C61" s="268" t="s">
        <v>147</v>
      </c>
      <c r="D61" s="260">
        <v>41</v>
      </c>
      <c r="E61" s="261">
        <v>953</v>
      </c>
      <c r="F61" s="250">
        <v>102</v>
      </c>
      <c r="G61" s="251"/>
      <c r="H61" s="251"/>
      <c r="I61" s="251"/>
      <c r="J61" s="251">
        <f t="shared" si="1"/>
        <v>102</v>
      </c>
      <c r="K61" s="252">
        <f t="shared" si="0"/>
        <v>1096</v>
      </c>
      <c r="L61" s="262"/>
      <c r="M61" s="263"/>
      <c r="N61" s="263"/>
      <c r="O61" s="263"/>
      <c r="P61" s="255">
        <f t="shared" si="2"/>
        <v>0</v>
      </c>
      <c r="Q61" s="266"/>
      <c r="R61" s="63"/>
      <c r="S61" s="63"/>
      <c r="T61" s="63"/>
      <c r="U61" s="63"/>
      <c r="V61" s="63"/>
      <c r="W61" s="258"/>
      <c r="X61" s="264"/>
    </row>
    <row r="62" spans="1:24" ht="12" customHeight="1" x14ac:dyDescent="0.25">
      <c r="A62" s="257">
        <v>56</v>
      </c>
      <c r="B62" s="258" t="s">
        <v>279</v>
      </c>
      <c r="C62" s="268" t="s">
        <v>146</v>
      </c>
      <c r="D62" s="260">
        <v>68</v>
      </c>
      <c r="E62" s="261">
        <v>1586</v>
      </c>
      <c r="F62" s="250">
        <v>170</v>
      </c>
      <c r="G62" s="251"/>
      <c r="H62" s="251"/>
      <c r="I62" s="251"/>
      <c r="J62" s="251">
        <f t="shared" si="1"/>
        <v>170</v>
      </c>
      <c r="K62" s="252">
        <f t="shared" si="0"/>
        <v>1824</v>
      </c>
      <c r="L62" s="262"/>
      <c r="M62" s="263"/>
      <c r="N62" s="263"/>
      <c r="O62" s="263"/>
      <c r="P62" s="255">
        <f t="shared" si="2"/>
        <v>0</v>
      </c>
      <c r="Q62" s="266"/>
      <c r="R62" s="63"/>
      <c r="S62" s="63"/>
      <c r="T62" s="63"/>
      <c r="U62" s="63"/>
      <c r="V62" s="63"/>
      <c r="W62" s="258"/>
      <c r="X62" s="264"/>
    </row>
    <row r="63" spans="1:24" ht="12" customHeight="1" x14ac:dyDescent="0.25">
      <c r="A63" s="257">
        <v>57</v>
      </c>
      <c r="B63" s="258" t="s">
        <v>280</v>
      </c>
      <c r="C63" s="268" t="s">
        <v>145</v>
      </c>
      <c r="D63" s="260"/>
      <c r="E63" s="261">
        <v>715</v>
      </c>
      <c r="F63" s="250">
        <v>77</v>
      </c>
      <c r="G63" s="251"/>
      <c r="H63" s="251"/>
      <c r="I63" s="251"/>
      <c r="J63" s="251">
        <f t="shared" si="1"/>
        <v>77</v>
      </c>
      <c r="K63" s="252">
        <f t="shared" si="0"/>
        <v>792</v>
      </c>
      <c r="L63" s="262"/>
      <c r="M63" s="263"/>
      <c r="N63" s="263"/>
      <c r="O63" s="263"/>
      <c r="P63" s="255">
        <f t="shared" si="2"/>
        <v>0</v>
      </c>
      <c r="Q63" s="266"/>
      <c r="R63" s="63"/>
      <c r="S63" s="63"/>
      <c r="T63" s="63"/>
      <c r="U63" s="63"/>
      <c r="V63" s="63"/>
      <c r="W63" s="258"/>
      <c r="X63" s="264"/>
    </row>
    <row r="64" spans="1:24" ht="12" customHeight="1" x14ac:dyDescent="0.25">
      <c r="A64" s="257">
        <v>58</v>
      </c>
      <c r="B64" s="258" t="s">
        <v>281</v>
      </c>
      <c r="C64" s="268" t="s">
        <v>144</v>
      </c>
      <c r="D64" s="260"/>
      <c r="E64" s="261">
        <v>750</v>
      </c>
      <c r="F64" s="250"/>
      <c r="G64" s="251"/>
      <c r="H64" s="251"/>
      <c r="I64" s="251"/>
      <c r="J64" s="251">
        <f t="shared" si="1"/>
        <v>0</v>
      </c>
      <c r="K64" s="252">
        <f t="shared" si="0"/>
        <v>750</v>
      </c>
      <c r="L64" s="262"/>
      <c r="M64" s="263"/>
      <c r="N64" s="263"/>
      <c r="O64" s="263"/>
      <c r="P64" s="255">
        <f t="shared" si="2"/>
        <v>0</v>
      </c>
      <c r="Q64" s="266"/>
      <c r="R64" s="63"/>
      <c r="S64" s="63"/>
      <c r="T64" s="63"/>
      <c r="U64" s="63"/>
      <c r="V64" s="63"/>
      <c r="W64" s="258"/>
      <c r="X64" s="264"/>
    </row>
    <row r="65" spans="1:24" x14ac:dyDescent="0.25">
      <c r="A65" s="257">
        <v>59</v>
      </c>
      <c r="B65" s="258" t="s">
        <v>282</v>
      </c>
      <c r="C65" s="273" t="s">
        <v>143</v>
      </c>
      <c r="D65" s="266">
        <v>65</v>
      </c>
      <c r="E65" s="267">
        <v>1491</v>
      </c>
      <c r="F65" s="250">
        <v>160</v>
      </c>
      <c r="G65" s="251"/>
      <c r="H65" s="251"/>
      <c r="I65" s="251"/>
      <c r="J65" s="251">
        <f t="shared" si="1"/>
        <v>160</v>
      </c>
      <c r="K65" s="252">
        <f t="shared" si="0"/>
        <v>1716</v>
      </c>
      <c r="L65" s="262"/>
      <c r="M65" s="263"/>
      <c r="N65" s="263"/>
      <c r="O65" s="263"/>
      <c r="P65" s="255">
        <f t="shared" si="2"/>
        <v>0</v>
      </c>
      <c r="Q65" s="266"/>
      <c r="R65" s="63"/>
      <c r="S65" s="63"/>
      <c r="T65" s="63"/>
      <c r="U65" s="63"/>
      <c r="V65" s="63"/>
      <c r="W65" s="258"/>
      <c r="X65" s="264"/>
    </row>
    <row r="66" spans="1:24" x14ac:dyDescent="0.25">
      <c r="A66" s="257">
        <v>60</v>
      </c>
      <c r="B66" s="258" t="s">
        <v>305</v>
      </c>
      <c r="C66" s="265" t="s">
        <v>306</v>
      </c>
      <c r="D66" s="266">
        <v>30</v>
      </c>
      <c r="E66" s="267">
        <v>692</v>
      </c>
      <c r="F66" s="250">
        <v>74</v>
      </c>
      <c r="G66" s="251"/>
      <c r="H66" s="251"/>
      <c r="I66" s="251"/>
      <c r="J66" s="251">
        <f t="shared" si="1"/>
        <v>74</v>
      </c>
      <c r="K66" s="252">
        <f t="shared" si="0"/>
        <v>796</v>
      </c>
      <c r="L66" s="262">
        <v>8</v>
      </c>
      <c r="M66" s="263">
        <v>172</v>
      </c>
      <c r="N66" s="263">
        <v>509</v>
      </c>
      <c r="O66" s="263">
        <v>94</v>
      </c>
      <c r="P66" s="255">
        <f t="shared" si="2"/>
        <v>783</v>
      </c>
      <c r="Q66" s="266"/>
      <c r="R66" s="63"/>
      <c r="S66" s="63"/>
      <c r="T66" s="63"/>
      <c r="U66" s="63"/>
      <c r="V66" s="63"/>
      <c r="W66" s="258"/>
      <c r="X66" s="264"/>
    </row>
    <row r="67" spans="1:24" x14ac:dyDescent="0.25">
      <c r="A67" s="257">
        <v>61</v>
      </c>
      <c r="B67" s="258" t="s">
        <v>325</v>
      </c>
      <c r="C67" s="268" t="s">
        <v>521</v>
      </c>
      <c r="D67" s="260"/>
      <c r="E67" s="261">
        <v>473</v>
      </c>
      <c r="F67" s="250">
        <v>51</v>
      </c>
      <c r="G67" s="251"/>
      <c r="H67" s="251"/>
      <c r="I67" s="251"/>
      <c r="J67" s="251">
        <f t="shared" si="1"/>
        <v>51</v>
      </c>
      <c r="K67" s="252">
        <f t="shared" si="0"/>
        <v>524</v>
      </c>
      <c r="L67" s="262"/>
      <c r="M67" s="263"/>
      <c r="N67" s="263"/>
      <c r="O67" s="263"/>
      <c r="P67" s="255">
        <f t="shared" si="2"/>
        <v>0</v>
      </c>
      <c r="Q67" s="266"/>
      <c r="R67" s="63"/>
      <c r="S67" s="63"/>
      <c r="T67" s="63"/>
      <c r="U67" s="63"/>
      <c r="V67" s="63"/>
      <c r="W67" s="258"/>
      <c r="X67" s="264"/>
    </row>
    <row r="68" spans="1:24" ht="15.75" customHeight="1" x14ac:dyDescent="0.25">
      <c r="A68" s="257">
        <v>62</v>
      </c>
      <c r="B68" s="258" t="s">
        <v>323</v>
      </c>
      <c r="C68" s="268" t="s">
        <v>522</v>
      </c>
      <c r="D68" s="260"/>
      <c r="E68" s="261">
        <v>287</v>
      </c>
      <c r="F68" s="250"/>
      <c r="G68" s="251"/>
      <c r="H68" s="251"/>
      <c r="I68" s="251"/>
      <c r="J68" s="251">
        <f t="shared" si="1"/>
        <v>0</v>
      </c>
      <c r="K68" s="252">
        <f t="shared" si="0"/>
        <v>287</v>
      </c>
      <c r="L68" s="262"/>
      <c r="M68" s="263"/>
      <c r="N68" s="263"/>
      <c r="O68" s="263"/>
      <c r="P68" s="255">
        <f t="shared" si="2"/>
        <v>0</v>
      </c>
      <c r="Q68" s="266"/>
      <c r="R68" s="63"/>
      <c r="S68" s="63"/>
      <c r="T68" s="63"/>
      <c r="U68" s="63"/>
      <c r="V68" s="63"/>
      <c r="W68" s="258"/>
      <c r="X68" s="264"/>
    </row>
    <row r="69" spans="1:24" x14ac:dyDescent="0.25">
      <c r="A69" s="257">
        <v>63</v>
      </c>
      <c r="B69" s="258" t="s">
        <v>329</v>
      </c>
      <c r="C69" s="274" t="s">
        <v>487</v>
      </c>
      <c r="D69" s="260">
        <v>84</v>
      </c>
      <c r="E69" s="261">
        <v>1825</v>
      </c>
      <c r="F69" s="250">
        <v>131</v>
      </c>
      <c r="G69" s="251">
        <v>164</v>
      </c>
      <c r="H69" s="251">
        <v>29</v>
      </c>
      <c r="I69" s="251">
        <v>34</v>
      </c>
      <c r="J69" s="251">
        <f t="shared" si="1"/>
        <v>358</v>
      </c>
      <c r="K69" s="252">
        <f t="shared" si="0"/>
        <v>2267</v>
      </c>
      <c r="L69" s="262"/>
      <c r="M69" s="263"/>
      <c r="N69" s="263"/>
      <c r="O69" s="263"/>
      <c r="P69" s="255">
        <f t="shared" si="2"/>
        <v>0</v>
      </c>
      <c r="Q69" s="266"/>
      <c r="R69" s="63"/>
      <c r="S69" s="63"/>
      <c r="T69" s="63"/>
      <c r="U69" s="63"/>
      <c r="V69" s="63"/>
      <c r="W69" s="258"/>
      <c r="X69" s="264"/>
    </row>
    <row r="70" spans="1:24" x14ac:dyDescent="0.25">
      <c r="A70" s="257">
        <v>64</v>
      </c>
      <c r="B70" s="258" t="s">
        <v>327</v>
      </c>
      <c r="C70" s="268" t="s">
        <v>523</v>
      </c>
      <c r="D70" s="260"/>
      <c r="E70" s="261">
        <v>358</v>
      </c>
      <c r="F70" s="250"/>
      <c r="G70" s="251"/>
      <c r="H70" s="251"/>
      <c r="I70" s="251"/>
      <c r="J70" s="251">
        <f t="shared" si="1"/>
        <v>0</v>
      </c>
      <c r="K70" s="252">
        <f t="shared" ref="K70:K104" si="3">D70+E70+J70</f>
        <v>358</v>
      </c>
      <c r="L70" s="262"/>
      <c r="M70" s="263"/>
      <c r="N70" s="263"/>
      <c r="O70" s="263"/>
      <c r="P70" s="255">
        <f t="shared" si="2"/>
        <v>0</v>
      </c>
      <c r="Q70" s="266"/>
      <c r="R70" s="63"/>
      <c r="S70" s="63"/>
      <c r="T70" s="63"/>
      <c r="U70" s="63"/>
      <c r="V70" s="63"/>
      <c r="W70" s="258"/>
      <c r="X70" s="264"/>
    </row>
    <row r="71" spans="1:24" ht="13.5" customHeight="1" x14ac:dyDescent="0.25">
      <c r="A71" s="257">
        <v>65</v>
      </c>
      <c r="B71" s="258" t="s">
        <v>330</v>
      </c>
      <c r="C71" s="265" t="s">
        <v>524</v>
      </c>
      <c r="D71" s="266"/>
      <c r="E71" s="267">
        <v>1621</v>
      </c>
      <c r="F71" s="250"/>
      <c r="G71" s="251"/>
      <c r="H71" s="251"/>
      <c r="I71" s="251"/>
      <c r="J71" s="251">
        <f t="shared" si="1"/>
        <v>0</v>
      </c>
      <c r="K71" s="252">
        <f t="shared" si="3"/>
        <v>1621</v>
      </c>
      <c r="L71" s="262"/>
      <c r="M71" s="263"/>
      <c r="N71" s="263"/>
      <c r="O71" s="263"/>
      <c r="P71" s="255">
        <f t="shared" si="2"/>
        <v>0</v>
      </c>
      <c r="Q71" s="266"/>
      <c r="R71" s="63"/>
      <c r="S71" s="63"/>
      <c r="T71" s="63"/>
      <c r="U71" s="63"/>
      <c r="V71" s="63"/>
      <c r="W71" s="258"/>
      <c r="X71" s="264"/>
    </row>
    <row r="72" spans="1:24" ht="13.5" customHeight="1" x14ac:dyDescent="0.25">
      <c r="A72" s="257">
        <v>66</v>
      </c>
      <c r="B72" s="258" t="s">
        <v>332</v>
      </c>
      <c r="C72" s="265" t="s">
        <v>525</v>
      </c>
      <c r="D72" s="266"/>
      <c r="E72" s="267">
        <v>1385</v>
      </c>
      <c r="F72" s="250"/>
      <c r="G72" s="251"/>
      <c r="H72" s="251"/>
      <c r="I72" s="251"/>
      <c r="J72" s="251">
        <f t="shared" ref="J72:J104" si="4">SUM(F72:I72)</f>
        <v>0</v>
      </c>
      <c r="K72" s="252">
        <f t="shared" si="3"/>
        <v>1385</v>
      </c>
      <c r="L72" s="262"/>
      <c r="M72" s="263"/>
      <c r="N72" s="263"/>
      <c r="O72" s="263"/>
      <c r="P72" s="255">
        <f t="shared" ref="P72:P104" si="5">SUM(L72:O72)</f>
        <v>0</v>
      </c>
      <c r="Q72" s="266"/>
      <c r="R72" s="63"/>
      <c r="S72" s="63"/>
      <c r="T72" s="63"/>
      <c r="U72" s="63"/>
      <c r="V72" s="63"/>
      <c r="W72" s="258"/>
      <c r="X72" s="264"/>
    </row>
    <row r="73" spans="1:24" ht="13.5" customHeight="1" x14ac:dyDescent="0.25">
      <c r="A73" s="257">
        <v>67</v>
      </c>
      <c r="B73" s="258" t="s">
        <v>334</v>
      </c>
      <c r="C73" s="265" t="s">
        <v>526</v>
      </c>
      <c r="D73" s="266"/>
      <c r="E73" s="267">
        <v>1909</v>
      </c>
      <c r="F73" s="250"/>
      <c r="G73" s="251"/>
      <c r="H73" s="251"/>
      <c r="I73" s="251"/>
      <c r="J73" s="251">
        <f t="shared" si="4"/>
        <v>0</v>
      </c>
      <c r="K73" s="252">
        <f t="shared" si="3"/>
        <v>1909</v>
      </c>
      <c r="L73" s="262"/>
      <c r="M73" s="263"/>
      <c r="N73" s="263"/>
      <c r="O73" s="263"/>
      <c r="P73" s="255">
        <f t="shared" si="5"/>
        <v>0</v>
      </c>
      <c r="Q73" s="266"/>
      <c r="R73" s="63"/>
      <c r="S73" s="63"/>
      <c r="T73" s="63"/>
      <c r="U73" s="63"/>
      <c r="V73" s="63"/>
      <c r="W73" s="258"/>
      <c r="X73" s="264"/>
    </row>
    <row r="74" spans="1:24" ht="13.5" customHeight="1" x14ac:dyDescent="0.25">
      <c r="A74" s="257">
        <v>68</v>
      </c>
      <c r="B74" s="258" t="s">
        <v>336</v>
      </c>
      <c r="C74" s="265" t="s">
        <v>527</v>
      </c>
      <c r="D74" s="266"/>
      <c r="E74" s="267">
        <v>2326</v>
      </c>
      <c r="F74" s="250"/>
      <c r="G74" s="251"/>
      <c r="H74" s="251"/>
      <c r="I74" s="251"/>
      <c r="J74" s="251">
        <f t="shared" si="4"/>
        <v>0</v>
      </c>
      <c r="K74" s="252">
        <f t="shared" si="3"/>
        <v>2326</v>
      </c>
      <c r="L74" s="262"/>
      <c r="M74" s="263"/>
      <c r="N74" s="263"/>
      <c r="O74" s="263"/>
      <c r="P74" s="255">
        <f t="shared" si="5"/>
        <v>0</v>
      </c>
      <c r="Q74" s="266"/>
      <c r="R74" s="63"/>
      <c r="S74" s="63"/>
      <c r="T74" s="63"/>
      <c r="U74" s="63"/>
      <c r="V74" s="63"/>
      <c r="W74" s="258"/>
      <c r="X74" s="264"/>
    </row>
    <row r="75" spans="1:24" ht="13.5" customHeight="1" x14ac:dyDescent="0.25">
      <c r="A75" s="257">
        <v>69</v>
      </c>
      <c r="B75" s="258" t="s">
        <v>338</v>
      </c>
      <c r="C75" s="265" t="s">
        <v>528</v>
      </c>
      <c r="D75" s="266"/>
      <c r="E75" s="267">
        <v>870</v>
      </c>
      <c r="F75" s="250"/>
      <c r="G75" s="251"/>
      <c r="H75" s="251"/>
      <c r="I75" s="251"/>
      <c r="J75" s="251">
        <f t="shared" si="4"/>
        <v>0</v>
      </c>
      <c r="K75" s="252">
        <f t="shared" si="3"/>
        <v>870</v>
      </c>
      <c r="L75" s="262"/>
      <c r="M75" s="263"/>
      <c r="N75" s="263"/>
      <c r="O75" s="263"/>
      <c r="P75" s="255">
        <f t="shared" si="5"/>
        <v>0</v>
      </c>
      <c r="Q75" s="266"/>
      <c r="R75" s="63"/>
      <c r="S75" s="63"/>
      <c r="T75" s="63"/>
      <c r="U75" s="63"/>
      <c r="V75" s="63"/>
      <c r="W75" s="258"/>
      <c r="X75" s="264"/>
    </row>
    <row r="76" spans="1:24" x14ac:dyDescent="0.25">
      <c r="A76" s="257">
        <v>70</v>
      </c>
      <c r="B76" s="258" t="s">
        <v>340</v>
      </c>
      <c r="C76" s="268" t="s">
        <v>529</v>
      </c>
      <c r="D76" s="260"/>
      <c r="E76" s="261">
        <v>2997</v>
      </c>
      <c r="F76" s="250"/>
      <c r="G76" s="251"/>
      <c r="H76" s="251"/>
      <c r="I76" s="251"/>
      <c r="J76" s="251">
        <f t="shared" si="4"/>
        <v>0</v>
      </c>
      <c r="K76" s="252">
        <f t="shared" si="3"/>
        <v>2997</v>
      </c>
      <c r="L76" s="262"/>
      <c r="M76" s="263"/>
      <c r="N76" s="263"/>
      <c r="O76" s="263"/>
      <c r="P76" s="255">
        <f t="shared" si="5"/>
        <v>0</v>
      </c>
      <c r="Q76" s="266"/>
      <c r="R76" s="63"/>
      <c r="S76" s="63"/>
      <c r="T76" s="63"/>
      <c r="U76" s="63"/>
      <c r="V76" s="63"/>
      <c r="W76" s="258"/>
      <c r="X76" s="264"/>
    </row>
    <row r="77" spans="1:24" x14ac:dyDescent="0.25">
      <c r="A77" s="257">
        <v>71</v>
      </c>
      <c r="B77" s="258" t="s">
        <v>342</v>
      </c>
      <c r="C77" s="268" t="s">
        <v>530</v>
      </c>
      <c r="D77" s="260"/>
      <c r="E77" s="261">
        <v>1937</v>
      </c>
      <c r="F77" s="250"/>
      <c r="G77" s="251"/>
      <c r="H77" s="251"/>
      <c r="I77" s="251"/>
      <c r="J77" s="251">
        <f t="shared" si="4"/>
        <v>0</v>
      </c>
      <c r="K77" s="252">
        <f t="shared" si="3"/>
        <v>1937</v>
      </c>
      <c r="L77" s="262"/>
      <c r="M77" s="263"/>
      <c r="N77" s="263"/>
      <c r="O77" s="263"/>
      <c r="P77" s="255">
        <f t="shared" si="5"/>
        <v>0</v>
      </c>
      <c r="Q77" s="266"/>
      <c r="R77" s="63"/>
      <c r="S77" s="63"/>
      <c r="T77" s="63"/>
      <c r="U77" s="63"/>
      <c r="V77" s="63"/>
      <c r="W77" s="258"/>
      <c r="X77" s="264"/>
    </row>
    <row r="78" spans="1:24" x14ac:dyDescent="0.25">
      <c r="A78" s="257">
        <v>72</v>
      </c>
      <c r="B78" s="258" t="s">
        <v>344</v>
      </c>
      <c r="C78" s="268" t="s">
        <v>531</v>
      </c>
      <c r="D78" s="260"/>
      <c r="E78" s="261">
        <v>1867</v>
      </c>
      <c r="F78" s="250">
        <v>200</v>
      </c>
      <c r="G78" s="251"/>
      <c r="H78" s="251"/>
      <c r="I78" s="251"/>
      <c r="J78" s="251">
        <f t="shared" si="4"/>
        <v>200</v>
      </c>
      <c r="K78" s="252">
        <f t="shared" si="3"/>
        <v>2067</v>
      </c>
      <c r="L78" s="262"/>
      <c r="M78" s="263"/>
      <c r="N78" s="263"/>
      <c r="O78" s="263"/>
      <c r="P78" s="255">
        <f t="shared" si="5"/>
        <v>0</v>
      </c>
      <c r="Q78" s="266"/>
      <c r="R78" s="63"/>
      <c r="S78" s="63"/>
      <c r="T78" s="63"/>
      <c r="U78" s="63"/>
      <c r="V78" s="63"/>
      <c r="W78" s="258"/>
      <c r="X78" s="264"/>
    </row>
    <row r="79" spans="1:24" x14ac:dyDescent="0.25">
      <c r="A79" s="257">
        <v>73</v>
      </c>
      <c r="B79" s="258" t="s">
        <v>346</v>
      </c>
      <c r="C79" s="268" t="s">
        <v>532</v>
      </c>
      <c r="D79" s="260"/>
      <c r="E79" s="261">
        <v>1409</v>
      </c>
      <c r="F79" s="250"/>
      <c r="G79" s="251"/>
      <c r="H79" s="251"/>
      <c r="I79" s="251"/>
      <c r="J79" s="251">
        <f t="shared" si="4"/>
        <v>0</v>
      </c>
      <c r="K79" s="252">
        <f t="shared" si="3"/>
        <v>1409</v>
      </c>
      <c r="L79" s="262"/>
      <c r="M79" s="263"/>
      <c r="N79" s="263"/>
      <c r="O79" s="263"/>
      <c r="P79" s="255">
        <f t="shared" si="5"/>
        <v>0</v>
      </c>
      <c r="Q79" s="266"/>
      <c r="R79" s="63"/>
      <c r="S79" s="63"/>
      <c r="T79" s="63"/>
      <c r="U79" s="63"/>
      <c r="V79" s="63"/>
      <c r="W79" s="258"/>
      <c r="X79" s="264"/>
    </row>
    <row r="80" spans="1:24" x14ac:dyDescent="0.25">
      <c r="A80" s="257">
        <v>74</v>
      </c>
      <c r="B80" s="258" t="s">
        <v>348</v>
      </c>
      <c r="C80" s="268" t="s">
        <v>533</v>
      </c>
      <c r="D80" s="260"/>
      <c r="E80" s="261">
        <v>3669</v>
      </c>
      <c r="F80" s="250">
        <v>394</v>
      </c>
      <c r="G80" s="251"/>
      <c r="H80" s="251"/>
      <c r="I80" s="251"/>
      <c r="J80" s="251">
        <f t="shared" si="4"/>
        <v>394</v>
      </c>
      <c r="K80" s="252">
        <f t="shared" si="3"/>
        <v>4063</v>
      </c>
      <c r="L80" s="262"/>
      <c r="M80" s="263"/>
      <c r="N80" s="263"/>
      <c r="O80" s="263"/>
      <c r="P80" s="255">
        <f t="shared" si="5"/>
        <v>0</v>
      </c>
      <c r="Q80" s="266"/>
      <c r="R80" s="63"/>
      <c r="S80" s="63"/>
      <c r="T80" s="63"/>
      <c r="U80" s="63"/>
      <c r="V80" s="63"/>
      <c r="W80" s="258"/>
      <c r="X80" s="264"/>
    </row>
    <row r="81" spans="1:24" x14ac:dyDescent="0.25">
      <c r="A81" s="257">
        <v>75</v>
      </c>
      <c r="B81" s="258" t="s">
        <v>350</v>
      </c>
      <c r="C81" s="268" t="s">
        <v>534</v>
      </c>
      <c r="D81" s="260"/>
      <c r="E81" s="261">
        <v>975</v>
      </c>
      <c r="F81" s="250"/>
      <c r="G81" s="251"/>
      <c r="H81" s="251"/>
      <c r="I81" s="251"/>
      <c r="J81" s="251">
        <f t="shared" si="4"/>
        <v>0</v>
      </c>
      <c r="K81" s="252">
        <f t="shared" si="3"/>
        <v>975</v>
      </c>
      <c r="L81" s="262"/>
      <c r="M81" s="263"/>
      <c r="N81" s="263"/>
      <c r="O81" s="263"/>
      <c r="P81" s="255">
        <f t="shared" si="5"/>
        <v>0</v>
      </c>
      <c r="Q81" s="266"/>
      <c r="R81" s="63"/>
      <c r="S81" s="63"/>
      <c r="T81" s="63"/>
      <c r="U81" s="63"/>
      <c r="V81" s="63"/>
      <c r="W81" s="258"/>
      <c r="X81" s="264"/>
    </row>
    <row r="82" spans="1:24" x14ac:dyDescent="0.25">
      <c r="A82" s="257">
        <v>76</v>
      </c>
      <c r="B82" s="258" t="s">
        <v>352</v>
      </c>
      <c r="C82" s="268" t="s">
        <v>535</v>
      </c>
      <c r="D82" s="260"/>
      <c r="E82" s="261">
        <v>2115</v>
      </c>
      <c r="F82" s="250"/>
      <c r="G82" s="251"/>
      <c r="H82" s="251"/>
      <c r="I82" s="251"/>
      <c r="J82" s="251">
        <f t="shared" si="4"/>
        <v>0</v>
      </c>
      <c r="K82" s="252">
        <f t="shared" si="3"/>
        <v>2115</v>
      </c>
      <c r="L82" s="262"/>
      <c r="M82" s="263"/>
      <c r="N82" s="263"/>
      <c r="O82" s="263"/>
      <c r="P82" s="255">
        <f t="shared" si="5"/>
        <v>0</v>
      </c>
      <c r="Q82" s="266"/>
      <c r="R82" s="63"/>
      <c r="S82" s="63"/>
      <c r="T82" s="63"/>
      <c r="U82" s="63"/>
      <c r="V82" s="63"/>
      <c r="W82" s="258"/>
      <c r="X82" s="264"/>
    </row>
    <row r="83" spans="1:24" ht="12" customHeight="1" x14ac:dyDescent="0.25">
      <c r="A83" s="257">
        <v>77</v>
      </c>
      <c r="B83" s="258" t="s">
        <v>354</v>
      </c>
      <c r="C83" s="268" t="s">
        <v>536</v>
      </c>
      <c r="D83" s="260">
        <v>54</v>
      </c>
      <c r="E83" s="261">
        <v>1258</v>
      </c>
      <c r="F83" s="250">
        <v>362</v>
      </c>
      <c r="G83" s="251"/>
      <c r="H83" s="251"/>
      <c r="I83" s="251"/>
      <c r="J83" s="251">
        <f t="shared" si="4"/>
        <v>362</v>
      </c>
      <c r="K83" s="252">
        <f t="shared" si="3"/>
        <v>1674</v>
      </c>
      <c r="L83" s="262"/>
      <c r="M83" s="263"/>
      <c r="N83" s="263"/>
      <c r="O83" s="263"/>
      <c r="P83" s="255">
        <f t="shared" si="5"/>
        <v>0</v>
      </c>
      <c r="Q83" s="266"/>
      <c r="R83" s="63"/>
      <c r="S83" s="63"/>
      <c r="T83" s="63"/>
      <c r="U83" s="63"/>
      <c r="V83" s="63"/>
      <c r="W83" s="258"/>
      <c r="X83" s="264"/>
    </row>
    <row r="84" spans="1:24" ht="12" customHeight="1" x14ac:dyDescent="0.25">
      <c r="A84" s="257">
        <v>78</v>
      </c>
      <c r="B84" s="258" t="s">
        <v>356</v>
      </c>
      <c r="C84" s="259" t="s">
        <v>537</v>
      </c>
      <c r="D84" s="260">
        <v>155</v>
      </c>
      <c r="E84" s="261">
        <v>3581</v>
      </c>
      <c r="F84" s="250">
        <v>557</v>
      </c>
      <c r="G84" s="251"/>
      <c r="H84" s="251"/>
      <c r="I84" s="251"/>
      <c r="J84" s="251">
        <f t="shared" si="4"/>
        <v>557</v>
      </c>
      <c r="K84" s="252">
        <f t="shared" si="3"/>
        <v>4293</v>
      </c>
      <c r="L84" s="262"/>
      <c r="M84" s="263"/>
      <c r="N84" s="263"/>
      <c r="O84" s="263"/>
      <c r="P84" s="255">
        <f t="shared" si="5"/>
        <v>0</v>
      </c>
      <c r="Q84" s="266"/>
      <c r="R84" s="63"/>
      <c r="S84" s="63"/>
      <c r="T84" s="63"/>
      <c r="U84" s="63"/>
      <c r="V84" s="63"/>
      <c r="W84" s="258"/>
      <c r="X84" s="264"/>
    </row>
    <row r="85" spans="1:24" ht="12" customHeight="1" x14ac:dyDescent="0.25">
      <c r="A85" s="257">
        <v>79</v>
      </c>
      <c r="B85" s="258" t="s">
        <v>358</v>
      </c>
      <c r="C85" s="259" t="s">
        <v>538</v>
      </c>
      <c r="D85" s="260"/>
      <c r="E85" s="261">
        <v>1651</v>
      </c>
      <c r="F85" s="250">
        <v>177</v>
      </c>
      <c r="G85" s="251"/>
      <c r="H85" s="251"/>
      <c r="I85" s="251"/>
      <c r="J85" s="251">
        <f t="shared" si="4"/>
        <v>177</v>
      </c>
      <c r="K85" s="252">
        <f t="shared" si="3"/>
        <v>1828</v>
      </c>
      <c r="L85" s="262"/>
      <c r="M85" s="263"/>
      <c r="N85" s="263"/>
      <c r="O85" s="263"/>
      <c r="P85" s="255">
        <f t="shared" si="5"/>
        <v>0</v>
      </c>
      <c r="Q85" s="266"/>
      <c r="R85" s="63"/>
      <c r="S85" s="63"/>
      <c r="T85" s="63"/>
      <c r="U85" s="63"/>
      <c r="V85" s="63"/>
      <c r="W85" s="258"/>
      <c r="X85" s="264"/>
    </row>
    <row r="86" spans="1:24" ht="12" customHeight="1" x14ac:dyDescent="0.25">
      <c r="A86" s="257">
        <v>80</v>
      </c>
      <c r="B86" s="258" t="s">
        <v>360</v>
      </c>
      <c r="C86" s="259" t="s">
        <v>539</v>
      </c>
      <c r="D86" s="260"/>
      <c r="E86" s="261">
        <v>1605</v>
      </c>
      <c r="F86" s="250"/>
      <c r="G86" s="251"/>
      <c r="H86" s="251"/>
      <c r="I86" s="251"/>
      <c r="J86" s="251">
        <f t="shared" si="4"/>
        <v>0</v>
      </c>
      <c r="K86" s="252">
        <f t="shared" si="3"/>
        <v>1605</v>
      </c>
      <c r="L86" s="262"/>
      <c r="M86" s="263"/>
      <c r="N86" s="263"/>
      <c r="O86" s="263"/>
      <c r="P86" s="255">
        <f t="shared" si="5"/>
        <v>0</v>
      </c>
      <c r="Q86" s="266"/>
      <c r="R86" s="63"/>
      <c r="S86" s="63"/>
      <c r="T86" s="63"/>
      <c r="U86" s="63"/>
      <c r="V86" s="63"/>
      <c r="W86" s="258"/>
      <c r="X86" s="264"/>
    </row>
    <row r="87" spans="1:24" x14ac:dyDescent="0.25">
      <c r="A87" s="257">
        <v>81</v>
      </c>
      <c r="B87" s="258" t="s">
        <v>362</v>
      </c>
      <c r="C87" s="268" t="s">
        <v>490</v>
      </c>
      <c r="D87" s="260">
        <v>93</v>
      </c>
      <c r="E87" s="261">
        <v>2151</v>
      </c>
      <c r="F87" s="250">
        <v>231</v>
      </c>
      <c r="G87" s="251"/>
      <c r="H87" s="251"/>
      <c r="I87" s="251"/>
      <c r="J87" s="251">
        <f t="shared" si="4"/>
        <v>231</v>
      </c>
      <c r="K87" s="252">
        <f t="shared" si="3"/>
        <v>2475</v>
      </c>
      <c r="L87" s="262"/>
      <c r="M87" s="263"/>
      <c r="N87" s="263"/>
      <c r="O87" s="263"/>
      <c r="P87" s="255">
        <f t="shared" si="5"/>
        <v>0</v>
      </c>
      <c r="Q87" s="266"/>
      <c r="R87" s="63"/>
      <c r="S87" s="63"/>
      <c r="T87" s="63"/>
      <c r="U87" s="63"/>
      <c r="V87" s="63"/>
      <c r="W87" s="258"/>
      <c r="X87" s="264"/>
    </row>
    <row r="88" spans="1:24" x14ac:dyDescent="0.25">
      <c r="A88" s="257">
        <v>82</v>
      </c>
      <c r="B88" s="258" t="s">
        <v>364</v>
      </c>
      <c r="C88" s="268" t="s">
        <v>540</v>
      </c>
      <c r="D88" s="260">
        <v>89</v>
      </c>
      <c r="E88" s="261">
        <v>2070</v>
      </c>
      <c r="F88" s="250">
        <v>222</v>
      </c>
      <c r="G88" s="251"/>
      <c r="H88" s="251"/>
      <c r="I88" s="251"/>
      <c r="J88" s="251">
        <f t="shared" si="4"/>
        <v>222</v>
      </c>
      <c r="K88" s="252">
        <f t="shared" si="3"/>
        <v>2381</v>
      </c>
      <c r="L88" s="262"/>
      <c r="M88" s="263"/>
      <c r="N88" s="263"/>
      <c r="O88" s="263"/>
      <c r="P88" s="255">
        <f t="shared" si="5"/>
        <v>0</v>
      </c>
      <c r="Q88" s="266"/>
      <c r="R88" s="63"/>
      <c r="S88" s="63"/>
      <c r="T88" s="63"/>
      <c r="U88" s="63"/>
      <c r="V88" s="63"/>
      <c r="W88" s="258"/>
      <c r="X88" s="264"/>
    </row>
    <row r="89" spans="1:24" x14ac:dyDescent="0.25">
      <c r="A89" s="257">
        <v>83</v>
      </c>
      <c r="B89" s="258" t="s">
        <v>366</v>
      </c>
      <c r="C89" s="268" t="s">
        <v>112</v>
      </c>
      <c r="D89" s="260">
        <v>78</v>
      </c>
      <c r="E89" s="261">
        <v>1797</v>
      </c>
      <c r="F89" s="250">
        <v>193</v>
      </c>
      <c r="G89" s="251">
        <v>82</v>
      </c>
      <c r="H89" s="251">
        <v>13</v>
      </c>
      <c r="I89" s="251">
        <v>17</v>
      </c>
      <c r="J89" s="251">
        <f t="shared" si="4"/>
        <v>305</v>
      </c>
      <c r="K89" s="252">
        <f t="shared" si="3"/>
        <v>2180</v>
      </c>
      <c r="L89" s="262"/>
      <c r="M89" s="263"/>
      <c r="N89" s="263"/>
      <c r="O89" s="263"/>
      <c r="P89" s="255">
        <f t="shared" si="5"/>
        <v>0</v>
      </c>
      <c r="Q89" s="266"/>
      <c r="R89" s="63"/>
      <c r="S89" s="63"/>
      <c r="T89" s="63"/>
      <c r="U89" s="63"/>
      <c r="V89" s="63"/>
      <c r="W89" s="258"/>
      <c r="X89" s="264"/>
    </row>
    <row r="90" spans="1:24" x14ac:dyDescent="0.25">
      <c r="A90" s="257">
        <v>84</v>
      </c>
      <c r="B90" s="258" t="s">
        <v>368</v>
      </c>
      <c r="C90" s="259" t="s">
        <v>541</v>
      </c>
      <c r="D90" s="260"/>
      <c r="E90" s="261">
        <v>1030</v>
      </c>
      <c r="F90" s="250"/>
      <c r="G90" s="251"/>
      <c r="H90" s="251"/>
      <c r="I90" s="251"/>
      <c r="J90" s="251">
        <f t="shared" si="4"/>
        <v>0</v>
      </c>
      <c r="K90" s="252">
        <f t="shared" si="3"/>
        <v>1030</v>
      </c>
      <c r="L90" s="262"/>
      <c r="M90" s="263"/>
      <c r="N90" s="263"/>
      <c r="O90" s="263"/>
      <c r="P90" s="255">
        <f t="shared" si="5"/>
        <v>0</v>
      </c>
      <c r="Q90" s="266"/>
      <c r="R90" s="63"/>
      <c r="S90" s="63"/>
      <c r="T90" s="63"/>
      <c r="U90" s="63"/>
      <c r="V90" s="63"/>
      <c r="W90" s="258"/>
      <c r="X90" s="264"/>
    </row>
    <row r="91" spans="1:24" x14ac:dyDescent="0.25">
      <c r="A91" s="257">
        <v>85</v>
      </c>
      <c r="B91" s="258" t="s">
        <v>370</v>
      </c>
      <c r="C91" s="272" t="s">
        <v>542</v>
      </c>
      <c r="D91" s="260">
        <v>21</v>
      </c>
      <c r="E91" s="261">
        <v>477</v>
      </c>
      <c r="F91" s="250">
        <v>51</v>
      </c>
      <c r="G91" s="251"/>
      <c r="H91" s="251"/>
      <c r="I91" s="251"/>
      <c r="J91" s="251">
        <f t="shared" si="4"/>
        <v>51</v>
      </c>
      <c r="K91" s="252">
        <f t="shared" si="3"/>
        <v>549</v>
      </c>
      <c r="L91" s="262"/>
      <c r="M91" s="263"/>
      <c r="N91" s="263"/>
      <c r="O91" s="263"/>
      <c r="P91" s="255">
        <f t="shared" si="5"/>
        <v>0</v>
      </c>
      <c r="Q91" s="266"/>
      <c r="R91" s="63"/>
      <c r="S91" s="63"/>
      <c r="T91" s="63"/>
      <c r="U91" s="63"/>
      <c r="V91" s="63"/>
      <c r="W91" s="258"/>
      <c r="X91" s="264"/>
    </row>
    <row r="92" spans="1:24" x14ac:dyDescent="0.25">
      <c r="A92" s="257">
        <v>86</v>
      </c>
      <c r="B92" s="258" t="s">
        <v>372</v>
      </c>
      <c r="C92" s="272" t="s">
        <v>543</v>
      </c>
      <c r="D92" s="260"/>
      <c r="E92" s="261">
        <v>0</v>
      </c>
      <c r="F92" s="250"/>
      <c r="G92" s="251"/>
      <c r="H92" s="251"/>
      <c r="I92" s="251"/>
      <c r="J92" s="251">
        <f t="shared" si="4"/>
        <v>0</v>
      </c>
      <c r="K92" s="252">
        <f t="shared" si="3"/>
        <v>0</v>
      </c>
      <c r="L92" s="262"/>
      <c r="M92" s="263"/>
      <c r="N92" s="263"/>
      <c r="O92" s="263"/>
      <c r="P92" s="255">
        <f t="shared" si="5"/>
        <v>0</v>
      </c>
      <c r="Q92" s="266"/>
      <c r="R92" s="63"/>
      <c r="S92" s="63"/>
      <c r="T92" s="63"/>
      <c r="U92" s="63"/>
      <c r="V92" s="63"/>
      <c r="W92" s="258"/>
      <c r="X92" s="264"/>
    </row>
    <row r="93" spans="1:24" ht="38.25" x14ac:dyDescent="0.25">
      <c r="A93" s="549">
        <v>87</v>
      </c>
      <c r="B93" s="258" t="s">
        <v>374</v>
      </c>
      <c r="C93" s="275" t="s">
        <v>375</v>
      </c>
      <c r="D93" s="260"/>
      <c r="E93" s="261">
        <v>862</v>
      </c>
      <c r="F93" s="250">
        <v>112</v>
      </c>
      <c r="G93" s="251"/>
      <c r="H93" s="251"/>
      <c r="I93" s="251"/>
      <c r="J93" s="251">
        <f t="shared" si="4"/>
        <v>112</v>
      </c>
      <c r="K93" s="252">
        <f t="shared" si="3"/>
        <v>974</v>
      </c>
      <c r="L93" s="262"/>
      <c r="M93" s="263"/>
      <c r="N93" s="263"/>
      <c r="O93" s="263"/>
      <c r="P93" s="255">
        <f t="shared" si="5"/>
        <v>0</v>
      </c>
      <c r="Q93" s="266"/>
      <c r="R93" s="63"/>
      <c r="S93" s="63"/>
      <c r="T93" s="63"/>
      <c r="U93" s="63"/>
      <c r="V93" s="63"/>
      <c r="W93" s="258"/>
      <c r="X93" s="264"/>
    </row>
    <row r="94" spans="1:24" ht="12" customHeight="1" x14ac:dyDescent="0.25">
      <c r="A94" s="550"/>
      <c r="B94" s="258" t="s">
        <v>376</v>
      </c>
      <c r="C94" s="268" t="s">
        <v>92</v>
      </c>
      <c r="D94" s="260">
        <v>352</v>
      </c>
      <c r="E94" s="261">
        <v>5445</v>
      </c>
      <c r="F94" s="250">
        <v>824</v>
      </c>
      <c r="G94" s="251">
        <v>626</v>
      </c>
      <c r="H94" s="251">
        <v>86</v>
      </c>
      <c r="I94" s="251">
        <v>121</v>
      </c>
      <c r="J94" s="251">
        <f t="shared" si="4"/>
        <v>1657</v>
      </c>
      <c r="K94" s="252">
        <f t="shared" si="3"/>
        <v>7454</v>
      </c>
      <c r="L94" s="262">
        <v>512</v>
      </c>
      <c r="M94" s="263">
        <v>11348</v>
      </c>
      <c r="N94" s="263">
        <v>33523</v>
      </c>
      <c r="O94" s="263">
        <v>6191</v>
      </c>
      <c r="P94" s="255">
        <f t="shared" si="5"/>
        <v>51574</v>
      </c>
      <c r="Q94" s="266"/>
      <c r="R94" s="63"/>
      <c r="S94" s="63"/>
      <c r="T94" s="63"/>
      <c r="U94" s="63"/>
      <c r="V94" s="63"/>
      <c r="W94" s="258"/>
      <c r="X94" s="264"/>
    </row>
    <row r="95" spans="1:24" x14ac:dyDescent="0.25">
      <c r="A95" s="257">
        <v>88</v>
      </c>
      <c r="B95" s="258">
        <v>12</v>
      </c>
      <c r="C95" s="268" t="s">
        <v>491</v>
      </c>
      <c r="D95" s="260">
        <v>0</v>
      </c>
      <c r="E95" s="261">
        <v>1403</v>
      </c>
      <c r="F95" s="250"/>
      <c r="G95" s="251"/>
      <c r="H95" s="251"/>
      <c r="I95" s="251"/>
      <c r="J95" s="251">
        <f t="shared" si="4"/>
        <v>0</v>
      </c>
      <c r="K95" s="252">
        <f t="shared" si="3"/>
        <v>1403</v>
      </c>
      <c r="L95" s="262"/>
      <c r="M95" s="263"/>
      <c r="N95" s="263"/>
      <c r="O95" s="263"/>
      <c r="P95" s="255">
        <f t="shared" si="5"/>
        <v>0</v>
      </c>
      <c r="Q95" s="266"/>
      <c r="R95" s="63"/>
      <c r="S95" s="63"/>
      <c r="T95" s="63"/>
      <c r="U95" s="63"/>
      <c r="V95" s="63"/>
      <c r="W95" s="258"/>
      <c r="X95" s="264"/>
    </row>
    <row r="96" spans="1:24" x14ac:dyDescent="0.25">
      <c r="A96" s="257">
        <v>89</v>
      </c>
      <c r="B96" s="258" t="s">
        <v>380</v>
      </c>
      <c r="C96" s="268" t="s">
        <v>85</v>
      </c>
      <c r="D96" s="260">
        <v>259</v>
      </c>
      <c r="E96" s="261">
        <v>2038</v>
      </c>
      <c r="F96" s="250">
        <v>779</v>
      </c>
      <c r="G96" s="251">
        <v>359</v>
      </c>
      <c r="H96" s="251">
        <v>50</v>
      </c>
      <c r="I96" s="251">
        <v>72</v>
      </c>
      <c r="J96" s="251">
        <f t="shared" si="4"/>
        <v>1260</v>
      </c>
      <c r="K96" s="252">
        <f t="shared" si="3"/>
        <v>3557</v>
      </c>
      <c r="L96" s="262"/>
      <c r="M96" s="263"/>
      <c r="N96" s="263"/>
      <c r="O96" s="263"/>
      <c r="P96" s="255">
        <f t="shared" si="5"/>
        <v>0</v>
      </c>
      <c r="Q96" s="266"/>
      <c r="R96" s="63"/>
      <c r="S96" s="63"/>
      <c r="T96" s="63"/>
      <c r="U96" s="63"/>
      <c r="V96" s="63"/>
      <c r="W96" s="258"/>
      <c r="X96" s="264"/>
    </row>
    <row r="97" spans="1:24" x14ac:dyDescent="0.25">
      <c r="A97" s="257">
        <v>90</v>
      </c>
      <c r="B97" s="258" t="s">
        <v>384</v>
      </c>
      <c r="C97" s="268" t="s">
        <v>79</v>
      </c>
      <c r="D97" s="260">
        <v>177</v>
      </c>
      <c r="E97" s="261">
        <v>328</v>
      </c>
      <c r="F97" s="250">
        <v>146</v>
      </c>
      <c r="G97" s="251"/>
      <c r="H97" s="251"/>
      <c r="I97" s="251"/>
      <c r="J97" s="251">
        <f t="shared" si="4"/>
        <v>146</v>
      </c>
      <c r="K97" s="252">
        <f t="shared" si="3"/>
        <v>651</v>
      </c>
      <c r="L97" s="262"/>
      <c r="M97" s="263"/>
      <c r="N97" s="263"/>
      <c r="O97" s="263"/>
      <c r="P97" s="255">
        <f t="shared" si="5"/>
        <v>0</v>
      </c>
      <c r="Q97" s="266"/>
      <c r="R97" s="63"/>
      <c r="S97" s="63"/>
      <c r="T97" s="63"/>
      <c r="U97" s="63"/>
      <c r="V97" s="63"/>
      <c r="W97" s="258"/>
      <c r="X97" s="264"/>
    </row>
    <row r="98" spans="1:24" x14ac:dyDescent="0.25">
      <c r="A98" s="257">
        <v>91</v>
      </c>
      <c r="B98" s="258" t="s">
        <v>28</v>
      </c>
      <c r="C98" s="268" t="s">
        <v>74</v>
      </c>
      <c r="D98" s="276">
        <v>429</v>
      </c>
      <c r="E98" s="261"/>
      <c r="F98" s="250">
        <v>401</v>
      </c>
      <c r="G98" s="251">
        <v>676</v>
      </c>
      <c r="H98" s="251">
        <v>96</v>
      </c>
      <c r="I98" s="251">
        <v>137</v>
      </c>
      <c r="J98" s="251">
        <f t="shared" si="4"/>
        <v>1310</v>
      </c>
      <c r="K98" s="252">
        <f t="shared" si="3"/>
        <v>1739</v>
      </c>
      <c r="L98" s="262">
        <v>290</v>
      </c>
      <c r="M98" s="263">
        <v>6342</v>
      </c>
      <c r="N98" s="263">
        <v>18737</v>
      </c>
      <c r="O98" s="263">
        <v>3460</v>
      </c>
      <c r="P98" s="255">
        <f t="shared" si="5"/>
        <v>28829</v>
      </c>
      <c r="Q98" s="266"/>
      <c r="R98" s="63"/>
      <c r="S98" s="63"/>
      <c r="T98" s="63"/>
      <c r="U98" s="63"/>
      <c r="V98" s="63"/>
      <c r="W98" s="258"/>
      <c r="X98" s="264"/>
    </row>
    <row r="99" spans="1:24" ht="12.75" customHeight="1" x14ac:dyDescent="0.25">
      <c r="A99" s="257">
        <v>92</v>
      </c>
      <c r="B99" s="258" t="s">
        <v>385</v>
      </c>
      <c r="C99" s="268" t="s">
        <v>72</v>
      </c>
      <c r="D99" s="276">
        <v>0</v>
      </c>
      <c r="E99" s="261">
        <v>12000</v>
      </c>
      <c r="F99" s="250"/>
      <c r="G99" s="251"/>
      <c r="H99" s="251"/>
      <c r="I99" s="251"/>
      <c r="J99" s="251">
        <f t="shared" si="4"/>
        <v>0</v>
      </c>
      <c r="K99" s="252">
        <f t="shared" si="3"/>
        <v>12000</v>
      </c>
      <c r="L99" s="262"/>
      <c r="M99" s="263"/>
      <c r="N99" s="263"/>
      <c r="O99" s="263"/>
      <c r="P99" s="255">
        <f t="shared" si="5"/>
        <v>0</v>
      </c>
      <c r="Q99" s="266"/>
      <c r="R99" s="63"/>
      <c r="S99" s="63"/>
      <c r="T99" s="63"/>
      <c r="U99" s="63"/>
      <c r="V99" s="63"/>
      <c r="W99" s="258"/>
      <c r="X99" s="264"/>
    </row>
    <row r="100" spans="1:24" ht="12" customHeight="1" x14ac:dyDescent="0.25">
      <c r="A100" s="257">
        <v>93</v>
      </c>
      <c r="B100" s="258" t="s">
        <v>21</v>
      </c>
      <c r="C100" s="269" t="s">
        <v>68</v>
      </c>
      <c r="D100" s="276">
        <v>129</v>
      </c>
      <c r="E100" s="261"/>
      <c r="F100" s="250">
        <v>322</v>
      </c>
      <c r="G100" s="251"/>
      <c r="H100" s="251"/>
      <c r="I100" s="251"/>
      <c r="J100" s="251">
        <f t="shared" si="4"/>
        <v>322</v>
      </c>
      <c r="K100" s="252">
        <f t="shared" si="3"/>
        <v>451</v>
      </c>
      <c r="L100" s="262"/>
      <c r="M100" s="263"/>
      <c r="N100" s="263"/>
      <c r="O100" s="263"/>
      <c r="P100" s="255">
        <f t="shared" si="5"/>
        <v>0</v>
      </c>
      <c r="Q100" s="266"/>
      <c r="R100" s="63"/>
      <c r="S100" s="63"/>
      <c r="T100" s="63"/>
      <c r="U100" s="63"/>
      <c r="V100" s="63"/>
      <c r="W100" s="258"/>
      <c r="X100" s="264"/>
    </row>
    <row r="101" spans="1:24" x14ac:dyDescent="0.25">
      <c r="A101" s="257">
        <v>94</v>
      </c>
      <c r="B101" s="258" t="s">
        <v>22</v>
      </c>
      <c r="C101" s="269" t="s">
        <v>432</v>
      </c>
      <c r="D101" s="276">
        <v>574</v>
      </c>
      <c r="E101" s="261">
        <v>4274</v>
      </c>
      <c r="F101" s="250">
        <v>459</v>
      </c>
      <c r="G101" s="251">
        <v>652</v>
      </c>
      <c r="H101" s="251">
        <v>92</v>
      </c>
      <c r="I101" s="251">
        <v>126</v>
      </c>
      <c r="J101" s="251">
        <f t="shared" si="4"/>
        <v>1329</v>
      </c>
      <c r="K101" s="252">
        <f t="shared" si="3"/>
        <v>6177</v>
      </c>
      <c r="L101" s="262">
        <v>130</v>
      </c>
      <c r="M101" s="263">
        <v>2855</v>
      </c>
      <c r="N101" s="263">
        <v>8436</v>
      </c>
      <c r="O101" s="263">
        <v>1558</v>
      </c>
      <c r="P101" s="277">
        <f t="shared" si="5"/>
        <v>12979</v>
      </c>
      <c r="Q101" s="266"/>
      <c r="R101" s="63"/>
      <c r="S101" s="63"/>
      <c r="T101" s="63"/>
      <c r="U101" s="63"/>
      <c r="V101" s="63"/>
      <c r="W101" s="258"/>
      <c r="X101" s="264"/>
    </row>
    <row r="102" spans="1:24" x14ac:dyDescent="0.25">
      <c r="A102" s="257">
        <v>95</v>
      </c>
      <c r="B102" s="258" t="s">
        <v>26</v>
      </c>
      <c r="C102" s="278" t="s">
        <v>544</v>
      </c>
      <c r="D102" s="260"/>
      <c r="E102" s="261"/>
      <c r="F102" s="279">
        <v>0</v>
      </c>
      <c r="G102" s="280">
        <v>701</v>
      </c>
      <c r="H102" s="280">
        <v>57</v>
      </c>
      <c r="I102" s="280">
        <v>345</v>
      </c>
      <c r="J102" s="280">
        <f t="shared" si="4"/>
        <v>1103</v>
      </c>
      <c r="K102" s="281">
        <f t="shared" si="3"/>
        <v>1103</v>
      </c>
      <c r="L102" s="282">
        <v>153</v>
      </c>
      <c r="M102" s="263">
        <v>3381</v>
      </c>
      <c r="N102" s="263">
        <v>9989</v>
      </c>
      <c r="O102" s="263">
        <v>1844</v>
      </c>
      <c r="P102" s="277">
        <f t="shared" si="5"/>
        <v>15367</v>
      </c>
      <c r="Q102" s="266"/>
      <c r="R102" s="63"/>
      <c r="S102" s="63"/>
      <c r="T102" s="63"/>
      <c r="U102" s="63"/>
      <c r="V102" s="63"/>
      <c r="W102" s="258"/>
      <c r="X102" s="264"/>
    </row>
    <row r="103" spans="1:24" x14ac:dyDescent="0.25">
      <c r="A103" s="283">
        <v>96</v>
      </c>
      <c r="B103" s="258" t="s">
        <v>17</v>
      </c>
      <c r="C103" s="284" t="s">
        <v>7</v>
      </c>
      <c r="D103" s="285"/>
      <c r="E103" s="286"/>
      <c r="F103" s="250"/>
      <c r="G103" s="251"/>
      <c r="H103" s="251"/>
      <c r="I103" s="251"/>
      <c r="J103" s="251">
        <f t="shared" si="4"/>
        <v>0</v>
      </c>
      <c r="K103" s="287">
        <f t="shared" si="3"/>
        <v>0</v>
      </c>
      <c r="L103" s="282"/>
      <c r="M103" s="263"/>
      <c r="N103" s="263"/>
      <c r="O103" s="263"/>
      <c r="P103" s="277">
        <f t="shared" si="5"/>
        <v>0</v>
      </c>
      <c r="Q103" s="266">
        <v>50</v>
      </c>
      <c r="R103" s="63">
        <v>300</v>
      </c>
      <c r="S103" s="63">
        <v>300</v>
      </c>
      <c r="T103" s="63">
        <v>140</v>
      </c>
      <c r="U103" s="63">
        <v>550</v>
      </c>
      <c r="V103" s="63">
        <v>400</v>
      </c>
      <c r="W103" s="258">
        <v>1079</v>
      </c>
      <c r="X103" s="288">
        <f>SUM(Q103:W103)</f>
        <v>2819</v>
      </c>
    </row>
    <row r="104" spans="1:24" ht="12.75" thickBot="1" x14ac:dyDescent="0.3">
      <c r="A104" s="289">
        <v>97</v>
      </c>
      <c r="B104" s="290" t="s">
        <v>392</v>
      </c>
      <c r="C104" s="284" t="s">
        <v>69</v>
      </c>
      <c r="D104" s="285"/>
      <c r="E104" s="286">
        <v>1300</v>
      </c>
      <c r="F104" s="291"/>
      <c r="G104" s="291"/>
      <c r="H104" s="291"/>
      <c r="I104" s="291"/>
      <c r="J104" s="291">
        <f t="shared" si="4"/>
        <v>0</v>
      </c>
      <c r="K104" s="292">
        <f t="shared" si="3"/>
        <v>1300</v>
      </c>
      <c r="L104" s="293"/>
      <c r="M104" s="294"/>
      <c r="N104" s="294"/>
      <c r="O104" s="294"/>
      <c r="P104" s="295">
        <f t="shared" si="5"/>
        <v>0</v>
      </c>
      <c r="Q104" s="312"/>
      <c r="R104" s="313"/>
      <c r="S104" s="313"/>
      <c r="T104" s="313"/>
      <c r="U104" s="313"/>
      <c r="V104" s="313"/>
      <c r="W104" s="296"/>
      <c r="X104" s="297"/>
    </row>
    <row r="105" spans="1:24" ht="12.75" thickBot="1" x14ac:dyDescent="0.3">
      <c r="A105" s="298"/>
      <c r="B105" s="299"/>
      <c r="C105" s="300" t="s">
        <v>8</v>
      </c>
      <c r="D105" s="301">
        <f>SUM(D6:D104)</f>
        <v>5921</v>
      </c>
      <c r="E105" s="302">
        <f t="shared" ref="E105:X105" si="6">SUM(E6:E104)</f>
        <v>163004</v>
      </c>
      <c r="F105" s="303">
        <f t="shared" si="6"/>
        <v>14734</v>
      </c>
      <c r="G105" s="303">
        <f t="shared" si="6"/>
        <v>6391</v>
      </c>
      <c r="H105" s="303">
        <f t="shared" si="6"/>
        <v>833</v>
      </c>
      <c r="I105" s="303">
        <f t="shared" si="6"/>
        <v>1242</v>
      </c>
      <c r="J105" s="303">
        <f>SUM(J6:J104)</f>
        <v>23200</v>
      </c>
      <c r="K105" s="304">
        <f t="shared" si="6"/>
        <v>192125</v>
      </c>
      <c r="L105" s="305">
        <f t="shared" si="6"/>
        <v>2020</v>
      </c>
      <c r="M105" s="306">
        <f t="shared" si="6"/>
        <v>44393</v>
      </c>
      <c r="N105" s="306">
        <f t="shared" si="6"/>
        <v>131163</v>
      </c>
      <c r="O105" s="306">
        <f t="shared" si="6"/>
        <v>24216</v>
      </c>
      <c r="P105" s="307">
        <f t="shared" si="6"/>
        <v>201792</v>
      </c>
      <c r="Q105" s="301">
        <f t="shared" si="6"/>
        <v>50</v>
      </c>
      <c r="R105" s="302">
        <f t="shared" si="6"/>
        <v>300</v>
      </c>
      <c r="S105" s="302">
        <f t="shared" si="6"/>
        <v>300</v>
      </c>
      <c r="T105" s="302">
        <f t="shared" si="6"/>
        <v>140</v>
      </c>
      <c r="U105" s="302">
        <f t="shared" si="6"/>
        <v>550</v>
      </c>
      <c r="V105" s="302">
        <f t="shared" si="6"/>
        <v>400</v>
      </c>
      <c r="W105" s="306">
        <f t="shared" si="6"/>
        <v>1079</v>
      </c>
      <c r="X105" s="308">
        <f t="shared" si="6"/>
        <v>2819</v>
      </c>
    </row>
  </sheetData>
  <mergeCells count="27">
    <mergeCell ref="A30:A31"/>
    <mergeCell ref="A93:A94"/>
    <mergeCell ref="P4:P5"/>
    <mergeCell ref="Q4:Q5"/>
    <mergeCell ref="R4:R5"/>
    <mergeCell ref="O4:O5"/>
    <mergeCell ref="J4:J5"/>
    <mergeCell ref="K4:K5"/>
    <mergeCell ref="L4:L5"/>
    <mergeCell ref="M4:M5"/>
    <mergeCell ref="N4:N5"/>
    <mergeCell ref="A1:X1"/>
    <mergeCell ref="A3:A5"/>
    <mergeCell ref="B3:B5"/>
    <mergeCell ref="C3:C5"/>
    <mergeCell ref="D3:K3"/>
    <mergeCell ref="L3:P3"/>
    <mergeCell ref="Q3:X3"/>
    <mergeCell ref="D4:D5"/>
    <mergeCell ref="E4:E5"/>
    <mergeCell ref="G4:I4"/>
    <mergeCell ref="V4:V5"/>
    <mergeCell ref="W4:W5"/>
    <mergeCell ref="X4:X5"/>
    <mergeCell ref="S4:S5"/>
    <mergeCell ref="T4:T5"/>
    <mergeCell ref="U4:U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="90" zoomScaleNormal="90"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I23" sqref="I23"/>
    </sheetView>
  </sheetViews>
  <sheetFormatPr defaultRowHeight="12.75" x14ac:dyDescent="0.25"/>
  <cols>
    <col min="1" max="1" width="4.85546875" style="128" customWidth="1"/>
    <col min="2" max="2" width="60.85546875" style="128" customWidth="1"/>
    <col min="3" max="4" width="10.28515625" style="128" customWidth="1"/>
    <col min="5" max="5" width="14.5703125" style="128" customWidth="1"/>
    <col min="6" max="16384" width="9.140625" style="128"/>
  </cols>
  <sheetData>
    <row r="1" spans="1:10" ht="15" x14ac:dyDescent="0.25">
      <c r="A1" s="563" t="s">
        <v>445</v>
      </c>
      <c r="B1" s="564"/>
    </row>
    <row r="3" spans="1:10" s="132" customFormat="1" ht="99.75" customHeight="1" x14ac:dyDescent="0.25">
      <c r="A3" s="482" t="s">
        <v>194</v>
      </c>
      <c r="B3" s="482" t="s">
        <v>446</v>
      </c>
      <c r="C3" s="129" t="s">
        <v>447</v>
      </c>
      <c r="D3" s="129" t="s">
        <v>448</v>
      </c>
      <c r="E3" s="130" t="s">
        <v>449</v>
      </c>
      <c r="F3" s="131" t="s">
        <v>2</v>
      </c>
      <c r="G3" s="482" t="s">
        <v>450</v>
      </c>
      <c r="H3" s="482" t="s">
        <v>451</v>
      </c>
      <c r="I3" s="482" t="s">
        <v>450</v>
      </c>
      <c r="J3" s="482" t="s">
        <v>452</v>
      </c>
    </row>
    <row r="4" spans="1:10" s="132" customFormat="1" ht="64.5" customHeight="1" x14ac:dyDescent="0.25">
      <c r="A4" s="562"/>
      <c r="B4" s="562"/>
      <c r="C4" s="126"/>
      <c r="D4" s="126"/>
      <c r="E4" s="125" t="s">
        <v>453</v>
      </c>
      <c r="F4" s="125" t="s">
        <v>454</v>
      </c>
      <c r="G4" s="562"/>
      <c r="H4" s="562"/>
      <c r="I4" s="562"/>
      <c r="J4" s="562"/>
    </row>
    <row r="5" spans="1:10" x14ac:dyDescent="0.25">
      <c r="A5" s="133">
        <v>1</v>
      </c>
      <c r="B5" s="134" t="s">
        <v>455</v>
      </c>
      <c r="C5" s="135"/>
      <c r="D5" s="135"/>
      <c r="E5" s="136">
        <v>20032</v>
      </c>
      <c r="F5" s="136">
        <v>20032</v>
      </c>
      <c r="G5" s="135">
        <v>4</v>
      </c>
      <c r="H5" s="135">
        <v>0</v>
      </c>
      <c r="I5" s="135">
        <v>0</v>
      </c>
      <c r="J5" s="135">
        <v>0</v>
      </c>
    </row>
    <row r="6" spans="1:10" x14ac:dyDescent="0.25">
      <c r="A6" s="133">
        <v>2</v>
      </c>
      <c r="B6" s="134" t="s">
        <v>184</v>
      </c>
      <c r="C6" s="135"/>
      <c r="D6" s="135"/>
      <c r="E6" s="136">
        <v>8313</v>
      </c>
      <c r="F6" s="136">
        <v>8313</v>
      </c>
      <c r="G6" s="135">
        <v>2</v>
      </c>
      <c r="H6" s="135">
        <v>0</v>
      </c>
      <c r="I6" s="135">
        <v>0</v>
      </c>
      <c r="J6" s="135">
        <v>0</v>
      </c>
    </row>
    <row r="7" spans="1:10" x14ac:dyDescent="0.25">
      <c r="A7" s="133">
        <v>3</v>
      </c>
      <c r="B7" s="134" t="s">
        <v>183</v>
      </c>
      <c r="C7" s="135"/>
      <c r="D7" s="135"/>
      <c r="E7" s="136">
        <v>4854</v>
      </c>
      <c r="F7" s="136">
        <v>4854</v>
      </c>
      <c r="G7" s="135">
        <v>5</v>
      </c>
      <c r="H7" s="135">
        <v>0</v>
      </c>
      <c r="I7" s="135">
        <v>0</v>
      </c>
      <c r="J7" s="135">
        <v>0</v>
      </c>
    </row>
    <row r="8" spans="1:10" x14ac:dyDescent="0.25">
      <c r="A8" s="133">
        <v>4</v>
      </c>
      <c r="B8" s="134" t="s">
        <v>182</v>
      </c>
      <c r="C8" s="135"/>
      <c r="D8" s="135"/>
      <c r="E8" s="136">
        <v>11442</v>
      </c>
      <c r="F8" s="136">
        <v>11442</v>
      </c>
      <c r="G8" s="135">
        <v>5</v>
      </c>
      <c r="H8" s="135">
        <v>0</v>
      </c>
      <c r="I8" s="135">
        <v>0</v>
      </c>
      <c r="J8" s="135">
        <v>0</v>
      </c>
    </row>
    <row r="9" spans="1:10" x14ac:dyDescent="0.25">
      <c r="A9" s="133">
        <v>5</v>
      </c>
      <c r="B9" s="134" t="s">
        <v>181</v>
      </c>
      <c r="C9" s="135"/>
      <c r="D9" s="135"/>
      <c r="E9" s="136">
        <v>5486</v>
      </c>
      <c r="F9" s="136">
        <v>5486</v>
      </c>
      <c r="G9" s="135">
        <v>10</v>
      </c>
      <c r="H9" s="135">
        <v>0</v>
      </c>
      <c r="I9" s="135">
        <v>0</v>
      </c>
      <c r="J9" s="135">
        <v>0</v>
      </c>
    </row>
    <row r="10" spans="1:10" x14ac:dyDescent="0.25">
      <c r="A10" s="133">
        <v>6</v>
      </c>
      <c r="B10" s="134" t="s">
        <v>180</v>
      </c>
      <c r="C10" s="135"/>
      <c r="D10" s="135"/>
      <c r="E10" s="136">
        <v>15471</v>
      </c>
      <c r="F10" s="136">
        <v>15471</v>
      </c>
      <c r="G10" s="135">
        <v>15</v>
      </c>
      <c r="H10" s="135">
        <v>0</v>
      </c>
      <c r="I10" s="135">
        <v>0</v>
      </c>
      <c r="J10" s="135">
        <v>0</v>
      </c>
    </row>
    <row r="11" spans="1:10" x14ac:dyDescent="0.25">
      <c r="A11" s="133">
        <v>7</v>
      </c>
      <c r="B11" s="134" t="s">
        <v>179</v>
      </c>
      <c r="C11" s="135"/>
      <c r="D11" s="135"/>
      <c r="E11" s="136">
        <v>7530</v>
      </c>
      <c r="F11" s="136">
        <v>7530</v>
      </c>
      <c r="G11" s="135">
        <v>10</v>
      </c>
      <c r="H11" s="135">
        <v>0</v>
      </c>
      <c r="I11" s="135">
        <v>0</v>
      </c>
      <c r="J11" s="135">
        <v>0</v>
      </c>
    </row>
    <row r="12" spans="1:10" x14ac:dyDescent="0.25">
      <c r="A12" s="133">
        <v>8</v>
      </c>
      <c r="B12" s="134" t="s">
        <v>178</v>
      </c>
      <c r="C12" s="135"/>
      <c r="D12" s="135"/>
      <c r="E12" s="136">
        <v>5501</v>
      </c>
      <c r="F12" s="136">
        <v>5501</v>
      </c>
      <c r="G12" s="135">
        <v>2</v>
      </c>
      <c r="H12" s="135">
        <v>0</v>
      </c>
      <c r="I12" s="135">
        <v>0</v>
      </c>
      <c r="J12" s="135">
        <v>0</v>
      </c>
    </row>
    <row r="13" spans="1:10" x14ac:dyDescent="0.25">
      <c r="A13" s="133">
        <v>9</v>
      </c>
      <c r="B13" s="134" t="s">
        <v>111</v>
      </c>
      <c r="C13" s="135"/>
      <c r="D13" s="135"/>
      <c r="E13" s="136">
        <v>25600</v>
      </c>
      <c r="F13" s="136">
        <v>25600</v>
      </c>
      <c r="G13" s="135">
        <v>12</v>
      </c>
      <c r="H13" s="135">
        <v>0</v>
      </c>
      <c r="I13" s="135">
        <v>0</v>
      </c>
      <c r="J13" s="135">
        <v>0</v>
      </c>
    </row>
    <row r="14" spans="1:10" s="140" customFormat="1" x14ac:dyDescent="0.25">
      <c r="A14" s="137">
        <v>10</v>
      </c>
      <c r="B14" s="138" t="s">
        <v>177</v>
      </c>
      <c r="C14" s="139"/>
      <c r="D14" s="139"/>
      <c r="E14" s="139">
        <v>847</v>
      </c>
      <c r="F14" s="139">
        <v>847</v>
      </c>
      <c r="G14" s="139">
        <v>0</v>
      </c>
      <c r="H14" s="139">
        <v>0</v>
      </c>
      <c r="I14" s="139">
        <v>0</v>
      </c>
      <c r="J14" s="139">
        <v>0</v>
      </c>
    </row>
    <row r="15" spans="1:10" x14ac:dyDescent="0.25">
      <c r="A15" s="133">
        <v>11</v>
      </c>
      <c r="B15" s="134" t="s">
        <v>4</v>
      </c>
      <c r="C15" s="135"/>
      <c r="D15" s="135"/>
      <c r="E15" s="136">
        <v>28503</v>
      </c>
      <c r="F15" s="136">
        <v>28503</v>
      </c>
      <c r="G15" s="135">
        <v>12</v>
      </c>
      <c r="H15" s="135">
        <v>0</v>
      </c>
      <c r="I15" s="135">
        <v>0</v>
      </c>
      <c r="J15" s="135">
        <v>0</v>
      </c>
    </row>
    <row r="16" spans="1:10" x14ac:dyDescent="0.25">
      <c r="A16" s="133">
        <v>12</v>
      </c>
      <c r="B16" s="134" t="s">
        <v>176</v>
      </c>
      <c r="C16" s="135"/>
      <c r="D16" s="135"/>
      <c r="E16" s="136">
        <v>5828</v>
      </c>
      <c r="F16" s="136">
        <v>5828</v>
      </c>
      <c r="G16" s="135">
        <v>21</v>
      </c>
      <c r="H16" s="135">
        <v>0</v>
      </c>
      <c r="I16" s="135">
        <v>0</v>
      </c>
      <c r="J16" s="135">
        <v>0</v>
      </c>
    </row>
    <row r="17" spans="1:11" x14ac:dyDescent="0.25">
      <c r="A17" s="133">
        <v>13</v>
      </c>
      <c r="B17" s="134" t="s">
        <v>110</v>
      </c>
      <c r="C17" s="135"/>
      <c r="D17" s="135"/>
      <c r="E17" s="136">
        <v>16463</v>
      </c>
      <c r="F17" s="136">
        <v>16463</v>
      </c>
      <c r="G17" s="135">
        <v>10</v>
      </c>
      <c r="H17" s="135">
        <v>0</v>
      </c>
      <c r="I17" s="135">
        <v>0</v>
      </c>
      <c r="J17" s="135">
        <v>0</v>
      </c>
    </row>
    <row r="18" spans="1:11" x14ac:dyDescent="0.25">
      <c r="A18" s="133">
        <v>14</v>
      </c>
      <c r="B18" s="134" t="s">
        <v>175</v>
      </c>
      <c r="C18" s="135"/>
      <c r="D18" s="135"/>
      <c r="E18" s="136">
        <v>13558</v>
      </c>
      <c r="F18" s="136">
        <v>13558</v>
      </c>
      <c r="G18" s="135">
        <v>3</v>
      </c>
      <c r="H18" s="135">
        <v>0</v>
      </c>
      <c r="I18" s="135">
        <v>0</v>
      </c>
      <c r="J18" s="135">
        <v>0</v>
      </c>
    </row>
    <row r="19" spans="1:11" s="144" customFormat="1" x14ac:dyDescent="0.25">
      <c r="A19" s="141">
        <v>15</v>
      </c>
      <c r="B19" s="142" t="s">
        <v>456</v>
      </c>
      <c r="C19" s="143"/>
      <c r="D19" s="143"/>
      <c r="E19" s="143">
        <v>1527</v>
      </c>
      <c r="F19" s="143">
        <v>1527</v>
      </c>
      <c r="G19" s="143">
        <v>1</v>
      </c>
      <c r="H19" s="143">
        <v>0</v>
      </c>
      <c r="I19" s="143">
        <v>0</v>
      </c>
      <c r="J19" s="143">
        <v>0</v>
      </c>
    </row>
    <row r="20" spans="1:11" x14ac:dyDescent="0.25">
      <c r="A20" s="133">
        <v>16</v>
      </c>
      <c r="B20" s="134" t="s">
        <v>173</v>
      </c>
      <c r="C20" s="135"/>
      <c r="D20" s="135"/>
      <c r="E20" s="136">
        <v>7506</v>
      </c>
      <c r="F20" s="136">
        <v>6850</v>
      </c>
      <c r="G20" s="135">
        <v>5</v>
      </c>
      <c r="H20" s="135">
        <v>656</v>
      </c>
      <c r="I20" s="135">
        <v>0</v>
      </c>
      <c r="J20" s="135">
        <v>0</v>
      </c>
    </row>
    <row r="21" spans="1:11" x14ac:dyDescent="0.25">
      <c r="A21" s="133">
        <v>17</v>
      </c>
      <c r="B21" s="134" t="s">
        <v>172</v>
      </c>
      <c r="C21" s="135"/>
      <c r="D21" s="135"/>
      <c r="E21" s="136">
        <v>6115</v>
      </c>
      <c r="F21" s="136">
        <v>6114</v>
      </c>
      <c r="G21" s="135">
        <v>14</v>
      </c>
      <c r="H21" s="135">
        <v>1</v>
      </c>
      <c r="I21" s="135">
        <v>0</v>
      </c>
      <c r="J21" s="135">
        <v>0</v>
      </c>
    </row>
    <row r="22" spans="1:11" x14ac:dyDescent="0.25">
      <c r="A22" s="133">
        <v>18</v>
      </c>
      <c r="B22" s="134" t="s">
        <v>171</v>
      </c>
      <c r="C22" s="135"/>
      <c r="D22" s="135"/>
      <c r="E22" s="136">
        <v>4742</v>
      </c>
      <c r="F22" s="136">
        <v>4742</v>
      </c>
      <c r="G22" s="135">
        <v>4</v>
      </c>
      <c r="H22" s="135">
        <v>0</v>
      </c>
      <c r="I22" s="135">
        <v>0</v>
      </c>
      <c r="J22" s="135">
        <v>0</v>
      </c>
    </row>
    <row r="23" spans="1:11" s="148" customFormat="1" x14ac:dyDescent="0.25">
      <c r="A23" s="145">
        <v>19</v>
      </c>
      <c r="B23" s="146" t="s">
        <v>170</v>
      </c>
      <c r="C23" s="147">
        <v>-5</v>
      </c>
      <c r="D23" s="147">
        <v>-5</v>
      </c>
      <c r="E23" s="147">
        <v>3274</v>
      </c>
      <c r="F23" s="147">
        <v>3279</v>
      </c>
      <c r="G23" s="147">
        <v>0</v>
      </c>
      <c r="H23" s="147">
        <v>0</v>
      </c>
      <c r="I23" s="147">
        <v>0</v>
      </c>
      <c r="J23" s="147">
        <v>0</v>
      </c>
    </row>
    <row r="24" spans="1:11" x14ac:dyDescent="0.25">
      <c r="A24" s="133">
        <v>20</v>
      </c>
      <c r="B24" s="134" t="s">
        <v>169</v>
      </c>
      <c r="C24" s="135"/>
      <c r="D24" s="135"/>
      <c r="E24" s="136">
        <v>8848</v>
      </c>
      <c r="F24" s="136">
        <v>8848</v>
      </c>
      <c r="G24" s="135">
        <v>8</v>
      </c>
      <c r="H24" s="135">
        <v>0</v>
      </c>
      <c r="I24" s="135">
        <v>0</v>
      </c>
      <c r="J24" s="135">
        <v>0</v>
      </c>
    </row>
    <row r="25" spans="1:11" x14ac:dyDescent="0.25">
      <c r="A25" s="133">
        <v>21</v>
      </c>
      <c r="B25" s="134" t="s">
        <v>457</v>
      </c>
      <c r="C25" s="135"/>
      <c r="D25" s="135"/>
      <c r="E25" s="136">
        <v>29735</v>
      </c>
      <c r="F25" s="136">
        <v>29735</v>
      </c>
      <c r="G25" s="135">
        <v>20</v>
      </c>
      <c r="H25" s="135">
        <v>0</v>
      </c>
      <c r="I25" s="135">
        <v>0</v>
      </c>
      <c r="J25" s="135">
        <v>0</v>
      </c>
    </row>
    <row r="26" spans="1:11" ht="48.75" customHeight="1" x14ac:dyDescent="0.25">
      <c r="A26" s="133">
        <v>22</v>
      </c>
      <c r="B26" s="149" t="s">
        <v>458</v>
      </c>
      <c r="C26" s="135"/>
      <c r="D26" s="135"/>
      <c r="E26" s="136">
        <v>17086</v>
      </c>
      <c r="F26" s="136">
        <v>17086</v>
      </c>
      <c r="G26" s="135">
        <v>12</v>
      </c>
      <c r="H26" s="135">
        <v>0</v>
      </c>
      <c r="I26" s="135">
        <v>0</v>
      </c>
      <c r="J26" s="135">
        <v>0</v>
      </c>
    </row>
    <row r="27" spans="1:11" ht="54.75" customHeight="1" x14ac:dyDescent="0.25">
      <c r="A27" s="133">
        <v>23</v>
      </c>
      <c r="B27" s="149" t="s">
        <v>459</v>
      </c>
      <c r="C27" s="135"/>
      <c r="D27" s="135"/>
      <c r="E27" s="136">
        <v>6671</v>
      </c>
      <c r="F27" s="136">
        <v>6671</v>
      </c>
      <c r="G27" s="135">
        <v>8</v>
      </c>
      <c r="H27" s="135">
        <v>0</v>
      </c>
      <c r="I27" s="135">
        <v>0</v>
      </c>
      <c r="J27" s="135">
        <v>0</v>
      </c>
    </row>
    <row r="28" spans="1:11" s="148" customFormat="1" x14ac:dyDescent="0.25">
      <c r="A28" s="145">
        <v>24</v>
      </c>
      <c r="B28" s="146" t="s">
        <v>460</v>
      </c>
      <c r="C28" s="147">
        <v>40</v>
      </c>
      <c r="D28" s="147">
        <v>40</v>
      </c>
      <c r="E28" s="147">
        <v>72515</v>
      </c>
      <c r="F28" s="147">
        <v>72158</v>
      </c>
      <c r="G28" s="147">
        <v>76</v>
      </c>
      <c r="H28" s="147">
        <v>317</v>
      </c>
      <c r="I28" s="147">
        <v>2</v>
      </c>
      <c r="J28" s="147">
        <v>0</v>
      </c>
    </row>
    <row r="29" spans="1:11" x14ac:dyDescent="0.25">
      <c r="A29" s="133">
        <v>25</v>
      </c>
      <c r="B29" s="134" t="s">
        <v>461</v>
      </c>
      <c r="C29" s="135"/>
      <c r="D29" s="135"/>
      <c r="E29" s="136">
        <v>38946</v>
      </c>
      <c r="F29" s="136">
        <v>31911</v>
      </c>
      <c r="G29" s="135">
        <v>0</v>
      </c>
      <c r="H29" s="135">
        <v>7035</v>
      </c>
      <c r="I29" s="135">
        <v>1</v>
      </c>
      <c r="J29" s="135">
        <v>0</v>
      </c>
    </row>
    <row r="30" spans="1:11" x14ac:dyDescent="0.25">
      <c r="A30" s="133">
        <v>26</v>
      </c>
      <c r="B30" s="134" t="s">
        <v>168</v>
      </c>
      <c r="C30" s="135"/>
      <c r="D30" s="135"/>
      <c r="E30" s="136">
        <v>10415</v>
      </c>
      <c r="F30" s="136">
        <v>10415</v>
      </c>
      <c r="G30" s="135">
        <v>1</v>
      </c>
      <c r="H30" s="135">
        <v>0</v>
      </c>
      <c r="I30" s="135">
        <v>0</v>
      </c>
      <c r="J30" s="135">
        <v>0</v>
      </c>
    </row>
    <row r="31" spans="1:11" s="148" customFormat="1" x14ac:dyDescent="0.25">
      <c r="A31" s="145">
        <v>27</v>
      </c>
      <c r="B31" s="146" t="s">
        <v>108</v>
      </c>
      <c r="C31" s="147">
        <v>-13</v>
      </c>
      <c r="D31" s="147">
        <v>-13</v>
      </c>
      <c r="E31" s="147">
        <v>8116</v>
      </c>
      <c r="F31" s="147">
        <v>8129</v>
      </c>
      <c r="G31" s="147">
        <v>9</v>
      </c>
      <c r="H31" s="147">
        <v>0</v>
      </c>
      <c r="I31" s="147">
        <v>0</v>
      </c>
      <c r="J31" s="147">
        <v>0</v>
      </c>
      <c r="K31" s="147"/>
    </row>
    <row r="32" spans="1:11" x14ac:dyDescent="0.25">
      <c r="A32" s="133">
        <v>28</v>
      </c>
      <c r="B32" s="134" t="s">
        <v>167</v>
      </c>
      <c r="C32" s="135"/>
      <c r="D32" s="135"/>
      <c r="E32" s="136">
        <v>3681</v>
      </c>
      <c r="F32" s="136">
        <v>3681</v>
      </c>
      <c r="G32" s="135">
        <v>10</v>
      </c>
      <c r="H32" s="135">
        <v>0</v>
      </c>
      <c r="I32" s="135">
        <v>0</v>
      </c>
      <c r="J32" s="135">
        <v>0</v>
      </c>
    </row>
    <row r="33" spans="1:11" x14ac:dyDescent="0.25">
      <c r="A33" s="133">
        <v>29</v>
      </c>
      <c r="B33" s="134" t="s">
        <v>166</v>
      </c>
      <c r="C33" s="135"/>
      <c r="D33" s="135"/>
      <c r="E33" s="136">
        <v>3929</v>
      </c>
      <c r="F33" s="136">
        <v>3929</v>
      </c>
      <c r="G33" s="135">
        <v>3</v>
      </c>
      <c r="H33" s="135">
        <v>0</v>
      </c>
      <c r="I33" s="135">
        <v>0</v>
      </c>
      <c r="J33" s="135">
        <v>0</v>
      </c>
    </row>
    <row r="34" spans="1:11" x14ac:dyDescent="0.25">
      <c r="A34" s="133">
        <v>30</v>
      </c>
      <c r="B34" s="134" t="s">
        <v>165</v>
      </c>
      <c r="C34" s="135"/>
      <c r="D34" s="135"/>
      <c r="E34" s="136">
        <v>14635</v>
      </c>
      <c r="F34" s="136">
        <v>11515</v>
      </c>
      <c r="G34" s="135">
        <v>8</v>
      </c>
      <c r="H34" s="135">
        <v>3120</v>
      </c>
      <c r="I34" s="135">
        <v>0</v>
      </c>
      <c r="J34" s="135">
        <v>0</v>
      </c>
    </row>
    <row r="35" spans="1:11" x14ac:dyDescent="0.25">
      <c r="A35" s="133">
        <v>31</v>
      </c>
      <c r="B35" s="134" t="s">
        <v>164</v>
      </c>
      <c r="C35" s="135"/>
      <c r="D35" s="135"/>
      <c r="E35" s="136">
        <v>7130</v>
      </c>
      <c r="F35" s="136">
        <v>7130</v>
      </c>
      <c r="G35" s="135">
        <v>5</v>
      </c>
      <c r="H35" s="135">
        <v>0</v>
      </c>
      <c r="I35" s="135">
        <v>0</v>
      </c>
      <c r="J35" s="135">
        <v>0</v>
      </c>
    </row>
    <row r="36" spans="1:11" ht="15.75" customHeight="1" x14ac:dyDescent="0.25">
      <c r="A36" s="133">
        <v>32</v>
      </c>
      <c r="B36" s="149" t="s">
        <v>107</v>
      </c>
      <c r="C36" s="135"/>
      <c r="D36" s="135"/>
      <c r="E36" s="136">
        <v>23518</v>
      </c>
      <c r="F36" s="136">
        <v>20816</v>
      </c>
      <c r="G36" s="135">
        <v>3</v>
      </c>
      <c r="H36" s="135">
        <v>2702</v>
      </c>
      <c r="I36" s="135">
        <v>2</v>
      </c>
      <c r="J36" s="135">
        <v>0</v>
      </c>
    </row>
    <row r="37" spans="1:11" s="148" customFormat="1" x14ac:dyDescent="0.25">
      <c r="A37" s="145">
        <v>33</v>
      </c>
      <c r="B37" s="146" t="s">
        <v>163</v>
      </c>
      <c r="C37" s="147">
        <v>-5</v>
      </c>
      <c r="D37" s="147">
        <v>-5</v>
      </c>
      <c r="E37" s="147">
        <v>3423</v>
      </c>
      <c r="F37" s="147">
        <v>3428</v>
      </c>
      <c r="G37" s="147">
        <v>0</v>
      </c>
      <c r="H37" s="147">
        <v>0</v>
      </c>
      <c r="I37" s="147">
        <v>0</v>
      </c>
      <c r="J37" s="147">
        <v>0</v>
      </c>
      <c r="K37" s="147"/>
    </row>
    <row r="38" spans="1:11" x14ac:dyDescent="0.25">
      <c r="A38" s="133">
        <v>34</v>
      </c>
      <c r="B38" s="134" t="s">
        <v>162</v>
      </c>
      <c r="C38" s="135"/>
      <c r="D38" s="135"/>
      <c r="E38" s="136">
        <v>6286</v>
      </c>
      <c r="F38" s="136">
        <v>6286</v>
      </c>
      <c r="G38" s="135">
        <v>3</v>
      </c>
      <c r="H38" s="135">
        <v>0</v>
      </c>
      <c r="I38" s="135">
        <v>0</v>
      </c>
      <c r="J38" s="135">
        <v>0</v>
      </c>
    </row>
    <row r="39" spans="1:11" ht="17.25" customHeight="1" x14ac:dyDescent="0.25">
      <c r="A39" s="150">
        <v>35</v>
      </c>
      <c r="B39" s="149" t="s">
        <v>161</v>
      </c>
      <c r="C39" s="135"/>
      <c r="D39" s="135"/>
      <c r="E39" s="136">
        <v>12838</v>
      </c>
      <c r="F39" s="136">
        <v>12838</v>
      </c>
      <c r="G39" s="135">
        <v>1</v>
      </c>
      <c r="H39" s="135">
        <v>0</v>
      </c>
      <c r="I39" s="135">
        <v>0</v>
      </c>
      <c r="J39" s="135">
        <v>0</v>
      </c>
    </row>
    <row r="40" spans="1:11" x14ac:dyDescent="0.25">
      <c r="A40" s="151">
        <v>36</v>
      </c>
      <c r="B40" s="152" t="s">
        <v>160</v>
      </c>
      <c r="C40" s="153"/>
      <c r="D40" s="153"/>
      <c r="E40" s="153">
        <v>381</v>
      </c>
      <c r="F40" s="153">
        <v>381</v>
      </c>
      <c r="G40" s="153">
        <v>0</v>
      </c>
      <c r="H40" s="153">
        <v>0</v>
      </c>
      <c r="I40" s="153">
        <v>0</v>
      </c>
      <c r="J40" s="153">
        <v>0</v>
      </c>
    </row>
    <row r="41" spans="1:11" x14ac:dyDescent="0.25">
      <c r="A41" s="133">
        <v>37</v>
      </c>
      <c r="B41" s="134" t="s">
        <v>158</v>
      </c>
      <c r="C41" s="135"/>
      <c r="D41" s="135"/>
      <c r="E41" s="136">
        <v>8898</v>
      </c>
      <c r="F41" s="136">
        <v>8898</v>
      </c>
      <c r="G41" s="135">
        <v>4</v>
      </c>
      <c r="H41" s="135">
        <v>0</v>
      </c>
      <c r="I41" s="135">
        <v>0</v>
      </c>
      <c r="J41" s="135">
        <v>0</v>
      </c>
    </row>
    <row r="42" spans="1:11" x14ac:dyDescent="0.25">
      <c r="A42" s="133">
        <v>38</v>
      </c>
      <c r="B42" s="134" t="s">
        <v>157</v>
      </c>
      <c r="C42" s="135"/>
      <c r="D42" s="135"/>
      <c r="E42" s="136">
        <v>7134</v>
      </c>
      <c r="F42" s="136">
        <v>7134</v>
      </c>
      <c r="G42" s="135">
        <v>1</v>
      </c>
      <c r="H42" s="135">
        <v>0</v>
      </c>
      <c r="I42" s="135">
        <v>0</v>
      </c>
      <c r="J42" s="135">
        <v>0</v>
      </c>
    </row>
    <row r="43" spans="1:11" x14ac:dyDescent="0.25">
      <c r="A43" s="133">
        <v>39</v>
      </c>
      <c r="B43" s="138" t="s">
        <v>156</v>
      </c>
      <c r="C43" s="153"/>
      <c r="D43" s="153"/>
      <c r="E43" s="153">
        <v>2885</v>
      </c>
      <c r="F43" s="153">
        <v>2885</v>
      </c>
      <c r="G43" s="153">
        <v>0</v>
      </c>
      <c r="H43" s="153">
        <v>0</v>
      </c>
      <c r="I43" s="153">
        <v>0</v>
      </c>
      <c r="J43" s="153">
        <v>0</v>
      </c>
    </row>
    <row r="44" spans="1:11" x14ac:dyDescent="0.25">
      <c r="A44" s="133">
        <v>40</v>
      </c>
      <c r="B44" s="134" t="s">
        <v>106</v>
      </c>
      <c r="C44" s="135"/>
      <c r="D44" s="135"/>
      <c r="E44" s="136">
        <v>22733</v>
      </c>
      <c r="F44" s="136">
        <v>22733</v>
      </c>
      <c r="G44" s="135">
        <v>40</v>
      </c>
      <c r="H44" s="135">
        <v>0</v>
      </c>
      <c r="I44" s="135">
        <v>0</v>
      </c>
      <c r="J44" s="135">
        <v>0</v>
      </c>
    </row>
    <row r="45" spans="1:11" s="157" customFormat="1" x14ac:dyDescent="0.25">
      <c r="A45" s="154">
        <v>41</v>
      </c>
      <c r="B45" s="155" t="s">
        <v>59</v>
      </c>
      <c r="C45" s="156"/>
      <c r="D45" s="156"/>
      <c r="E45" s="156">
        <v>25059</v>
      </c>
      <c r="F45" s="156">
        <v>25059</v>
      </c>
      <c r="G45" s="156">
        <v>5</v>
      </c>
      <c r="H45" s="156">
        <v>0</v>
      </c>
      <c r="I45" s="156">
        <v>0</v>
      </c>
      <c r="J45" s="156">
        <v>0</v>
      </c>
    </row>
    <row r="46" spans="1:11" x14ac:dyDescent="0.25">
      <c r="A46" s="133">
        <v>42</v>
      </c>
      <c r="B46" s="134" t="s">
        <v>155</v>
      </c>
      <c r="C46" s="135"/>
      <c r="D46" s="135"/>
      <c r="E46" s="136">
        <v>6234</v>
      </c>
      <c r="F46" s="136">
        <v>6234</v>
      </c>
      <c r="G46" s="135">
        <v>6</v>
      </c>
      <c r="H46" s="135">
        <v>0</v>
      </c>
      <c r="I46" s="135">
        <v>0</v>
      </c>
      <c r="J46" s="135">
        <v>0</v>
      </c>
    </row>
    <row r="47" spans="1:11" x14ac:dyDescent="0.25">
      <c r="A47" s="133">
        <v>43</v>
      </c>
      <c r="B47" s="134" t="s">
        <v>154</v>
      </c>
      <c r="C47" s="135"/>
      <c r="D47" s="135"/>
      <c r="E47" s="136">
        <v>7263</v>
      </c>
      <c r="F47" s="136">
        <v>7263</v>
      </c>
      <c r="G47" s="135">
        <v>2</v>
      </c>
      <c r="H47" s="135">
        <v>0</v>
      </c>
      <c r="I47" s="135">
        <v>0</v>
      </c>
      <c r="J47" s="135">
        <v>0</v>
      </c>
    </row>
    <row r="48" spans="1:11" x14ac:dyDescent="0.25">
      <c r="A48" s="133">
        <v>44</v>
      </c>
      <c r="B48" s="134" t="s">
        <v>153</v>
      </c>
      <c r="C48" s="135"/>
      <c r="D48" s="135"/>
      <c r="E48" s="136">
        <v>8222</v>
      </c>
      <c r="F48" s="136">
        <v>8222</v>
      </c>
      <c r="G48" s="135">
        <v>3</v>
      </c>
      <c r="H48" s="135">
        <v>0</v>
      </c>
      <c r="I48" s="135">
        <v>0</v>
      </c>
      <c r="J48" s="135">
        <v>0</v>
      </c>
    </row>
    <row r="49" spans="1:10" x14ac:dyDescent="0.25">
      <c r="A49" s="133">
        <v>45</v>
      </c>
      <c r="B49" s="134" t="s">
        <v>152</v>
      </c>
      <c r="C49" s="135"/>
      <c r="D49" s="135"/>
      <c r="E49" s="136">
        <v>5262</v>
      </c>
      <c r="F49" s="136">
        <v>5262</v>
      </c>
      <c r="G49" s="135">
        <v>1</v>
      </c>
      <c r="H49" s="135">
        <v>0</v>
      </c>
      <c r="I49" s="135">
        <v>0</v>
      </c>
      <c r="J49" s="135">
        <v>0</v>
      </c>
    </row>
    <row r="50" spans="1:10" x14ac:dyDescent="0.25">
      <c r="A50" s="133">
        <v>46</v>
      </c>
      <c r="B50" s="134" t="s">
        <v>151</v>
      </c>
      <c r="C50" s="135"/>
      <c r="D50" s="135"/>
      <c r="E50" s="136">
        <v>10792</v>
      </c>
      <c r="F50" s="136">
        <v>10792</v>
      </c>
      <c r="G50" s="135">
        <v>10</v>
      </c>
      <c r="H50" s="135">
        <v>0</v>
      </c>
      <c r="I50" s="135">
        <v>0</v>
      </c>
      <c r="J50" s="135">
        <v>0</v>
      </c>
    </row>
    <row r="51" spans="1:10" x14ac:dyDescent="0.25">
      <c r="A51" s="133">
        <v>47</v>
      </c>
      <c r="B51" s="134" t="s">
        <v>462</v>
      </c>
      <c r="C51" s="135"/>
      <c r="D51" s="135"/>
      <c r="E51" s="136">
        <v>91657</v>
      </c>
      <c r="F51" s="136">
        <v>90357</v>
      </c>
      <c r="G51" s="135">
        <v>15</v>
      </c>
      <c r="H51" s="135">
        <v>1300</v>
      </c>
      <c r="I51" s="135">
        <v>0</v>
      </c>
      <c r="J51" s="135">
        <v>0</v>
      </c>
    </row>
    <row r="52" spans="1:10" x14ac:dyDescent="0.25">
      <c r="A52" s="133">
        <v>48</v>
      </c>
      <c r="B52" s="134" t="s">
        <v>150</v>
      </c>
      <c r="C52" s="135"/>
      <c r="D52" s="135"/>
      <c r="E52" s="136">
        <v>5285</v>
      </c>
      <c r="F52" s="136">
        <v>5285</v>
      </c>
      <c r="G52" s="135">
        <v>8</v>
      </c>
      <c r="H52" s="135">
        <v>0</v>
      </c>
      <c r="I52" s="135">
        <v>0</v>
      </c>
      <c r="J52" s="135">
        <v>0</v>
      </c>
    </row>
    <row r="53" spans="1:10" x14ac:dyDescent="0.25">
      <c r="A53" s="133">
        <v>49</v>
      </c>
      <c r="B53" s="134" t="s">
        <v>149</v>
      </c>
      <c r="C53" s="135"/>
      <c r="D53" s="135"/>
      <c r="E53" s="136">
        <v>9181</v>
      </c>
      <c r="F53" s="136">
        <v>9181</v>
      </c>
      <c r="G53" s="135">
        <v>10</v>
      </c>
      <c r="H53" s="135">
        <v>0</v>
      </c>
      <c r="I53" s="135">
        <v>0</v>
      </c>
      <c r="J53" s="135">
        <v>0</v>
      </c>
    </row>
    <row r="54" spans="1:10" x14ac:dyDescent="0.25">
      <c r="A54" s="133">
        <v>50</v>
      </c>
      <c r="B54" s="134" t="s">
        <v>101</v>
      </c>
      <c r="C54" s="135"/>
      <c r="D54" s="135"/>
      <c r="E54" s="136">
        <v>36467</v>
      </c>
      <c r="F54" s="136">
        <v>35671</v>
      </c>
      <c r="G54" s="135">
        <v>30</v>
      </c>
      <c r="H54" s="135">
        <v>796</v>
      </c>
      <c r="I54" s="135">
        <v>12</v>
      </c>
      <c r="J54" s="135">
        <v>0</v>
      </c>
    </row>
    <row r="55" spans="1:10" x14ac:dyDescent="0.25">
      <c r="A55" s="133">
        <v>51</v>
      </c>
      <c r="B55" s="134" t="s">
        <v>148</v>
      </c>
      <c r="C55" s="135"/>
      <c r="D55" s="135"/>
      <c r="E55" s="136">
        <v>4284</v>
      </c>
      <c r="F55" s="136">
        <v>4284</v>
      </c>
      <c r="G55" s="135">
        <v>4</v>
      </c>
      <c r="H55" s="135">
        <v>0</v>
      </c>
      <c r="I55" s="135">
        <v>0</v>
      </c>
      <c r="J55" s="135">
        <v>0</v>
      </c>
    </row>
    <row r="56" spans="1:10" x14ac:dyDescent="0.25">
      <c r="A56" s="133">
        <v>52</v>
      </c>
      <c r="B56" s="134" t="s">
        <v>463</v>
      </c>
      <c r="C56" s="135"/>
      <c r="D56" s="135"/>
      <c r="E56" s="136">
        <v>17435</v>
      </c>
      <c r="F56" s="136">
        <v>17435</v>
      </c>
      <c r="G56" s="135">
        <v>5</v>
      </c>
      <c r="H56" s="135">
        <v>0</v>
      </c>
      <c r="I56" s="135">
        <v>0</v>
      </c>
      <c r="J56" s="135">
        <v>0</v>
      </c>
    </row>
    <row r="57" spans="1:10" x14ac:dyDescent="0.25">
      <c r="A57" s="133">
        <v>53</v>
      </c>
      <c r="B57" s="134" t="s">
        <v>464</v>
      </c>
      <c r="C57" s="135"/>
      <c r="D57" s="135"/>
      <c r="E57" s="136">
        <v>7856</v>
      </c>
      <c r="F57" s="136">
        <v>7856</v>
      </c>
      <c r="G57" s="135">
        <v>5</v>
      </c>
      <c r="H57" s="135">
        <v>0</v>
      </c>
      <c r="I57" s="135">
        <v>0</v>
      </c>
      <c r="J57" s="135">
        <v>0</v>
      </c>
    </row>
    <row r="58" spans="1:10" x14ac:dyDescent="0.25">
      <c r="A58" s="133">
        <v>54</v>
      </c>
      <c r="B58" s="134" t="s">
        <v>146</v>
      </c>
      <c r="C58" s="135"/>
      <c r="D58" s="135"/>
      <c r="E58" s="136">
        <v>13220</v>
      </c>
      <c r="F58" s="136">
        <v>13220</v>
      </c>
      <c r="G58" s="135">
        <v>10</v>
      </c>
      <c r="H58" s="135">
        <v>0</v>
      </c>
      <c r="I58" s="135">
        <v>0</v>
      </c>
      <c r="J58" s="135">
        <v>0</v>
      </c>
    </row>
    <row r="59" spans="1:10" x14ac:dyDescent="0.25">
      <c r="A59" s="133">
        <v>55</v>
      </c>
      <c r="B59" s="134" t="s">
        <v>145</v>
      </c>
      <c r="C59" s="135"/>
      <c r="D59" s="135"/>
      <c r="E59" s="136">
        <v>5896</v>
      </c>
      <c r="F59" s="136">
        <v>5896</v>
      </c>
      <c r="G59" s="135">
        <v>10</v>
      </c>
      <c r="H59" s="135">
        <v>0</v>
      </c>
      <c r="I59" s="135">
        <v>0</v>
      </c>
      <c r="J59" s="135">
        <v>0</v>
      </c>
    </row>
    <row r="60" spans="1:10" x14ac:dyDescent="0.25">
      <c r="A60" s="133">
        <v>56</v>
      </c>
      <c r="B60" s="134" t="s">
        <v>144</v>
      </c>
      <c r="C60" s="135"/>
      <c r="D60" s="135"/>
      <c r="E60" s="136">
        <v>6240</v>
      </c>
      <c r="F60" s="136">
        <v>6240</v>
      </c>
      <c r="G60" s="135">
        <v>4</v>
      </c>
      <c r="H60" s="135">
        <v>0</v>
      </c>
      <c r="I60" s="135">
        <v>0</v>
      </c>
      <c r="J60" s="135">
        <v>0</v>
      </c>
    </row>
    <row r="61" spans="1:10" s="148" customFormat="1" x14ac:dyDescent="0.25">
      <c r="A61" s="145">
        <v>57</v>
      </c>
      <c r="B61" s="146" t="s">
        <v>143</v>
      </c>
      <c r="C61" s="147">
        <v>-17</v>
      </c>
      <c r="D61" s="147">
        <v>-17</v>
      </c>
      <c r="E61" s="147">
        <v>6201</v>
      </c>
      <c r="F61" s="147">
        <v>6218</v>
      </c>
      <c r="G61" s="147">
        <v>3</v>
      </c>
      <c r="H61" s="147">
        <v>0</v>
      </c>
      <c r="I61" s="147">
        <v>0</v>
      </c>
      <c r="J61" s="147">
        <v>0</v>
      </c>
    </row>
    <row r="62" spans="1:10" x14ac:dyDescent="0.25">
      <c r="A62" s="133">
        <v>58</v>
      </c>
      <c r="B62" s="134" t="s">
        <v>465</v>
      </c>
      <c r="C62" s="135"/>
      <c r="D62" s="135"/>
      <c r="E62" s="136">
        <v>378559</v>
      </c>
      <c r="F62" s="136">
        <v>312824</v>
      </c>
      <c r="G62" s="135">
        <v>10</v>
      </c>
      <c r="H62" s="135">
        <v>42000</v>
      </c>
      <c r="I62" s="135">
        <v>10</v>
      </c>
      <c r="J62" s="135">
        <v>23735</v>
      </c>
    </row>
    <row r="63" spans="1:10" x14ac:dyDescent="0.25">
      <c r="A63" s="133">
        <v>59</v>
      </c>
      <c r="B63" s="134" t="s">
        <v>466</v>
      </c>
      <c r="C63" s="135"/>
      <c r="D63" s="135"/>
      <c r="E63" s="136">
        <v>3930</v>
      </c>
      <c r="F63" s="136">
        <v>1553</v>
      </c>
      <c r="G63" s="135">
        <v>10</v>
      </c>
      <c r="H63" s="135">
        <v>2377</v>
      </c>
      <c r="I63" s="135">
        <v>3</v>
      </c>
      <c r="J63" s="135">
        <v>0</v>
      </c>
    </row>
    <row r="64" spans="1:10" x14ac:dyDescent="0.25">
      <c r="A64" s="158"/>
      <c r="B64" s="134" t="s">
        <v>467</v>
      </c>
      <c r="C64" s="135"/>
      <c r="D64" s="135"/>
      <c r="E64" s="136">
        <v>16617</v>
      </c>
      <c r="F64" s="136">
        <v>0</v>
      </c>
      <c r="G64" s="135">
        <v>0</v>
      </c>
      <c r="H64" s="135">
        <v>0</v>
      </c>
      <c r="I64" s="135">
        <v>0</v>
      </c>
      <c r="J64" s="135">
        <v>0</v>
      </c>
    </row>
    <row r="65" spans="1:10" s="163" customFormat="1" ht="17.25" customHeight="1" x14ac:dyDescent="0.25">
      <c r="A65" s="159"/>
      <c r="B65" s="160" t="s">
        <v>468</v>
      </c>
      <c r="C65" s="161">
        <f>SUM(C23:C64)</f>
        <v>0</v>
      </c>
      <c r="D65" s="161">
        <f>SUM(D23:D64)</f>
        <v>0</v>
      </c>
      <c r="E65" s="162">
        <v>1168055</v>
      </c>
      <c r="F65" s="162">
        <v>1067399</v>
      </c>
      <c r="G65" s="162">
        <v>498</v>
      </c>
      <c r="H65" s="162">
        <v>60304</v>
      </c>
      <c r="I65" s="162">
        <v>30</v>
      </c>
      <c r="J65" s="162">
        <v>23735</v>
      </c>
    </row>
    <row r="67" spans="1:10" x14ac:dyDescent="0.25">
      <c r="F67" s="128">
        <f>F65+H65+J65+E64</f>
        <v>1168055</v>
      </c>
    </row>
  </sheetData>
  <mergeCells count="7">
    <mergeCell ref="J3:J4"/>
    <mergeCell ref="A1:B1"/>
    <mergeCell ref="A3:A4"/>
    <mergeCell ref="B3:B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64" sqref="D164"/>
    </sheetView>
  </sheetViews>
  <sheetFormatPr defaultRowHeight="15" x14ac:dyDescent="0.25"/>
  <cols>
    <col min="1" max="1" width="4.7109375" style="314" customWidth="1"/>
    <col min="2" max="2" width="9" style="314" customWidth="1"/>
    <col min="3" max="3" width="44.5703125" style="314" customWidth="1"/>
    <col min="4" max="4" width="10.5703125" style="314" customWidth="1"/>
    <col min="5" max="6" width="9.42578125" style="314" customWidth="1"/>
    <col min="7" max="12" width="10.42578125" style="314" customWidth="1"/>
    <col min="13" max="16384" width="9.140625" style="314"/>
  </cols>
  <sheetData>
    <row r="1" spans="1:12" x14ac:dyDescent="0.25">
      <c r="A1" s="570" t="s">
        <v>545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</row>
    <row r="2" spans="1:12" x14ac:dyDescent="0.2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x14ac:dyDescent="0.25">
      <c r="A3" s="315"/>
      <c r="B3" s="315"/>
      <c r="C3" s="315"/>
      <c r="D3" s="315"/>
      <c r="E3" s="316"/>
      <c r="F3" s="316"/>
      <c r="G3" s="316"/>
      <c r="H3" s="316"/>
      <c r="I3" s="316"/>
      <c r="J3" s="316"/>
      <c r="K3" s="316"/>
      <c r="L3" s="316"/>
    </row>
    <row r="4" spans="1:12" ht="15" customHeight="1" x14ac:dyDescent="0.25">
      <c r="A4" s="571" t="s">
        <v>194</v>
      </c>
      <c r="B4" s="572" t="s">
        <v>13</v>
      </c>
      <c r="C4" s="571" t="s">
        <v>446</v>
      </c>
      <c r="D4" s="571" t="s">
        <v>546</v>
      </c>
      <c r="E4" s="575" t="s">
        <v>547</v>
      </c>
      <c r="F4" s="575"/>
      <c r="G4" s="575"/>
      <c r="H4" s="575"/>
      <c r="I4" s="575"/>
      <c r="J4" s="575"/>
      <c r="K4" s="575"/>
      <c r="L4" s="575"/>
    </row>
    <row r="5" spans="1:12" ht="48" customHeight="1" x14ac:dyDescent="0.25">
      <c r="A5" s="571"/>
      <c r="B5" s="573"/>
      <c r="C5" s="571"/>
      <c r="D5" s="571"/>
      <c r="E5" s="567" t="s">
        <v>548</v>
      </c>
      <c r="F5" s="567" t="s">
        <v>549</v>
      </c>
      <c r="G5" s="567" t="s">
        <v>550</v>
      </c>
      <c r="H5" s="567" t="s">
        <v>551</v>
      </c>
      <c r="I5" s="567" t="s">
        <v>552</v>
      </c>
      <c r="J5" s="567" t="s">
        <v>553</v>
      </c>
      <c r="K5" s="567"/>
      <c r="L5" s="567"/>
    </row>
    <row r="6" spans="1:12" ht="15.75" customHeight="1" x14ac:dyDescent="0.25">
      <c r="A6" s="571"/>
      <c r="B6" s="573"/>
      <c r="C6" s="571"/>
      <c r="D6" s="571"/>
      <c r="E6" s="567"/>
      <c r="F6" s="567"/>
      <c r="G6" s="567"/>
      <c r="H6" s="567"/>
      <c r="I6" s="567"/>
      <c r="J6" s="567" t="s">
        <v>29</v>
      </c>
      <c r="K6" s="567" t="s">
        <v>2</v>
      </c>
      <c r="L6" s="567"/>
    </row>
    <row r="7" spans="1:12" ht="54.75" customHeight="1" x14ac:dyDescent="0.25">
      <c r="A7" s="571"/>
      <c r="B7" s="574"/>
      <c r="C7" s="571"/>
      <c r="D7" s="571"/>
      <c r="E7" s="567"/>
      <c r="F7" s="567"/>
      <c r="G7" s="567"/>
      <c r="H7" s="567"/>
      <c r="I7" s="567"/>
      <c r="J7" s="567"/>
      <c r="K7" s="317" t="s">
        <v>554</v>
      </c>
      <c r="L7" s="317" t="s">
        <v>555</v>
      </c>
    </row>
    <row r="8" spans="1:12" x14ac:dyDescent="0.25">
      <c r="A8" s="318">
        <v>1</v>
      </c>
      <c r="B8" s="318" t="s">
        <v>225</v>
      </c>
      <c r="C8" s="319" t="s">
        <v>110</v>
      </c>
      <c r="D8" s="320">
        <f>E8+F8+G8+H8+I8+J8</f>
        <v>99027</v>
      </c>
      <c r="E8" s="320">
        <v>3875</v>
      </c>
      <c r="F8" s="320"/>
      <c r="G8" s="320"/>
      <c r="H8" s="320"/>
      <c r="I8" s="320"/>
      <c r="J8" s="317">
        <f>K8+L8</f>
        <v>95152</v>
      </c>
      <c r="K8" s="317">
        <v>27082</v>
      </c>
      <c r="L8" s="317">
        <v>68070</v>
      </c>
    </row>
    <row r="9" spans="1:12" x14ac:dyDescent="0.25">
      <c r="A9" s="318">
        <v>2</v>
      </c>
      <c r="B9" s="318" t="s">
        <v>556</v>
      </c>
      <c r="C9" s="319" t="s">
        <v>557</v>
      </c>
      <c r="D9" s="320">
        <f t="shared" ref="D9:D72" si="0">E9+F9+G9+H9+I9+J9</f>
        <v>3683</v>
      </c>
      <c r="E9" s="320"/>
      <c r="F9" s="320"/>
      <c r="G9" s="320">
        <v>3683</v>
      </c>
      <c r="H9" s="320"/>
      <c r="I9" s="320"/>
      <c r="J9" s="317">
        <f t="shared" ref="J9:J72" si="1">K9+L9</f>
        <v>0</v>
      </c>
      <c r="K9" s="317">
        <v>0</v>
      </c>
      <c r="L9" s="317">
        <v>0</v>
      </c>
    </row>
    <row r="10" spans="1:12" x14ac:dyDescent="0.25">
      <c r="A10" s="318">
        <v>3</v>
      </c>
      <c r="B10" s="318" t="s">
        <v>251</v>
      </c>
      <c r="C10" s="321" t="s">
        <v>108</v>
      </c>
      <c r="D10" s="320">
        <f t="shared" si="0"/>
        <v>95435</v>
      </c>
      <c r="E10" s="320"/>
      <c r="F10" s="320"/>
      <c r="G10" s="320"/>
      <c r="H10" s="320"/>
      <c r="I10" s="320"/>
      <c r="J10" s="317">
        <f t="shared" si="1"/>
        <v>95435</v>
      </c>
      <c r="K10" s="317">
        <v>24365</v>
      </c>
      <c r="L10" s="317">
        <v>71070</v>
      </c>
    </row>
    <row r="11" spans="1:12" x14ac:dyDescent="0.25">
      <c r="A11" s="318">
        <v>4</v>
      </c>
      <c r="B11" s="318" t="s">
        <v>558</v>
      </c>
      <c r="C11" s="321" t="s">
        <v>559</v>
      </c>
      <c r="D11" s="320">
        <f t="shared" si="0"/>
        <v>2227</v>
      </c>
      <c r="E11" s="320"/>
      <c r="F11" s="320"/>
      <c r="G11" s="320">
        <v>2227</v>
      </c>
      <c r="H11" s="320"/>
      <c r="I11" s="320"/>
      <c r="J11" s="317">
        <f t="shared" si="1"/>
        <v>0</v>
      </c>
      <c r="K11" s="317">
        <v>0</v>
      </c>
      <c r="L11" s="317">
        <v>0</v>
      </c>
    </row>
    <row r="12" spans="1:12" x14ac:dyDescent="0.25">
      <c r="A12" s="568">
        <v>5</v>
      </c>
      <c r="B12" s="318" t="s">
        <v>19</v>
      </c>
      <c r="C12" s="322" t="s">
        <v>3</v>
      </c>
      <c r="D12" s="320">
        <f t="shared" si="0"/>
        <v>236547</v>
      </c>
      <c r="E12" s="320"/>
      <c r="F12" s="320">
        <v>6481</v>
      </c>
      <c r="G12" s="320"/>
      <c r="H12" s="320"/>
      <c r="I12" s="320"/>
      <c r="J12" s="317">
        <f t="shared" si="1"/>
        <v>230066</v>
      </c>
      <c r="K12" s="317">
        <f>60413-1764</f>
        <v>58649</v>
      </c>
      <c r="L12" s="317">
        <v>171417</v>
      </c>
    </row>
    <row r="13" spans="1:12" ht="38.25" x14ac:dyDescent="0.25">
      <c r="A13" s="568"/>
      <c r="B13" s="318" t="s">
        <v>283</v>
      </c>
      <c r="C13" s="323" t="s">
        <v>560</v>
      </c>
      <c r="D13" s="320">
        <f t="shared" si="0"/>
        <v>32496</v>
      </c>
      <c r="E13" s="324"/>
      <c r="F13" s="324"/>
      <c r="G13" s="324"/>
      <c r="H13" s="324"/>
      <c r="I13" s="324"/>
      <c r="J13" s="317">
        <f t="shared" si="1"/>
        <v>32496</v>
      </c>
      <c r="K13" s="317">
        <f>8359+1764</f>
        <v>10123</v>
      </c>
      <c r="L13" s="317">
        <v>22373</v>
      </c>
    </row>
    <row r="14" spans="1:12" x14ac:dyDescent="0.25">
      <c r="A14" s="325">
        <v>6</v>
      </c>
      <c r="B14" s="325" t="s">
        <v>282</v>
      </c>
      <c r="C14" s="321" t="s">
        <v>143</v>
      </c>
      <c r="D14" s="320">
        <f t="shared" si="0"/>
        <v>74709</v>
      </c>
      <c r="E14" s="320"/>
      <c r="F14" s="320"/>
      <c r="G14" s="320"/>
      <c r="H14" s="320"/>
      <c r="I14" s="320"/>
      <c r="J14" s="317">
        <f t="shared" si="1"/>
        <v>74709</v>
      </c>
      <c r="K14" s="317">
        <v>23085</v>
      </c>
      <c r="L14" s="317">
        <v>51624</v>
      </c>
    </row>
    <row r="15" spans="1:12" x14ac:dyDescent="0.25">
      <c r="A15" s="318">
        <v>7</v>
      </c>
      <c r="B15" s="318" t="s">
        <v>218</v>
      </c>
      <c r="C15" s="321" t="s">
        <v>181</v>
      </c>
      <c r="D15" s="320">
        <f t="shared" si="0"/>
        <v>32964</v>
      </c>
      <c r="E15" s="320"/>
      <c r="F15" s="320"/>
      <c r="G15" s="320"/>
      <c r="H15" s="320"/>
      <c r="I15" s="320"/>
      <c r="J15" s="317">
        <f t="shared" si="1"/>
        <v>32964</v>
      </c>
      <c r="K15" s="317">
        <v>5823</v>
      </c>
      <c r="L15" s="317">
        <v>27141</v>
      </c>
    </row>
    <row r="16" spans="1:12" x14ac:dyDescent="0.25">
      <c r="A16" s="318">
        <v>8</v>
      </c>
      <c r="B16" s="318" t="s">
        <v>221</v>
      </c>
      <c r="C16" s="321" t="s">
        <v>178</v>
      </c>
      <c r="D16" s="320">
        <f t="shared" si="0"/>
        <v>33033</v>
      </c>
      <c r="E16" s="320"/>
      <c r="F16" s="320"/>
      <c r="G16" s="320"/>
      <c r="H16" s="320"/>
      <c r="I16" s="320"/>
      <c r="J16" s="317">
        <f t="shared" si="1"/>
        <v>33033</v>
      </c>
      <c r="K16" s="317">
        <v>6697</v>
      </c>
      <c r="L16" s="317">
        <v>26336</v>
      </c>
    </row>
    <row r="17" spans="1:12" x14ac:dyDescent="0.25">
      <c r="A17" s="318">
        <v>9</v>
      </c>
      <c r="B17" s="318" t="s">
        <v>229</v>
      </c>
      <c r="C17" s="321" t="s">
        <v>172</v>
      </c>
      <c r="D17" s="320">
        <f t="shared" si="0"/>
        <v>36711</v>
      </c>
      <c r="E17" s="320"/>
      <c r="F17" s="320"/>
      <c r="G17" s="320"/>
      <c r="H17" s="320"/>
      <c r="I17" s="320"/>
      <c r="J17" s="317">
        <f t="shared" si="1"/>
        <v>36711</v>
      </c>
      <c r="K17" s="317">
        <v>7573</v>
      </c>
      <c r="L17" s="317">
        <v>29138</v>
      </c>
    </row>
    <row r="18" spans="1:12" x14ac:dyDescent="0.25">
      <c r="A18" s="318">
        <v>10</v>
      </c>
      <c r="B18" s="318" t="s">
        <v>231</v>
      </c>
      <c r="C18" s="321" t="s">
        <v>170</v>
      </c>
      <c r="D18" s="320">
        <f t="shared" si="0"/>
        <v>39393</v>
      </c>
      <c r="E18" s="320"/>
      <c r="F18" s="320"/>
      <c r="G18" s="320"/>
      <c r="H18" s="320"/>
      <c r="I18" s="320"/>
      <c r="J18" s="317">
        <f t="shared" si="1"/>
        <v>39393</v>
      </c>
      <c r="K18" s="317">
        <v>8675</v>
      </c>
      <c r="L18" s="317">
        <v>30718</v>
      </c>
    </row>
    <row r="19" spans="1:12" x14ac:dyDescent="0.25">
      <c r="A19" s="318">
        <v>11</v>
      </c>
      <c r="B19" s="318" t="s">
        <v>257</v>
      </c>
      <c r="C19" s="322" t="s">
        <v>163</v>
      </c>
      <c r="D19" s="320">
        <f t="shared" si="0"/>
        <v>41195</v>
      </c>
      <c r="E19" s="320"/>
      <c r="F19" s="320"/>
      <c r="G19" s="320"/>
      <c r="H19" s="320"/>
      <c r="I19" s="320"/>
      <c r="J19" s="317">
        <f t="shared" si="1"/>
        <v>41195</v>
      </c>
      <c r="K19" s="317">
        <v>13523</v>
      </c>
      <c r="L19" s="317">
        <v>27672</v>
      </c>
    </row>
    <row r="20" spans="1:12" x14ac:dyDescent="0.25">
      <c r="A20" s="318">
        <v>12</v>
      </c>
      <c r="B20" s="318" t="s">
        <v>258</v>
      </c>
      <c r="C20" s="321" t="s">
        <v>162</v>
      </c>
      <c r="D20" s="320">
        <f t="shared" si="0"/>
        <v>37749</v>
      </c>
      <c r="E20" s="320"/>
      <c r="F20" s="320"/>
      <c r="G20" s="320"/>
      <c r="H20" s="320"/>
      <c r="I20" s="320"/>
      <c r="J20" s="317">
        <f t="shared" si="1"/>
        <v>37749</v>
      </c>
      <c r="K20" s="317">
        <v>8175</v>
      </c>
      <c r="L20" s="317">
        <v>29574</v>
      </c>
    </row>
    <row r="21" spans="1:12" x14ac:dyDescent="0.25">
      <c r="A21" s="318">
        <v>13</v>
      </c>
      <c r="B21" s="318" t="s">
        <v>261</v>
      </c>
      <c r="C21" s="322" t="s">
        <v>159</v>
      </c>
      <c r="D21" s="320">
        <f t="shared" si="0"/>
        <v>45457</v>
      </c>
      <c r="E21" s="320"/>
      <c r="F21" s="320"/>
      <c r="G21" s="320"/>
      <c r="H21" s="320"/>
      <c r="I21" s="320"/>
      <c r="J21" s="317">
        <f t="shared" si="1"/>
        <v>45457</v>
      </c>
      <c r="K21" s="317">
        <v>9943</v>
      </c>
      <c r="L21" s="317">
        <v>35514</v>
      </c>
    </row>
    <row r="22" spans="1:12" x14ac:dyDescent="0.25">
      <c r="A22" s="318">
        <v>14</v>
      </c>
      <c r="B22" s="318" t="s">
        <v>267</v>
      </c>
      <c r="C22" s="321" t="s">
        <v>155</v>
      </c>
      <c r="D22" s="320">
        <f t="shared" si="0"/>
        <v>37464</v>
      </c>
      <c r="E22" s="320"/>
      <c r="F22" s="320"/>
      <c r="G22" s="320"/>
      <c r="H22" s="320"/>
      <c r="I22" s="320"/>
      <c r="J22" s="317">
        <f t="shared" si="1"/>
        <v>37464</v>
      </c>
      <c r="K22" s="317">
        <v>8242</v>
      </c>
      <c r="L22" s="317">
        <v>29222</v>
      </c>
    </row>
    <row r="23" spans="1:12" x14ac:dyDescent="0.25">
      <c r="A23" s="318">
        <v>15</v>
      </c>
      <c r="B23" s="318" t="s">
        <v>561</v>
      </c>
      <c r="C23" s="321" t="s">
        <v>562</v>
      </c>
      <c r="D23" s="320">
        <f t="shared" si="0"/>
        <v>117</v>
      </c>
      <c r="E23" s="320"/>
      <c r="F23" s="320"/>
      <c r="G23" s="320">
        <v>117</v>
      </c>
      <c r="H23" s="320"/>
      <c r="I23" s="320"/>
      <c r="J23" s="317">
        <f t="shared" si="1"/>
        <v>0</v>
      </c>
      <c r="K23" s="317">
        <v>0</v>
      </c>
      <c r="L23" s="317">
        <v>0</v>
      </c>
    </row>
    <row r="24" spans="1:12" x14ac:dyDescent="0.25">
      <c r="A24" s="318">
        <v>16</v>
      </c>
      <c r="B24" s="318" t="s">
        <v>563</v>
      </c>
      <c r="C24" s="321" t="s">
        <v>564</v>
      </c>
      <c r="D24" s="320">
        <f t="shared" si="0"/>
        <v>116</v>
      </c>
      <c r="E24" s="320"/>
      <c r="F24" s="320"/>
      <c r="G24" s="320">
        <v>116</v>
      </c>
      <c r="H24" s="320"/>
      <c r="I24" s="320"/>
      <c r="J24" s="317">
        <f t="shared" si="1"/>
        <v>0</v>
      </c>
      <c r="K24" s="317">
        <v>0</v>
      </c>
      <c r="L24" s="317">
        <v>0</v>
      </c>
    </row>
    <row r="25" spans="1:12" x14ac:dyDescent="0.25">
      <c r="A25" s="318">
        <v>17</v>
      </c>
      <c r="B25" s="318" t="s">
        <v>565</v>
      </c>
      <c r="C25" s="321" t="s">
        <v>566</v>
      </c>
      <c r="D25" s="320">
        <f t="shared" si="0"/>
        <v>116</v>
      </c>
      <c r="E25" s="320"/>
      <c r="F25" s="320"/>
      <c r="G25" s="320">
        <v>116</v>
      </c>
      <c r="H25" s="320"/>
      <c r="I25" s="320"/>
      <c r="J25" s="317">
        <f t="shared" si="1"/>
        <v>0</v>
      </c>
      <c r="K25" s="317">
        <v>0</v>
      </c>
      <c r="L25" s="317">
        <v>0</v>
      </c>
    </row>
    <row r="26" spans="1:12" x14ac:dyDescent="0.25">
      <c r="A26" s="318">
        <v>18</v>
      </c>
      <c r="B26" s="318" t="s">
        <v>567</v>
      </c>
      <c r="C26" s="322" t="s">
        <v>568</v>
      </c>
      <c r="D26" s="320">
        <f t="shared" si="0"/>
        <v>116</v>
      </c>
      <c r="E26" s="320"/>
      <c r="F26" s="320"/>
      <c r="G26" s="320">
        <v>116</v>
      </c>
      <c r="H26" s="320"/>
      <c r="I26" s="320"/>
      <c r="J26" s="317">
        <f t="shared" si="1"/>
        <v>0</v>
      </c>
      <c r="K26" s="317">
        <v>0</v>
      </c>
      <c r="L26" s="317">
        <v>0</v>
      </c>
    </row>
    <row r="27" spans="1:12" x14ac:dyDescent="0.25">
      <c r="A27" s="318">
        <v>19</v>
      </c>
      <c r="B27" s="318" t="s">
        <v>569</v>
      </c>
      <c r="C27" s="322" t="s">
        <v>570</v>
      </c>
      <c r="D27" s="320">
        <f t="shared" si="0"/>
        <v>116</v>
      </c>
      <c r="E27" s="320"/>
      <c r="F27" s="320"/>
      <c r="G27" s="320">
        <v>116</v>
      </c>
      <c r="H27" s="320"/>
      <c r="I27" s="320"/>
      <c r="J27" s="317">
        <f t="shared" si="1"/>
        <v>0</v>
      </c>
      <c r="K27" s="317">
        <v>0</v>
      </c>
      <c r="L27" s="317">
        <v>0</v>
      </c>
    </row>
    <row r="28" spans="1:12" x14ac:dyDescent="0.25">
      <c r="A28" s="318">
        <v>20</v>
      </c>
      <c r="B28" s="318" t="s">
        <v>571</v>
      </c>
      <c r="C28" s="321" t="s">
        <v>572</v>
      </c>
      <c r="D28" s="320">
        <f t="shared" si="0"/>
        <v>99</v>
      </c>
      <c r="E28" s="320"/>
      <c r="F28" s="320"/>
      <c r="G28" s="320">
        <v>99</v>
      </c>
      <c r="H28" s="320"/>
      <c r="I28" s="320"/>
      <c r="J28" s="317">
        <f t="shared" si="1"/>
        <v>0</v>
      </c>
      <c r="K28" s="317">
        <v>0</v>
      </c>
      <c r="L28" s="317">
        <v>0</v>
      </c>
    </row>
    <row r="29" spans="1:12" x14ac:dyDescent="0.25">
      <c r="A29" s="318">
        <v>21</v>
      </c>
      <c r="B29" s="318" t="s">
        <v>573</v>
      </c>
      <c r="C29" s="321" t="s">
        <v>574</v>
      </c>
      <c r="D29" s="320">
        <f t="shared" si="0"/>
        <v>117</v>
      </c>
      <c r="E29" s="320"/>
      <c r="F29" s="320"/>
      <c r="G29" s="320">
        <v>117</v>
      </c>
      <c r="H29" s="320"/>
      <c r="I29" s="320"/>
      <c r="J29" s="317">
        <f t="shared" si="1"/>
        <v>0</v>
      </c>
      <c r="K29" s="317">
        <v>0</v>
      </c>
      <c r="L29" s="317">
        <v>0</v>
      </c>
    </row>
    <row r="30" spans="1:12" x14ac:dyDescent="0.25">
      <c r="A30" s="318">
        <v>22</v>
      </c>
      <c r="B30" s="318" t="s">
        <v>575</v>
      </c>
      <c r="C30" s="322" t="s">
        <v>576</v>
      </c>
      <c r="D30" s="320">
        <f t="shared" si="0"/>
        <v>116</v>
      </c>
      <c r="E30" s="320"/>
      <c r="F30" s="320"/>
      <c r="G30" s="320">
        <v>116</v>
      </c>
      <c r="H30" s="320"/>
      <c r="I30" s="320"/>
      <c r="J30" s="317">
        <f t="shared" si="1"/>
        <v>0</v>
      </c>
      <c r="K30" s="317">
        <v>0</v>
      </c>
      <c r="L30" s="317">
        <v>0</v>
      </c>
    </row>
    <row r="31" spans="1:12" x14ac:dyDescent="0.25">
      <c r="A31" s="318">
        <v>23</v>
      </c>
      <c r="B31" s="318" t="s">
        <v>315</v>
      </c>
      <c r="C31" s="321" t="s">
        <v>577</v>
      </c>
      <c r="D31" s="320">
        <f t="shared" si="0"/>
        <v>102</v>
      </c>
      <c r="E31" s="320"/>
      <c r="F31" s="320"/>
      <c r="G31" s="320">
        <v>102</v>
      </c>
      <c r="H31" s="320"/>
      <c r="I31" s="320"/>
      <c r="J31" s="317">
        <f t="shared" si="1"/>
        <v>0</v>
      </c>
      <c r="K31" s="317">
        <v>0</v>
      </c>
      <c r="L31" s="317">
        <v>0</v>
      </c>
    </row>
    <row r="32" spans="1:12" x14ac:dyDescent="0.25">
      <c r="A32" s="318">
        <v>24</v>
      </c>
      <c r="B32" s="318" t="s">
        <v>277</v>
      </c>
      <c r="C32" s="321" t="s">
        <v>104</v>
      </c>
      <c r="D32" s="320">
        <f t="shared" si="0"/>
        <v>104272</v>
      </c>
      <c r="E32" s="320">
        <v>3617</v>
      </c>
      <c r="F32" s="320"/>
      <c r="G32" s="320"/>
      <c r="H32" s="320"/>
      <c r="I32" s="320"/>
      <c r="J32" s="317">
        <f t="shared" si="1"/>
        <v>100655</v>
      </c>
      <c r="K32" s="317">
        <v>29582</v>
      </c>
      <c r="L32" s="317">
        <v>71073</v>
      </c>
    </row>
    <row r="33" spans="1:12" x14ac:dyDescent="0.25">
      <c r="A33" s="318">
        <v>25</v>
      </c>
      <c r="B33" s="318" t="s">
        <v>578</v>
      </c>
      <c r="C33" s="326" t="s">
        <v>579</v>
      </c>
      <c r="D33" s="320">
        <f t="shared" si="0"/>
        <v>4152</v>
      </c>
      <c r="E33" s="320"/>
      <c r="F33" s="320"/>
      <c r="G33" s="320">
        <v>4152</v>
      </c>
      <c r="H33" s="320"/>
      <c r="I33" s="320"/>
      <c r="J33" s="317">
        <f t="shared" si="1"/>
        <v>0</v>
      </c>
      <c r="K33" s="317">
        <v>0</v>
      </c>
      <c r="L33" s="317">
        <v>0</v>
      </c>
    </row>
    <row r="34" spans="1:12" x14ac:dyDescent="0.25">
      <c r="A34" s="318">
        <v>26</v>
      </c>
      <c r="B34" s="318" t="s">
        <v>219</v>
      </c>
      <c r="C34" s="321" t="s">
        <v>180</v>
      </c>
      <c r="D34" s="320">
        <f t="shared" si="0"/>
        <v>93025</v>
      </c>
      <c r="E34" s="320"/>
      <c r="F34" s="320"/>
      <c r="G34" s="320"/>
      <c r="H34" s="320"/>
      <c r="I34" s="320"/>
      <c r="J34" s="317">
        <f t="shared" si="1"/>
        <v>93025</v>
      </c>
      <c r="K34" s="317">
        <v>25697</v>
      </c>
      <c r="L34" s="317">
        <v>67328</v>
      </c>
    </row>
    <row r="35" spans="1:12" x14ac:dyDescent="0.25">
      <c r="A35" s="318">
        <v>27</v>
      </c>
      <c r="B35" s="318" t="s">
        <v>27</v>
      </c>
      <c r="C35" s="321" t="s">
        <v>4</v>
      </c>
      <c r="D35" s="320">
        <f t="shared" si="0"/>
        <v>176859</v>
      </c>
      <c r="E35" s="320"/>
      <c r="F35" s="320">
        <v>5599</v>
      </c>
      <c r="G35" s="320"/>
      <c r="H35" s="320"/>
      <c r="I35" s="320"/>
      <c r="J35" s="317">
        <f t="shared" si="1"/>
        <v>171260</v>
      </c>
      <c r="K35" s="317">
        <v>46688</v>
      </c>
      <c r="L35" s="317">
        <v>124572</v>
      </c>
    </row>
    <row r="36" spans="1:12" x14ac:dyDescent="0.25">
      <c r="A36" s="318">
        <v>28</v>
      </c>
      <c r="B36" s="318" t="s">
        <v>275</v>
      </c>
      <c r="C36" s="321" t="s">
        <v>100</v>
      </c>
      <c r="D36" s="320">
        <f t="shared" si="0"/>
        <v>120378</v>
      </c>
      <c r="E36" s="320"/>
      <c r="F36" s="320"/>
      <c r="G36" s="320"/>
      <c r="H36" s="320"/>
      <c r="I36" s="320"/>
      <c r="J36" s="317">
        <f t="shared" si="1"/>
        <v>120378</v>
      </c>
      <c r="K36" s="317">
        <v>37535</v>
      </c>
      <c r="L36" s="317">
        <v>82843</v>
      </c>
    </row>
    <row r="37" spans="1:12" x14ac:dyDescent="0.25">
      <c r="A37" s="318">
        <v>29</v>
      </c>
      <c r="B37" s="318" t="s">
        <v>325</v>
      </c>
      <c r="C37" s="321" t="s">
        <v>580</v>
      </c>
      <c r="D37" s="320">
        <f t="shared" si="0"/>
        <v>23989</v>
      </c>
      <c r="E37" s="320"/>
      <c r="F37" s="320"/>
      <c r="G37" s="320"/>
      <c r="H37" s="320"/>
      <c r="I37" s="320"/>
      <c r="J37" s="317">
        <f t="shared" si="1"/>
        <v>23989</v>
      </c>
      <c r="K37" s="317">
        <v>7609</v>
      </c>
      <c r="L37" s="317">
        <v>16380</v>
      </c>
    </row>
    <row r="38" spans="1:12" x14ac:dyDescent="0.25">
      <c r="A38" s="318">
        <v>30</v>
      </c>
      <c r="B38" s="318" t="s">
        <v>215</v>
      </c>
      <c r="C38" s="321" t="s">
        <v>184</v>
      </c>
      <c r="D38" s="320">
        <f t="shared" si="0"/>
        <v>49971</v>
      </c>
      <c r="E38" s="320"/>
      <c r="F38" s="320"/>
      <c r="G38" s="320"/>
      <c r="H38" s="320"/>
      <c r="I38" s="320"/>
      <c r="J38" s="317">
        <f t="shared" si="1"/>
        <v>49971</v>
      </c>
      <c r="K38" s="317">
        <v>10056</v>
      </c>
      <c r="L38" s="317">
        <v>39915</v>
      </c>
    </row>
    <row r="39" spans="1:12" x14ac:dyDescent="0.25">
      <c r="A39" s="318">
        <v>31</v>
      </c>
      <c r="B39" s="318" t="s">
        <v>217</v>
      </c>
      <c r="C39" s="321" t="s">
        <v>182</v>
      </c>
      <c r="D39" s="320">
        <f t="shared" si="0"/>
        <v>68814</v>
      </c>
      <c r="E39" s="320"/>
      <c r="F39" s="320"/>
      <c r="G39" s="320"/>
      <c r="H39" s="320"/>
      <c r="I39" s="320"/>
      <c r="J39" s="317">
        <f t="shared" si="1"/>
        <v>68814</v>
      </c>
      <c r="K39" s="317">
        <v>8427</v>
      </c>
      <c r="L39" s="317">
        <v>60387</v>
      </c>
    </row>
    <row r="40" spans="1:12" x14ac:dyDescent="0.25">
      <c r="A40" s="318">
        <v>32</v>
      </c>
      <c r="B40" s="318" t="s">
        <v>230</v>
      </c>
      <c r="C40" s="321" t="s">
        <v>171</v>
      </c>
      <c r="D40" s="320">
        <f t="shared" si="0"/>
        <v>28532</v>
      </c>
      <c r="E40" s="320"/>
      <c r="F40" s="320"/>
      <c r="G40" s="320"/>
      <c r="H40" s="320"/>
      <c r="I40" s="320"/>
      <c r="J40" s="317">
        <f t="shared" si="1"/>
        <v>28532</v>
      </c>
      <c r="K40" s="317">
        <v>9038</v>
      </c>
      <c r="L40" s="317">
        <v>19494</v>
      </c>
    </row>
    <row r="41" spans="1:12" x14ac:dyDescent="0.25">
      <c r="A41" s="318">
        <v>33</v>
      </c>
      <c r="B41" s="318" t="s">
        <v>253</v>
      </c>
      <c r="C41" s="321" t="s">
        <v>166</v>
      </c>
      <c r="D41" s="320">
        <f t="shared" si="0"/>
        <v>23611</v>
      </c>
      <c r="E41" s="320"/>
      <c r="F41" s="320"/>
      <c r="G41" s="320"/>
      <c r="H41" s="320"/>
      <c r="I41" s="320"/>
      <c r="J41" s="317">
        <f t="shared" si="1"/>
        <v>23611</v>
      </c>
      <c r="K41" s="317">
        <v>3424</v>
      </c>
      <c r="L41" s="317">
        <v>20187</v>
      </c>
    </row>
    <row r="42" spans="1:12" x14ac:dyDescent="0.25">
      <c r="A42" s="565">
        <v>34</v>
      </c>
      <c r="B42" s="327" t="s">
        <v>236</v>
      </c>
      <c r="C42" s="321" t="s">
        <v>94</v>
      </c>
      <c r="D42" s="320">
        <f t="shared" si="0"/>
        <v>93778</v>
      </c>
      <c r="E42" s="320"/>
      <c r="F42" s="320">
        <v>12046</v>
      </c>
      <c r="G42" s="320"/>
      <c r="H42" s="320"/>
      <c r="I42" s="320"/>
      <c r="J42" s="317">
        <f t="shared" si="1"/>
        <v>81732</v>
      </c>
      <c r="K42" s="317">
        <v>6268</v>
      </c>
      <c r="L42" s="317">
        <v>75464</v>
      </c>
    </row>
    <row r="43" spans="1:12" ht="38.25" x14ac:dyDescent="0.25">
      <c r="A43" s="566"/>
      <c r="B43" s="325" t="s">
        <v>238</v>
      </c>
      <c r="C43" s="321" t="s">
        <v>581</v>
      </c>
      <c r="D43" s="320">
        <f t="shared" si="0"/>
        <v>73986</v>
      </c>
      <c r="E43" s="320"/>
      <c r="F43" s="320"/>
      <c r="G43" s="320"/>
      <c r="H43" s="320"/>
      <c r="I43" s="320"/>
      <c r="J43" s="317">
        <f t="shared" si="1"/>
        <v>73986</v>
      </c>
      <c r="K43" s="317">
        <v>25499</v>
      </c>
      <c r="L43" s="317">
        <v>48487</v>
      </c>
    </row>
    <row r="44" spans="1:12" ht="25.5" x14ac:dyDescent="0.25">
      <c r="A44" s="318">
        <v>35</v>
      </c>
      <c r="B44" s="318" t="s">
        <v>438</v>
      </c>
      <c r="C44" s="321" t="s">
        <v>582</v>
      </c>
      <c r="D44" s="320">
        <f t="shared" si="0"/>
        <v>13509</v>
      </c>
      <c r="E44" s="320"/>
      <c r="F44" s="320"/>
      <c r="G44" s="320"/>
      <c r="H44" s="320"/>
      <c r="I44" s="320"/>
      <c r="J44" s="317">
        <f t="shared" si="1"/>
        <v>13509</v>
      </c>
      <c r="K44" s="317">
        <v>3812</v>
      </c>
      <c r="L44" s="317">
        <v>9697</v>
      </c>
    </row>
    <row r="45" spans="1:12" x14ac:dyDescent="0.25">
      <c r="A45" s="318">
        <v>36</v>
      </c>
      <c r="B45" s="318" t="s">
        <v>24</v>
      </c>
      <c r="C45" s="321" t="s">
        <v>583</v>
      </c>
      <c r="D45" s="320">
        <f t="shared" si="0"/>
        <v>128222</v>
      </c>
      <c r="E45" s="320"/>
      <c r="F45" s="320"/>
      <c r="G45" s="320"/>
      <c r="H45" s="320"/>
      <c r="I45" s="320"/>
      <c r="J45" s="317">
        <f t="shared" si="1"/>
        <v>128222</v>
      </c>
      <c r="K45" s="317">
        <f>35753-500</f>
        <v>35253</v>
      </c>
      <c r="L45" s="317">
        <v>92969</v>
      </c>
    </row>
    <row r="46" spans="1:12" x14ac:dyDescent="0.25">
      <c r="A46" s="565">
        <v>37</v>
      </c>
      <c r="B46" s="327" t="s">
        <v>242</v>
      </c>
      <c r="C46" s="321" t="s">
        <v>102</v>
      </c>
      <c r="D46" s="320">
        <f t="shared" si="0"/>
        <v>11302</v>
      </c>
      <c r="E46" s="320"/>
      <c r="F46" s="320"/>
      <c r="G46" s="320"/>
      <c r="H46" s="320"/>
      <c r="I46" s="320"/>
      <c r="J46" s="317">
        <f t="shared" si="1"/>
        <v>11302</v>
      </c>
      <c r="K46" s="317">
        <v>2328</v>
      </c>
      <c r="L46" s="317">
        <v>8974</v>
      </c>
    </row>
    <row r="47" spans="1:12" ht="38.25" x14ac:dyDescent="0.25">
      <c r="A47" s="569"/>
      <c r="B47" s="328" t="s">
        <v>291</v>
      </c>
      <c r="C47" s="323" t="s">
        <v>584</v>
      </c>
      <c r="D47" s="320">
        <f t="shared" si="0"/>
        <v>19789</v>
      </c>
      <c r="E47" s="324"/>
      <c r="F47" s="324"/>
      <c r="G47" s="324"/>
      <c r="H47" s="324"/>
      <c r="I47" s="324"/>
      <c r="J47" s="317">
        <f t="shared" si="1"/>
        <v>19789</v>
      </c>
      <c r="K47" s="317">
        <v>4174</v>
      </c>
      <c r="L47" s="317">
        <v>15615</v>
      </c>
    </row>
    <row r="48" spans="1:12" ht="76.5" x14ac:dyDescent="0.25">
      <c r="A48" s="566"/>
      <c r="B48" s="325" t="s">
        <v>403</v>
      </c>
      <c r="C48" s="323" t="s">
        <v>585</v>
      </c>
      <c r="D48" s="320">
        <f t="shared" si="0"/>
        <v>59375</v>
      </c>
      <c r="E48" s="324"/>
      <c r="F48" s="324"/>
      <c r="G48" s="324"/>
      <c r="H48" s="324"/>
      <c r="I48" s="324"/>
      <c r="J48" s="317">
        <f t="shared" si="1"/>
        <v>59375</v>
      </c>
      <c r="K48" s="317">
        <v>12530</v>
      </c>
      <c r="L48" s="317">
        <v>46845</v>
      </c>
    </row>
    <row r="49" spans="1:12" x14ac:dyDescent="0.25">
      <c r="A49" s="318">
        <v>38</v>
      </c>
      <c r="B49" s="318" t="s">
        <v>248</v>
      </c>
      <c r="C49" s="321" t="s">
        <v>129</v>
      </c>
      <c r="D49" s="320">
        <f t="shared" si="0"/>
        <v>76880</v>
      </c>
      <c r="E49" s="320"/>
      <c r="F49" s="320"/>
      <c r="G49" s="320"/>
      <c r="H49" s="320"/>
      <c r="I49" s="320"/>
      <c r="J49" s="317">
        <f t="shared" si="1"/>
        <v>76880</v>
      </c>
      <c r="K49" s="317">
        <v>6084</v>
      </c>
      <c r="L49" s="317">
        <v>70796</v>
      </c>
    </row>
    <row r="50" spans="1:12" ht="25.5" x14ac:dyDescent="0.25">
      <c r="A50" s="318">
        <v>39</v>
      </c>
      <c r="B50" s="318" t="s">
        <v>586</v>
      </c>
      <c r="C50" s="321" t="s">
        <v>587</v>
      </c>
      <c r="D50" s="320">
        <f t="shared" si="0"/>
        <v>63474</v>
      </c>
      <c r="E50" s="320"/>
      <c r="F50" s="320"/>
      <c r="G50" s="320">
        <v>63474</v>
      </c>
      <c r="H50" s="320"/>
      <c r="I50" s="320"/>
      <c r="J50" s="317">
        <f t="shared" si="1"/>
        <v>0</v>
      </c>
      <c r="K50" s="317">
        <v>0</v>
      </c>
      <c r="L50" s="317">
        <v>0</v>
      </c>
    </row>
    <row r="51" spans="1:12" x14ac:dyDescent="0.25">
      <c r="A51" s="318">
        <v>40</v>
      </c>
      <c r="B51" s="318" t="s">
        <v>212</v>
      </c>
      <c r="C51" s="321" t="s">
        <v>185</v>
      </c>
      <c r="D51" s="320">
        <f t="shared" si="0"/>
        <v>10558</v>
      </c>
      <c r="E51" s="320"/>
      <c r="F51" s="320"/>
      <c r="G51" s="320">
        <v>10558</v>
      </c>
      <c r="H51" s="320"/>
      <c r="I51" s="320"/>
      <c r="J51" s="317">
        <f t="shared" si="1"/>
        <v>0</v>
      </c>
      <c r="K51" s="317">
        <v>0</v>
      </c>
      <c r="L51" s="317">
        <v>0</v>
      </c>
    </row>
    <row r="52" spans="1:12" x14ac:dyDescent="0.25">
      <c r="A52" s="565">
        <v>41</v>
      </c>
      <c r="B52" s="327" t="s">
        <v>235</v>
      </c>
      <c r="C52" s="321" t="s">
        <v>95</v>
      </c>
      <c r="D52" s="320">
        <f t="shared" si="0"/>
        <v>143396</v>
      </c>
      <c r="E52" s="320">
        <v>3355</v>
      </c>
      <c r="F52" s="320"/>
      <c r="G52" s="320"/>
      <c r="H52" s="320"/>
      <c r="I52" s="320"/>
      <c r="J52" s="317">
        <f t="shared" si="1"/>
        <v>140041</v>
      </c>
      <c r="K52" s="317">
        <f>25491+4000</f>
        <v>29491</v>
      </c>
      <c r="L52" s="317">
        <v>110550</v>
      </c>
    </row>
    <row r="53" spans="1:12" ht="38.25" x14ac:dyDescent="0.25">
      <c r="A53" s="569"/>
      <c r="B53" s="328" t="s">
        <v>287</v>
      </c>
      <c r="C53" s="323" t="s">
        <v>588</v>
      </c>
      <c r="D53" s="320">
        <f t="shared" si="0"/>
        <v>45204</v>
      </c>
      <c r="E53" s="324"/>
      <c r="F53" s="324"/>
      <c r="G53" s="324"/>
      <c r="H53" s="324"/>
      <c r="I53" s="324"/>
      <c r="J53" s="317">
        <f t="shared" si="1"/>
        <v>45204</v>
      </c>
      <c r="K53" s="317">
        <v>455</v>
      </c>
      <c r="L53" s="317">
        <v>44749</v>
      </c>
    </row>
    <row r="54" spans="1:12" ht="25.5" x14ac:dyDescent="0.25">
      <c r="A54" s="566"/>
      <c r="B54" s="325" t="s">
        <v>289</v>
      </c>
      <c r="C54" s="323" t="s">
        <v>589</v>
      </c>
      <c r="D54" s="320">
        <f t="shared" si="0"/>
        <v>15000</v>
      </c>
      <c r="E54" s="324"/>
      <c r="F54" s="324"/>
      <c r="G54" s="324">
        <f>17722-4000</f>
        <v>13722</v>
      </c>
      <c r="H54" s="324"/>
      <c r="I54" s="324"/>
      <c r="J54" s="317">
        <f t="shared" si="1"/>
        <v>1278</v>
      </c>
      <c r="K54" s="317">
        <v>1278</v>
      </c>
      <c r="L54" s="317">
        <v>0</v>
      </c>
    </row>
    <row r="55" spans="1:12" x14ac:dyDescent="0.25">
      <c r="A55" s="318">
        <v>42</v>
      </c>
      <c r="B55" s="318" t="s">
        <v>590</v>
      </c>
      <c r="C55" s="321" t="s">
        <v>591</v>
      </c>
      <c r="D55" s="320">
        <f t="shared" si="0"/>
        <v>6701</v>
      </c>
      <c r="E55" s="320"/>
      <c r="F55" s="320"/>
      <c r="G55" s="320">
        <v>6701</v>
      </c>
      <c r="H55" s="320"/>
      <c r="I55" s="320"/>
      <c r="J55" s="317">
        <f t="shared" si="1"/>
        <v>0</v>
      </c>
      <c r="K55" s="317">
        <v>0</v>
      </c>
      <c r="L55" s="317">
        <v>0</v>
      </c>
    </row>
    <row r="56" spans="1:12" x14ac:dyDescent="0.25">
      <c r="A56" s="318">
        <v>43</v>
      </c>
      <c r="B56" s="318" t="s">
        <v>211</v>
      </c>
      <c r="C56" s="321" t="s">
        <v>186</v>
      </c>
      <c r="D56" s="320">
        <f t="shared" si="0"/>
        <v>8023</v>
      </c>
      <c r="E56" s="320"/>
      <c r="F56" s="320"/>
      <c r="G56" s="320">
        <f>8493-470</f>
        <v>8023</v>
      </c>
      <c r="H56" s="320"/>
      <c r="I56" s="320"/>
      <c r="J56" s="317">
        <f t="shared" si="1"/>
        <v>0</v>
      </c>
      <c r="K56" s="317">
        <v>0</v>
      </c>
      <c r="L56" s="317">
        <v>0</v>
      </c>
    </row>
    <row r="57" spans="1:12" x14ac:dyDescent="0.25">
      <c r="A57" s="565">
        <v>44</v>
      </c>
      <c r="B57" s="327" t="s">
        <v>233</v>
      </c>
      <c r="C57" s="321" t="s">
        <v>96</v>
      </c>
      <c r="D57" s="320">
        <f t="shared" si="0"/>
        <v>108151</v>
      </c>
      <c r="E57" s="320"/>
      <c r="F57" s="320">
        <v>5555</v>
      </c>
      <c r="G57" s="320"/>
      <c r="H57" s="320"/>
      <c r="I57" s="320"/>
      <c r="J57" s="317">
        <f t="shared" si="1"/>
        <v>102596</v>
      </c>
      <c r="K57" s="317">
        <v>28669</v>
      </c>
      <c r="L57" s="317">
        <v>73927</v>
      </c>
    </row>
    <row r="58" spans="1:12" ht="38.25" x14ac:dyDescent="0.25">
      <c r="A58" s="566"/>
      <c r="B58" s="325" t="s">
        <v>285</v>
      </c>
      <c r="C58" s="323" t="s">
        <v>592</v>
      </c>
      <c r="D58" s="320">
        <f t="shared" si="0"/>
        <v>35700</v>
      </c>
      <c r="E58" s="324"/>
      <c r="F58" s="324"/>
      <c r="G58" s="324"/>
      <c r="H58" s="324"/>
      <c r="I58" s="324"/>
      <c r="J58" s="317">
        <f t="shared" si="1"/>
        <v>35700</v>
      </c>
      <c r="K58" s="317">
        <f>13635-1344-656-600-1800</f>
        <v>9235</v>
      </c>
      <c r="L58" s="317">
        <v>26465</v>
      </c>
    </row>
    <row r="59" spans="1:12" x14ac:dyDescent="0.25">
      <c r="A59" s="318">
        <v>45</v>
      </c>
      <c r="B59" s="318" t="s">
        <v>256</v>
      </c>
      <c r="C59" s="321" t="s">
        <v>107</v>
      </c>
      <c r="D59" s="320">
        <f t="shared" si="0"/>
        <v>141299</v>
      </c>
      <c r="E59" s="320"/>
      <c r="F59" s="320"/>
      <c r="G59" s="320"/>
      <c r="H59" s="320"/>
      <c r="I59" s="320"/>
      <c r="J59" s="317">
        <f t="shared" si="1"/>
        <v>141299</v>
      </c>
      <c r="K59" s="317">
        <v>36245</v>
      </c>
      <c r="L59" s="317">
        <v>105054</v>
      </c>
    </row>
    <row r="60" spans="1:12" x14ac:dyDescent="0.25">
      <c r="A60" s="318">
        <v>46</v>
      </c>
      <c r="B60" s="318" t="s">
        <v>265</v>
      </c>
      <c r="C60" s="321" t="s">
        <v>106</v>
      </c>
      <c r="D60" s="320">
        <f t="shared" si="0"/>
        <v>136601</v>
      </c>
      <c r="E60" s="320"/>
      <c r="F60" s="320"/>
      <c r="G60" s="320"/>
      <c r="H60" s="320"/>
      <c r="I60" s="320"/>
      <c r="J60" s="317">
        <f t="shared" si="1"/>
        <v>136601</v>
      </c>
      <c r="K60" s="317">
        <v>26943</v>
      </c>
      <c r="L60" s="317">
        <v>109658</v>
      </c>
    </row>
    <row r="61" spans="1:12" x14ac:dyDescent="0.25">
      <c r="A61" s="318">
        <v>47</v>
      </c>
      <c r="B61" s="318" t="s">
        <v>255</v>
      </c>
      <c r="C61" s="321" t="s">
        <v>164</v>
      </c>
      <c r="D61" s="320">
        <f t="shared" si="0"/>
        <v>42852</v>
      </c>
      <c r="E61" s="320"/>
      <c r="F61" s="320"/>
      <c r="G61" s="320"/>
      <c r="H61" s="320"/>
      <c r="I61" s="320"/>
      <c r="J61" s="317">
        <f t="shared" si="1"/>
        <v>42852</v>
      </c>
      <c r="K61" s="317">
        <v>11207</v>
      </c>
      <c r="L61" s="317">
        <v>31645</v>
      </c>
    </row>
    <row r="62" spans="1:12" x14ac:dyDescent="0.25">
      <c r="A62" s="318">
        <v>48</v>
      </c>
      <c r="B62" s="318" t="s">
        <v>262</v>
      </c>
      <c r="C62" s="321" t="s">
        <v>158</v>
      </c>
      <c r="D62" s="320">
        <f t="shared" si="0"/>
        <v>53478</v>
      </c>
      <c r="E62" s="320"/>
      <c r="F62" s="320"/>
      <c r="G62" s="320"/>
      <c r="H62" s="320"/>
      <c r="I62" s="320"/>
      <c r="J62" s="317">
        <f t="shared" si="1"/>
        <v>53478</v>
      </c>
      <c r="K62" s="317">
        <v>17249</v>
      </c>
      <c r="L62" s="317">
        <v>36229</v>
      </c>
    </row>
    <row r="63" spans="1:12" x14ac:dyDescent="0.25">
      <c r="A63" s="318">
        <v>49</v>
      </c>
      <c r="B63" s="318" t="s">
        <v>269</v>
      </c>
      <c r="C63" s="321" t="s">
        <v>153</v>
      </c>
      <c r="D63" s="320">
        <f t="shared" si="0"/>
        <v>49407</v>
      </c>
      <c r="E63" s="320"/>
      <c r="F63" s="320"/>
      <c r="G63" s="320"/>
      <c r="H63" s="320"/>
      <c r="I63" s="320"/>
      <c r="J63" s="317">
        <f t="shared" si="1"/>
        <v>49407</v>
      </c>
      <c r="K63" s="317">
        <v>13665</v>
      </c>
      <c r="L63" s="317">
        <v>35742</v>
      </c>
    </row>
    <row r="64" spans="1:12" x14ac:dyDescent="0.25">
      <c r="A64" s="318">
        <v>50</v>
      </c>
      <c r="B64" s="318" t="s">
        <v>272</v>
      </c>
      <c r="C64" s="321" t="s">
        <v>150</v>
      </c>
      <c r="D64" s="320">
        <f t="shared" si="0"/>
        <v>31735</v>
      </c>
      <c r="E64" s="320"/>
      <c r="F64" s="320"/>
      <c r="G64" s="320"/>
      <c r="H64" s="320"/>
      <c r="I64" s="320"/>
      <c r="J64" s="317">
        <f t="shared" si="1"/>
        <v>31735</v>
      </c>
      <c r="K64" s="317">
        <v>9248</v>
      </c>
      <c r="L64" s="317">
        <v>22487</v>
      </c>
    </row>
    <row r="65" spans="1:12" x14ac:dyDescent="0.25">
      <c r="A65" s="318">
        <v>51</v>
      </c>
      <c r="B65" s="318" t="s">
        <v>273</v>
      </c>
      <c r="C65" s="321" t="s">
        <v>149</v>
      </c>
      <c r="D65" s="320">
        <f t="shared" si="0"/>
        <v>55126</v>
      </c>
      <c r="E65" s="320"/>
      <c r="F65" s="320"/>
      <c r="G65" s="320"/>
      <c r="H65" s="320"/>
      <c r="I65" s="320"/>
      <c r="J65" s="317">
        <f t="shared" si="1"/>
        <v>55126</v>
      </c>
      <c r="K65" s="317">
        <v>12339</v>
      </c>
      <c r="L65" s="317">
        <v>42787</v>
      </c>
    </row>
    <row r="66" spans="1:12" x14ac:dyDescent="0.25">
      <c r="A66" s="318">
        <v>52</v>
      </c>
      <c r="B66" s="318" t="s">
        <v>276</v>
      </c>
      <c r="C66" s="321" t="s">
        <v>148</v>
      </c>
      <c r="D66" s="320">
        <f t="shared" si="0"/>
        <v>25714</v>
      </c>
      <c r="E66" s="320"/>
      <c r="F66" s="320"/>
      <c r="G66" s="320"/>
      <c r="H66" s="320"/>
      <c r="I66" s="320"/>
      <c r="J66" s="317">
        <f t="shared" si="1"/>
        <v>25714</v>
      </c>
      <c r="K66" s="317">
        <v>6738</v>
      </c>
      <c r="L66" s="317">
        <v>18976</v>
      </c>
    </row>
    <row r="67" spans="1:12" x14ac:dyDescent="0.25">
      <c r="A67" s="318">
        <v>53</v>
      </c>
      <c r="B67" s="318" t="s">
        <v>327</v>
      </c>
      <c r="C67" s="321" t="s">
        <v>593</v>
      </c>
      <c r="D67" s="320">
        <f t="shared" si="0"/>
        <v>11394</v>
      </c>
      <c r="E67" s="320"/>
      <c r="F67" s="320"/>
      <c r="G67" s="320"/>
      <c r="H67" s="320"/>
      <c r="I67" s="320"/>
      <c r="J67" s="317">
        <f t="shared" si="1"/>
        <v>11394</v>
      </c>
      <c r="K67" s="317">
        <v>4605</v>
      </c>
      <c r="L67" s="317">
        <v>6789</v>
      </c>
    </row>
    <row r="68" spans="1:12" x14ac:dyDescent="0.25">
      <c r="A68" s="318">
        <v>54</v>
      </c>
      <c r="B68" s="318" t="s">
        <v>305</v>
      </c>
      <c r="C68" s="321" t="s">
        <v>90</v>
      </c>
      <c r="D68" s="320">
        <f t="shared" si="0"/>
        <v>16851</v>
      </c>
      <c r="E68" s="320"/>
      <c r="F68" s="320"/>
      <c r="G68" s="320"/>
      <c r="H68" s="320"/>
      <c r="I68" s="320"/>
      <c r="J68" s="317">
        <f t="shared" si="1"/>
        <v>16851</v>
      </c>
      <c r="K68" s="317">
        <f>5272-1000-600</f>
        <v>3672</v>
      </c>
      <c r="L68" s="317">
        <v>13179</v>
      </c>
    </row>
    <row r="69" spans="1:12" x14ac:dyDescent="0.25">
      <c r="A69" s="318">
        <v>55</v>
      </c>
      <c r="B69" s="318" t="s">
        <v>274</v>
      </c>
      <c r="C69" s="319" t="s">
        <v>101</v>
      </c>
      <c r="D69" s="320">
        <f t="shared" si="0"/>
        <v>219127</v>
      </c>
      <c r="E69" s="320"/>
      <c r="F69" s="320"/>
      <c r="G69" s="320"/>
      <c r="H69" s="320"/>
      <c r="I69" s="320"/>
      <c r="J69" s="317">
        <f t="shared" si="1"/>
        <v>219127</v>
      </c>
      <c r="K69" s="317">
        <v>41812</v>
      </c>
      <c r="L69" s="317">
        <v>177315</v>
      </c>
    </row>
    <row r="70" spans="1:12" x14ac:dyDescent="0.25">
      <c r="A70" s="318">
        <v>56</v>
      </c>
      <c r="B70" s="318" t="s">
        <v>222</v>
      </c>
      <c r="C70" s="321" t="s">
        <v>111</v>
      </c>
      <c r="D70" s="320">
        <f t="shared" si="0"/>
        <v>156220</v>
      </c>
      <c r="E70" s="320"/>
      <c r="F70" s="320">
        <v>2680</v>
      </c>
      <c r="G70" s="320"/>
      <c r="H70" s="320"/>
      <c r="I70" s="320"/>
      <c r="J70" s="317">
        <f t="shared" si="1"/>
        <v>153540</v>
      </c>
      <c r="K70" s="317">
        <v>29679</v>
      </c>
      <c r="L70" s="317">
        <v>123861</v>
      </c>
    </row>
    <row r="71" spans="1:12" x14ac:dyDescent="0.25">
      <c r="A71" s="318">
        <v>57</v>
      </c>
      <c r="B71" s="318" t="s">
        <v>244</v>
      </c>
      <c r="C71" s="319" t="s">
        <v>105</v>
      </c>
      <c r="D71" s="320">
        <f t="shared" si="0"/>
        <v>179447</v>
      </c>
      <c r="E71" s="320"/>
      <c r="F71" s="320">
        <v>6981</v>
      </c>
      <c r="G71" s="320"/>
      <c r="H71" s="320"/>
      <c r="I71" s="320"/>
      <c r="J71" s="317">
        <f t="shared" si="1"/>
        <v>172466</v>
      </c>
      <c r="K71" s="317">
        <v>42600</v>
      </c>
      <c r="L71" s="317">
        <v>129866</v>
      </c>
    </row>
    <row r="72" spans="1:12" ht="25.5" x14ac:dyDescent="0.25">
      <c r="A72" s="318">
        <v>58</v>
      </c>
      <c r="B72" s="318" t="s">
        <v>594</v>
      </c>
      <c r="C72" s="319" t="s">
        <v>595</v>
      </c>
      <c r="D72" s="320">
        <f t="shared" si="0"/>
        <v>6182</v>
      </c>
      <c r="E72" s="320"/>
      <c r="F72" s="320"/>
      <c r="G72" s="320">
        <v>6182</v>
      </c>
      <c r="H72" s="320"/>
      <c r="I72" s="320"/>
      <c r="J72" s="317">
        <f t="shared" si="1"/>
        <v>0</v>
      </c>
      <c r="K72" s="317">
        <v>0</v>
      </c>
      <c r="L72" s="317">
        <v>0</v>
      </c>
    </row>
    <row r="73" spans="1:12" x14ac:dyDescent="0.25">
      <c r="A73" s="318">
        <v>59</v>
      </c>
      <c r="B73" s="318" t="s">
        <v>250</v>
      </c>
      <c r="C73" s="321" t="s">
        <v>168</v>
      </c>
      <c r="D73" s="320">
        <f t="shared" ref="D73:D136" si="2">E73+F73+G73+H73+I73+J73</f>
        <v>62567</v>
      </c>
      <c r="E73" s="320"/>
      <c r="F73" s="320"/>
      <c r="G73" s="320"/>
      <c r="H73" s="320"/>
      <c r="I73" s="320"/>
      <c r="J73" s="317">
        <f t="shared" ref="J73:J136" si="3">K73+L73</f>
        <v>62567</v>
      </c>
      <c r="K73" s="317">
        <v>12636</v>
      </c>
      <c r="L73" s="317">
        <v>49931</v>
      </c>
    </row>
    <row r="74" spans="1:12" x14ac:dyDescent="0.25">
      <c r="A74" s="318">
        <v>60</v>
      </c>
      <c r="B74" s="318" t="s">
        <v>220</v>
      </c>
      <c r="C74" s="319" t="s">
        <v>179</v>
      </c>
      <c r="D74" s="320">
        <f t="shared" si="2"/>
        <v>45225</v>
      </c>
      <c r="E74" s="320"/>
      <c r="F74" s="320"/>
      <c r="G74" s="320"/>
      <c r="H74" s="320"/>
      <c r="I74" s="320"/>
      <c r="J74" s="317">
        <f t="shared" si="3"/>
        <v>45225</v>
      </c>
      <c r="K74" s="317">
        <v>9579</v>
      </c>
      <c r="L74" s="317">
        <v>35646</v>
      </c>
    </row>
    <row r="75" spans="1:12" x14ac:dyDescent="0.25">
      <c r="A75" s="318">
        <v>61</v>
      </c>
      <c r="B75" s="318" t="s">
        <v>224</v>
      </c>
      <c r="C75" s="321" t="s">
        <v>176</v>
      </c>
      <c r="D75" s="320">
        <f t="shared" si="2"/>
        <v>34846</v>
      </c>
      <c r="E75" s="320"/>
      <c r="F75" s="320"/>
      <c r="G75" s="320"/>
      <c r="H75" s="320"/>
      <c r="I75" s="320"/>
      <c r="J75" s="317">
        <f t="shared" si="3"/>
        <v>34846</v>
      </c>
      <c r="K75" s="317">
        <v>6603</v>
      </c>
      <c r="L75" s="317">
        <v>28243</v>
      </c>
    </row>
    <row r="76" spans="1:12" x14ac:dyDescent="0.25">
      <c r="A76" s="318">
        <v>62</v>
      </c>
      <c r="B76" s="318" t="s">
        <v>232</v>
      </c>
      <c r="C76" s="319" t="s">
        <v>169</v>
      </c>
      <c r="D76" s="320">
        <f t="shared" si="2"/>
        <v>53029</v>
      </c>
      <c r="E76" s="320"/>
      <c r="F76" s="320"/>
      <c r="G76" s="320"/>
      <c r="H76" s="320"/>
      <c r="I76" s="320"/>
      <c r="J76" s="317">
        <f t="shared" si="3"/>
        <v>53029</v>
      </c>
      <c r="K76" s="317">
        <v>11230</v>
      </c>
      <c r="L76" s="317">
        <v>41799</v>
      </c>
    </row>
    <row r="77" spans="1:12" x14ac:dyDescent="0.25">
      <c r="A77" s="318">
        <v>63</v>
      </c>
      <c r="B77" s="318" t="s">
        <v>252</v>
      </c>
      <c r="C77" s="321" t="s">
        <v>167</v>
      </c>
      <c r="D77" s="320">
        <f t="shared" si="2"/>
        <v>22096</v>
      </c>
      <c r="E77" s="320"/>
      <c r="F77" s="320"/>
      <c r="G77" s="320"/>
      <c r="H77" s="320"/>
      <c r="I77" s="320"/>
      <c r="J77" s="317">
        <f t="shared" si="3"/>
        <v>22096</v>
      </c>
      <c r="K77" s="317">
        <v>5941</v>
      </c>
      <c r="L77" s="317">
        <v>16155</v>
      </c>
    </row>
    <row r="78" spans="1:12" x14ac:dyDescent="0.25">
      <c r="A78" s="318">
        <v>64</v>
      </c>
      <c r="B78" s="318" t="s">
        <v>268</v>
      </c>
      <c r="C78" s="321" t="s">
        <v>154</v>
      </c>
      <c r="D78" s="320">
        <f t="shared" si="2"/>
        <v>43566</v>
      </c>
      <c r="E78" s="320"/>
      <c r="F78" s="320"/>
      <c r="G78" s="320"/>
      <c r="H78" s="320"/>
      <c r="I78" s="320"/>
      <c r="J78" s="317">
        <f t="shared" si="3"/>
        <v>43566</v>
      </c>
      <c r="K78" s="317">
        <v>10405</v>
      </c>
      <c r="L78" s="317">
        <v>33161</v>
      </c>
    </row>
    <row r="79" spans="1:12" x14ac:dyDescent="0.25">
      <c r="A79" s="318">
        <v>65</v>
      </c>
      <c r="B79" s="318" t="s">
        <v>271</v>
      </c>
      <c r="C79" s="321" t="s">
        <v>151</v>
      </c>
      <c r="D79" s="320">
        <f t="shared" si="2"/>
        <v>64826</v>
      </c>
      <c r="E79" s="320"/>
      <c r="F79" s="320"/>
      <c r="G79" s="320"/>
      <c r="H79" s="320"/>
      <c r="I79" s="320"/>
      <c r="J79" s="317">
        <f t="shared" si="3"/>
        <v>64826</v>
      </c>
      <c r="K79" s="317">
        <v>17197</v>
      </c>
      <c r="L79" s="317">
        <v>47629</v>
      </c>
    </row>
    <row r="80" spans="1:12" x14ac:dyDescent="0.25">
      <c r="A80" s="318">
        <v>66</v>
      </c>
      <c r="B80" s="318" t="s">
        <v>280</v>
      </c>
      <c r="C80" s="319" t="s">
        <v>145</v>
      </c>
      <c r="D80" s="320">
        <f t="shared" si="2"/>
        <v>35415</v>
      </c>
      <c r="E80" s="320"/>
      <c r="F80" s="320"/>
      <c r="G80" s="320"/>
      <c r="H80" s="320"/>
      <c r="I80" s="320"/>
      <c r="J80" s="317">
        <f t="shared" si="3"/>
        <v>35415</v>
      </c>
      <c r="K80" s="317">
        <v>7934</v>
      </c>
      <c r="L80" s="317">
        <v>27481</v>
      </c>
    </row>
    <row r="81" spans="1:12" x14ac:dyDescent="0.25">
      <c r="A81" s="318">
        <v>67</v>
      </c>
      <c r="B81" s="318" t="s">
        <v>596</v>
      </c>
      <c r="C81" s="321" t="s">
        <v>597</v>
      </c>
      <c r="D81" s="320">
        <f t="shared" si="2"/>
        <v>102</v>
      </c>
      <c r="E81" s="320"/>
      <c r="F81" s="320"/>
      <c r="G81" s="320">
        <v>102</v>
      </c>
      <c r="H81" s="320"/>
      <c r="I81" s="320"/>
      <c r="J81" s="317">
        <f t="shared" si="3"/>
        <v>0</v>
      </c>
      <c r="K81" s="317">
        <v>0</v>
      </c>
      <c r="L81" s="317">
        <v>0</v>
      </c>
    </row>
    <row r="82" spans="1:12" x14ac:dyDescent="0.25">
      <c r="A82" s="318">
        <v>68</v>
      </c>
      <c r="B82" s="318" t="s">
        <v>598</v>
      </c>
      <c r="C82" s="321" t="s">
        <v>599</v>
      </c>
      <c r="D82" s="320">
        <f t="shared" si="2"/>
        <v>13</v>
      </c>
      <c r="E82" s="320"/>
      <c r="F82" s="320"/>
      <c r="G82" s="320">
        <v>13</v>
      </c>
      <c r="H82" s="320"/>
      <c r="I82" s="320"/>
      <c r="J82" s="317">
        <f t="shared" si="3"/>
        <v>0</v>
      </c>
      <c r="K82" s="317">
        <v>0</v>
      </c>
      <c r="L82" s="317">
        <v>0</v>
      </c>
    </row>
    <row r="83" spans="1:12" x14ac:dyDescent="0.25">
      <c r="A83" s="318">
        <v>69</v>
      </c>
      <c r="B83" s="318" t="s">
        <v>307</v>
      </c>
      <c r="C83" s="329" t="s">
        <v>600</v>
      </c>
      <c r="D83" s="320">
        <f t="shared" si="2"/>
        <v>112</v>
      </c>
      <c r="E83" s="320"/>
      <c r="F83" s="320"/>
      <c r="G83" s="320">
        <v>112</v>
      </c>
      <c r="H83" s="320"/>
      <c r="I83" s="320"/>
      <c r="J83" s="317">
        <f t="shared" si="3"/>
        <v>0</v>
      </c>
      <c r="K83" s="317">
        <v>0</v>
      </c>
      <c r="L83" s="317">
        <v>0</v>
      </c>
    </row>
    <row r="84" spans="1:12" x14ac:dyDescent="0.25">
      <c r="A84" s="318">
        <v>70</v>
      </c>
      <c r="B84" s="318" t="s">
        <v>601</v>
      </c>
      <c r="C84" s="321" t="s">
        <v>602</v>
      </c>
      <c r="D84" s="320">
        <f t="shared" si="2"/>
        <v>12</v>
      </c>
      <c r="E84" s="320"/>
      <c r="F84" s="320"/>
      <c r="G84" s="320">
        <v>12</v>
      </c>
      <c r="H84" s="320"/>
      <c r="I84" s="320"/>
      <c r="J84" s="317">
        <f t="shared" si="3"/>
        <v>0</v>
      </c>
      <c r="K84" s="317">
        <v>0</v>
      </c>
      <c r="L84" s="317">
        <v>0</v>
      </c>
    </row>
    <row r="85" spans="1:12" x14ac:dyDescent="0.25">
      <c r="A85" s="318">
        <v>71</v>
      </c>
      <c r="B85" s="318" t="s">
        <v>603</v>
      </c>
      <c r="C85" s="321" t="s">
        <v>604</v>
      </c>
      <c r="D85" s="320">
        <f t="shared" si="2"/>
        <v>90</v>
      </c>
      <c r="E85" s="320"/>
      <c r="F85" s="320"/>
      <c r="G85" s="320">
        <v>90</v>
      </c>
      <c r="H85" s="320"/>
      <c r="I85" s="320"/>
      <c r="J85" s="317">
        <f t="shared" si="3"/>
        <v>0</v>
      </c>
      <c r="K85" s="317">
        <v>0</v>
      </c>
      <c r="L85" s="317">
        <v>0</v>
      </c>
    </row>
    <row r="86" spans="1:12" x14ac:dyDescent="0.25">
      <c r="A86" s="318">
        <v>72</v>
      </c>
      <c r="B86" s="318" t="s">
        <v>605</v>
      </c>
      <c r="C86" s="321" t="s">
        <v>606</v>
      </c>
      <c r="D86" s="320">
        <f t="shared" si="2"/>
        <v>223</v>
      </c>
      <c r="E86" s="320"/>
      <c r="F86" s="320"/>
      <c r="G86" s="320">
        <v>223</v>
      </c>
      <c r="H86" s="320"/>
      <c r="I86" s="320"/>
      <c r="J86" s="317">
        <f t="shared" si="3"/>
        <v>0</v>
      </c>
      <c r="K86" s="317">
        <v>0</v>
      </c>
      <c r="L86" s="317">
        <v>0</v>
      </c>
    </row>
    <row r="87" spans="1:12" x14ac:dyDescent="0.25">
      <c r="A87" s="318">
        <v>73</v>
      </c>
      <c r="B87" s="318" t="s">
        <v>330</v>
      </c>
      <c r="C87" s="330" t="s">
        <v>607</v>
      </c>
      <c r="D87" s="320">
        <f t="shared" si="2"/>
        <v>66167</v>
      </c>
      <c r="E87" s="320"/>
      <c r="F87" s="320"/>
      <c r="G87" s="320"/>
      <c r="H87" s="320"/>
      <c r="I87" s="320"/>
      <c r="J87" s="317">
        <f t="shared" si="3"/>
        <v>66167</v>
      </c>
      <c r="K87" s="317">
        <v>9433</v>
      </c>
      <c r="L87" s="317">
        <v>56734</v>
      </c>
    </row>
    <row r="88" spans="1:12" x14ac:dyDescent="0.25">
      <c r="A88" s="318">
        <v>74</v>
      </c>
      <c r="B88" s="318" t="s">
        <v>332</v>
      </c>
      <c r="C88" s="330" t="s">
        <v>608</v>
      </c>
      <c r="D88" s="320">
        <f t="shared" si="2"/>
        <v>56538</v>
      </c>
      <c r="E88" s="320"/>
      <c r="F88" s="320"/>
      <c r="G88" s="320"/>
      <c r="H88" s="320"/>
      <c r="I88" s="320"/>
      <c r="J88" s="317">
        <f t="shared" si="3"/>
        <v>56538</v>
      </c>
      <c r="K88" s="317">
        <v>9417</v>
      </c>
      <c r="L88" s="317">
        <v>47121</v>
      </c>
    </row>
    <row r="89" spans="1:12" x14ac:dyDescent="0.25">
      <c r="A89" s="318">
        <v>75</v>
      </c>
      <c r="B89" s="318" t="s">
        <v>334</v>
      </c>
      <c r="C89" s="330" t="s">
        <v>609</v>
      </c>
      <c r="D89" s="320">
        <f t="shared" si="2"/>
        <v>79699</v>
      </c>
      <c r="E89" s="320"/>
      <c r="F89" s="320"/>
      <c r="G89" s="320"/>
      <c r="H89" s="320"/>
      <c r="I89" s="320">
        <f>1164+600</f>
        <v>1764</v>
      </c>
      <c r="J89" s="317">
        <f t="shared" si="3"/>
        <v>77935</v>
      </c>
      <c r="K89" s="317">
        <v>17847</v>
      </c>
      <c r="L89" s="317">
        <v>60088</v>
      </c>
    </row>
    <row r="90" spans="1:12" x14ac:dyDescent="0.25">
      <c r="A90" s="318">
        <v>76</v>
      </c>
      <c r="B90" s="318" t="s">
        <v>336</v>
      </c>
      <c r="C90" s="330" t="s">
        <v>610</v>
      </c>
      <c r="D90" s="320">
        <f t="shared" si="2"/>
        <v>98206</v>
      </c>
      <c r="E90" s="320"/>
      <c r="F90" s="320"/>
      <c r="G90" s="320"/>
      <c r="H90" s="320"/>
      <c r="I90" s="320">
        <f>1095+2156</f>
        <v>3251</v>
      </c>
      <c r="J90" s="317">
        <f t="shared" si="3"/>
        <v>94955</v>
      </c>
      <c r="K90" s="317">
        <v>10270</v>
      </c>
      <c r="L90" s="317">
        <v>84685</v>
      </c>
    </row>
    <row r="91" spans="1:12" x14ac:dyDescent="0.25">
      <c r="A91" s="318">
        <v>77</v>
      </c>
      <c r="B91" s="318" t="s">
        <v>338</v>
      </c>
      <c r="C91" s="330" t="s">
        <v>611</v>
      </c>
      <c r="D91" s="320">
        <f t="shared" si="2"/>
        <v>35538</v>
      </c>
      <c r="E91" s="320"/>
      <c r="F91" s="320"/>
      <c r="G91" s="320"/>
      <c r="H91" s="320"/>
      <c r="I91" s="320"/>
      <c r="J91" s="317">
        <f t="shared" si="3"/>
        <v>35538</v>
      </c>
      <c r="K91" s="317">
        <v>6149</v>
      </c>
      <c r="L91" s="317">
        <v>29389</v>
      </c>
    </row>
    <row r="92" spans="1:12" ht="25.5" x14ac:dyDescent="0.25">
      <c r="A92" s="318">
        <v>78</v>
      </c>
      <c r="B92" s="318" t="s">
        <v>612</v>
      </c>
      <c r="C92" s="330" t="s">
        <v>613</v>
      </c>
      <c r="D92" s="320">
        <f t="shared" si="2"/>
        <v>21596</v>
      </c>
      <c r="E92" s="320"/>
      <c r="F92" s="320"/>
      <c r="G92" s="320">
        <f>20749+847</f>
        <v>21596</v>
      </c>
      <c r="H92" s="320"/>
      <c r="I92" s="320"/>
      <c r="J92" s="317">
        <f t="shared" si="3"/>
        <v>0</v>
      </c>
      <c r="K92" s="317">
        <v>0</v>
      </c>
      <c r="L92" s="317">
        <v>0</v>
      </c>
    </row>
    <row r="93" spans="1:12" ht="25.5" x14ac:dyDescent="0.25">
      <c r="A93" s="318">
        <v>79</v>
      </c>
      <c r="B93" s="318" t="s">
        <v>614</v>
      </c>
      <c r="C93" s="330" t="s">
        <v>615</v>
      </c>
      <c r="D93" s="320">
        <f t="shared" si="2"/>
        <v>31251</v>
      </c>
      <c r="E93" s="320"/>
      <c r="F93" s="320"/>
      <c r="G93" s="320">
        <f>30404+847</f>
        <v>31251</v>
      </c>
      <c r="H93" s="320"/>
      <c r="I93" s="320"/>
      <c r="J93" s="317">
        <f t="shared" si="3"/>
        <v>0</v>
      </c>
      <c r="K93" s="317">
        <v>0</v>
      </c>
      <c r="L93" s="317">
        <v>0</v>
      </c>
    </row>
    <row r="94" spans="1:12" x14ac:dyDescent="0.25">
      <c r="A94" s="318">
        <v>80</v>
      </c>
      <c r="B94" s="318" t="s">
        <v>340</v>
      </c>
      <c r="C94" s="330" t="s">
        <v>616</v>
      </c>
      <c r="D94" s="320">
        <f t="shared" si="2"/>
        <v>96170</v>
      </c>
      <c r="E94" s="320"/>
      <c r="F94" s="320"/>
      <c r="G94" s="320"/>
      <c r="H94" s="320"/>
      <c r="I94" s="320"/>
      <c r="J94" s="317">
        <f t="shared" si="3"/>
        <v>96170</v>
      </c>
      <c r="K94" s="317">
        <v>18664</v>
      </c>
      <c r="L94" s="317">
        <v>77506</v>
      </c>
    </row>
    <row r="95" spans="1:12" x14ac:dyDescent="0.25">
      <c r="A95" s="318">
        <v>81</v>
      </c>
      <c r="B95" s="318" t="s">
        <v>342</v>
      </c>
      <c r="C95" s="330" t="s">
        <v>617</v>
      </c>
      <c r="D95" s="320">
        <f t="shared" si="2"/>
        <v>55649</v>
      </c>
      <c r="E95" s="320"/>
      <c r="F95" s="320"/>
      <c r="G95" s="320"/>
      <c r="H95" s="320"/>
      <c r="I95" s="320"/>
      <c r="J95" s="317">
        <f t="shared" si="3"/>
        <v>55649</v>
      </c>
      <c r="K95" s="317">
        <v>9192</v>
      </c>
      <c r="L95" s="317">
        <v>46457</v>
      </c>
    </row>
    <row r="96" spans="1:12" x14ac:dyDescent="0.25">
      <c r="A96" s="318">
        <v>82</v>
      </c>
      <c r="B96" s="318" t="s">
        <v>344</v>
      </c>
      <c r="C96" s="330" t="s">
        <v>618</v>
      </c>
      <c r="D96" s="320">
        <f t="shared" si="2"/>
        <v>66647</v>
      </c>
      <c r="E96" s="320">
        <v>4356</v>
      </c>
      <c r="F96" s="320"/>
      <c r="G96" s="320"/>
      <c r="H96" s="320"/>
      <c r="I96" s="320"/>
      <c r="J96" s="317">
        <f t="shared" si="3"/>
        <v>62291</v>
      </c>
      <c r="K96" s="317">
        <v>15289</v>
      </c>
      <c r="L96" s="317">
        <v>47002</v>
      </c>
    </row>
    <row r="97" spans="1:12" x14ac:dyDescent="0.25">
      <c r="A97" s="318">
        <v>83</v>
      </c>
      <c r="B97" s="318" t="s">
        <v>346</v>
      </c>
      <c r="C97" s="330" t="s">
        <v>619</v>
      </c>
      <c r="D97" s="320">
        <f t="shared" si="2"/>
        <v>40342</v>
      </c>
      <c r="E97" s="320"/>
      <c r="F97" s="320"/>
      <c r="G97" s="320"/>
      <c r="H97" s="320"/>
      <c r="I97" s="320"/>
      <c r="J97" s="317">
        <f t="shared" si="3"/>
        <v>40342</v>
      </c>
      <c r="K97" s="317">
        <v>6728</v>
      </c>
      <c r="L97" s="317">
        <v>33614</v>
      </c>
    </row>
    <row r="98" spans="1:12" x14ac:dyDescent="0.25">
      <c r="A98" s="318">
        <v>84</v>
      </c>
      <c r="B98" s="318" t="s">
        <v>348</v>
      </c>
      <c r="C98" s="330" t="s">
        <v>620</v>
      </c>
      <c r="D98" s="320">
        <f t="shared" si="2"/>
        <v>127606</v>
      </c>
      <c r="E98" s="320">
        <v>6373</v>
      </c>
      <c r="F98" s="320"/>
      <c r="G98" s="320"/>
      <c r="H98" s="320"/>
      <c r="I98" s="320"/>
      <c r="J98" s="317">
        <f t="shared" si="3"/>
        <v>121233</v>
      </c>
      <c r="K98" s="317">
        <v>24627</v>
      </c>
      <c r="L98" s="317">
        <v>96606</v>
      </c>
    </row>
    <row r="99" spans="1:12" x14ac:dyDescent="0.25">
      <c r="A99" s="318">
        <v>85</v>
      </c>
      <c r="B99" s="318" t="s">
        <v>350</v>
      </c>
      <c r="C99" s="330" t="s">
        <v>621</v>
      </c>
      <c r="D99" s="320">
        <f t="shared" si="2"/>
        <v>61795</v>
      </c>
      <c r="E99" s="320"/>
      <c r="F99" s="320"/>
      <c r="G99" s="320"/>
      <c r="H99" s="320"/>
      <c r="I99" s="320"/>
      <c r="J99" s="317">
        <f t="shared" si="3"/>
        <v>61795</v>
      </c>
      <c r="K99" s="317">
        <v>17750</v>
      </c>
      <c r="L99" s="317">
        <v>44045</v>
      </c>
    </row>
    <row r="100" spans="1:12" x14ac:dyDescent="0.25">
      <c r="A100" s="318">
        <v>86</v>
      </c>
      <c r="B100" s="318" t="s">
        <v>352</v>
      </c>
      <c r="C100" s="330" t="s">
        <v>489</v>
      </c>
      <c r="D100" s="320">
        <f t="shared" si="2"/>
        <v>61401</v>
      </c>
      <c r="E100" s="320"/>
      <c r="F100" s="320"/>
      <c r="G100" s="320"/>
      <c r="H100" s="320"/>
      <c r="I100" s="320"/>
      <c r="J100" s="317">
        <f t="shared" si="3"/>
        <v>61401</v>
      </c>
      <c r="K100" s="317">
        <v>13571</v>
      </c>
      <c r="L100" s="317">
        <v>47830</v>
      </c>
    </row>
    <row r="101" spans="1:12" x14ac:dyDescent="0.25">
      <c r="A101" s="318">
        <v>87</v>
      </c>
      <c r="B101" s="318" t="s">
        <v>354</v>
      </c>
      <c r="C101" s="330" t="s">
        <v>622</v>
      </c>
      <c r="D101" s="320">
        <f t="shared" si="2"/>
        <v>35865</v>
      </c>
      <c r="E101" s="320"/>
      <c r="F101" s="320"/>
      <c r="G101" s="320"/>
      <c r="H101" s="320"/>
      <c r="I101" s="320"/>
      <c r="J101" s="317">
        <f t="shared" si="3"/>
        <v>35865</v>
      </c>
      <c r="K101" s="317">
        <v>7622</v>
      </c>
      <c r="L101" s="317">
        <v>28243</v>
      </c>
    </row>
    <row r="102" spans="1:12" x14ac:dyDescent="0.25">
      <c r="A102" s="318">
        <v>88</v>
      </c>
      <c r="B102" s="318" t="s">
        <v>356</v>
      </c>
      <c r="C102" s="330" t="s">
        <v>623</v>
      </c>
      <c r="D102" s="320">
        <f t="shared" si="2"/>
        <v>127655</v>
      </c>
      <c r="E102" s="320">
        <v>6031</v>
      </c>
      <c r="F102" s="320"/>
      <c r="G102" s="320"/>
      <c r="H102" s="320"/>
      <c r="I102" s="320"/>
      <c r="J102" s="317">
        <f t="shared" si="3"/>
        <v>121624</v>
      </c>
      <c r="K102" s="317">
        <v>22146</v>
      </c>
      <c r="L102" s="317">
        <v>99478</v>
      </c>
    </row>
    <row r="103" spans="1:12" x14ac:dyDescent="0.25">
      <c r="A103" s="318">
        <v>89</v>
      </c>
      <c r="B103" s="318" t="s">
        <v>358</v>
      </c>
      <c r="C103" s="330" t="s">
        <v>624</v>
      </c>
      <c r="D103" s="320">
        <f t="shared" si="2"/>
        <v>47341</v>
      </c>
      <c r="E103" s="320"/>
      <c r="F103" s="320"/>
      <c r="G103" s="320"/>
      <c r="H103" s="320"/>
      <c r="I103" s="320"/>
      <c r="J103" s="317">
        <f t="shared" si="3"/>
        <v>47341</v>
      </c>
      <c r="K103" s="317">
        <v>11460</v>
      </c>
      <c r="L103" s="317">
        <v>35881</v>
      </c>
    </row>
    <row r="104" spans="1:12" x14ac:dyDescent="0.25">
      <c r="A104" s="318">
        <v>90</v>
      </c>
      <c r="B104" s="318" t="s">
        <v>360</v>
      </c>
      <c r="C104" s="330" t="s">
        <v>625</v>
      </c>
      <c r="D104" s="320">
        <f t="shared" si="2"/>
        <v>46111</v>
      </c>
      <c r="E104" s="320"/>
      <c r="F104" s="320"/>
      <c r="G104" s="320"/>
      <c r="H104" s="320"/>
      <c r="I104" s="320"/>
      <c r="J104" s="317">
        <f t="shared" si="3"/>
        <v>46111</v>
      </c>
      <c r="K104" s="317">
        <v>12388</v>
      </c>
      <c r="L104" s="317">
        <v>33723</v>
      </c>
    </row>
    <row r="105" spans="1:12" x14ac:dyDescent="0.25">
      <c r="A105" s="318">
        <v>91</v>
      </c>
      <c r="B105" s="318" t="s">
        <v>626</v>
      </c>
      <c r="C105" s="330" t="s">
        <v>627</v>
      </c>
      <c r="D105" s="320">
        <f t="shared" si="2"/>
        <v>17957</v>
      </c>
      <c r="E105" s="320"/>
      <c r="F105" s="320"/>
      <c r="G105" s="320">
        <v>17957</v>
      </c>
      <c r="H105" s="320"/>
      <c r="I105" s="320"/>
      <c r="J105" s="317">
        <f t="shared" si="3"/>
        <v>0</v>
      </c>
      <c r="K105" s="317">
        <v>0</v>
      </c>
      <c r="L105" s="317">
        <v>0</v>
      </c>
    </row>
    <row r="106" spans="1:12" x14ac:dyDescent="0.25">
      <c r="A106" s="318">
        <v>92</v>
      </c>
      <c r="B106" s="318" t="s">
        <v>628</v>
      </c>
      <c r="C106" s="330" t="s">
        <v>629</v>
      </c>
      <c r="D106" s="320">
        <f t="shared" si="2"/>
        <v>20651</v>
      </c>
      <c r="E106" s="320"/>
      <c r="F106" s="320"/>
      <c r="G106" s="320">
        <v>20651</v>
      </c>
      <c r="H106" s="320"/>
      <c r="I106" s="320"/>
      <c r="J106" s="317">
        <f t="shared" si="3"/>
        <v>0</v>
      </c>
      <c r="K106" s="317">
        <v>0</v>
      </c>
      <c r="L106" s="317">
        <v>0</v>
      </c>
    </row>
    <row r="107" spans="1:12" x14ac:dyDescent="0.25">
      <c r="A107" s="318">
        <v>93</v>
      </c>
      <c r="B107" s="318" t="s">
        <v>630</v>
      </c>
      <c r="C107" s="330" t="s">
        <v>631</v>
      </c>
      <c r="D107" s="320">
        <f t="shared" si="2"/>
        <v>23813</v>
      </c>
      <c r="E107" s="320"/>
      <c r="F107" s="320"/>
      <c r="G107" s="320">
        <v>23813</v>
      </c>
      <c r="H107" s="320"/>
      <c r="I107" s="320"/>
      <c r="J107" s="317">
        <f t="shared" si="3"/>
        <v>0</v>
      </c>
      <c r="K107" s="317">
        <v>0</v>
      </c>
      <c r="L107" s="317">
        <v>0</v>
      </c>
    </row>
    <row r="108" spans="1:12" x14ac:dyDescent="0.25">
      <c r="A108" s="318">
        <v>94</v>
      </c>
      <c r="B108" s="318" t="s">
        <v>632</v>
      </c>
      <c r="C108" s="330" t="s">
        <v>633</v>
      </c>
      <c r="D108" s="320">
        <f t="shared" si="2"/>
        <v>20088</v>
      </c>
      <c r="E108" s="320"/>
      <c r="F108" s="320"/>
      <c r="G108" s="320">
        <v>20088</v>
      </c>
      <c r="H108" s="320"/>
      <c r="I108" s="320"/>
      <c r="J108" s="317">
        <f t="shared" si="3"/>
        <v>0</v>
      </c>
      <c r="K108" s="317">
        <v>0</v>
      </c>
      <c r="L108" s="317">
        <v>0</v>
      </c>
    </row>
    <row r="109" spans="1:12" x14ac:dyDescent="0.25">
      <c r="A109" s="318">
        <v>95</v>
      </c>
      <c r="B109" s="318" t="s">
        <v>634</v>
      </c>
      <c r="C109" s="330" t="s">
        <v>635</v>
      </c>
      <c r="D109" s="320">
        <f t="shared" si="2"/>
        <v>28711</v>
      </c>
      <c r="E109" s="320"/>
      <c r="F109" s="320"/>
      <c r="G109" s="320">
        <v>28711</v>
      </c>
      <c r="H109" s="320"/>
      <c r="I109" s="320"/>
      <c r="J109" s="317">
        <f t="shared" si="3"/>
        <v>0</v>
      </c>
      <c r="K109" s="317">
        <v>0</v>
      </c>
      <c r="L109" s="317">
        <v>0</v>
      </c>
    </row>
    <row r="110" spans="1:12" x14ac:dyDescent="0.25">
      <c r="A110" s="318">
        <v>96</v>
      </c>
      <c r="B110" s="318" t="s">
        <v>636</v>
      </c>
      <c r="C110" s="330" t="s">
        <v>637</v>
      </c>
      <c r="D110" s="320">
        <f t="shared" si="2"/>
        <v>18306</v>
      </c>
      <c r="E110" s="320"/>
      <c r="F110" s="320"/>
      <c r="G110" s="320">
        <v>18306</v>
      </c>
      <c r="H110" s="320"/>
      <c r="I110" s="320"/>
      <c r="J110" s="317">
        <f t="shared" si="3"/>
        <v>0</v>
      </c>
      <c r="K110" s="317">
        <v>0</v>
      </c>
      <c r="L110" s="317">
        <v>0</v>
      </c>
    </row>
    <row r="111" spans="1:12" x14ac:dyDescent="0.25">
      <c r="A111" s="318">
        <v>97</v>
      </c>
      <c r="B111" s="318" t="s">
        <v>638</v>
      </c>
      <c r="C111" s="330" t="s">
        <v>639</v>
      </c>
      <c r="D111" s="320">
        <f t="shared" si="2"/>
        <v>15447</v>
      </c>
      <c r="E111" s="320"/>
      <c r="F111" s="320"/>
      <c r="G111" s="320">
        <v>15447</v>
      </c>
      <c r="H111" s="320"/>
      <c r="I111" s="320"/>
      <c r="J111" s="317">
        <f t="shared" si="3"/>
        <v>0</v>
      </c>
      <c r="K111" s="317">
        <v>0</v>
      </c>
      <c r="L111" s="317">
        <v>0</v>
      </c>
    </row>
    <row r="112" spans="1:12" x14ac:dyDescent="0.25">
      <c r="A112" s="318">
        <v>98</v>
      </c>
      <c r="B112" s="318" t="s">
        <v>362</v>
      </c>
      <c r="C112" s="330" t="s">
        <v>640</v>
      </c>
      <c r="D112" s="320">
        <f t="shared" si="2"/>
        <v>119921</v>
      </c>
      <c r="E112" s="320"/>
      <c r="F112" s="320"/>
      <c r="G112" s="320"/>
      <c r="H112" s="320"/>
      <c r="I112" s="320">
        <v>1362</v>
      </c>
      <c r="J112" s="317">
        <f t="shared" si="3"/>
        <v>118559</v>
      </c>
      <c r="K112" s="317">
        <v>26681</v>
      </c>
      <c r="L112" s="317">
        <v>91878</v>
      </c>
    </row>
    <row r="113" spans="1:12" x14ac:dyDescent="0.25">
      <c r="A113" s="318">
        <v>99</v>
      </c>
      <c r="B113" s="318" t="s">
        <v>364</v>
      </c>
      <c r="C113" s="330" t="s">
        <v>130</v>
      </c>
      <c r="D113" s="320">
        <f t="shared" si="2"/>
        <v>77420</v>
      </c>
      <c r="E113" s="320"/>
      <c r="F113" s="320"/>
      <c r="G113" s="320"/>
      <c r="H113" s="320"/>
      <c r="I113" s="320">
        <v>8850</v>
      </c>
      <c r="J113" s="317">
        <f t="shared" si="3"/>
        <v>68570</v>
      </c>
      <c r="K113" s="317">
        <v>15064</v>
      </c>
      <c r="L113" s="317">
        <v>53506</v>
      </c>
    </row>
    <row r="114" spans="1:12" x14ac:dyDescent="0.25">
      <c r="A114" s="318">
        <v>100</v>
      </c>
      <c r="B114" s="318" t="s">
        <v>366</v>
      </c>
      <c r="C114" s="330" t="s">
        <v>112</v>
      </c>
      <c r="D114" s="320">
        <f t="shared" si="2"/>
        <v>65562</v>
      </c>
      <c r="E114" s="320"/>
      <c r="F114" s="320"/>
      <c r="G114" s="320"/>
      <c r="H114" s="320"/>
      <c r="I114" s="320"/>
      <c r="J114" s="317">
        <f t="shared" si="3"/>
        <v>65562</v>
      </c>
      <c r="K114" s="317">
        <v>11426</v>
      </c>
      <c r="L114" s="317">
        <v>54136</v>
      </c>
    </row>
    <row r="115" spans="1:12" x14ac:dyDescent="0.25">
      <c r="A115" s="318">
        <v>101</v>
      </c>
      <c r="B115" s="318" t="s">
        <v>368</v>
      </c>
      <c r="C115" s="330" t="s">
        <v>142</v>
      </c>
      <c r="D115" s="320">
        <f t="shared" si="2"/>
        <v>38645</v>
      </c>
      <c r="E115" s="320"/>
      <c r="F115" s="320"/>
      <c r="G115" s="320"/>
      <c r="H115" s="320"/>
      <c r="I115" s="320"/>
      <c r="J115" s="317">
        <f t="shared" si="3"/>
        <v>38645</v>
      </c>
      <c r="K115" s="317">
        <v>10439</v>
      </c>
      <c r="L115" s="317">
        <v>28206</v>
      </c>
    </row>
    <row r="116" spans="1:12" x14ac:dyDescent="0.25">
      <c r="A116" s="318">
        <v>102</v>
      </c>
      <c r="B116" s="318" t="s">
        <v>370</v>
      </c>
      <c r="C116" s="330" t="s">
        <v>93</v>
      </c>
      <c r="D116" s="320">
        <f t="shared" si="2"/>
        <v>17815</v>
      </c>
      <c r="E116" s="320"/>
      <c r="F116" s="320"/>
      <c r="G116" s="320"/>
      <c r="H116" s="320"/>
      <c r="I116" s="320">
        <v>4025</v>
      </c>
      <c r="J116" s="317">
        <f t="shared" si="3"/>
        <v>13790</v>
      </c>
      <c r="K116" s="317">
        <v>1247</v>
      </c>
      <c r="L116" s="317">
        <v>12543</v>
      </c>
    </row>
    <row r="117" spans="1:12" x14ac:dyDescent="0.25">
      <c r="A117" s="318">
        <v>103</v>
      </c>
      <c r="B117" s="318" t="s">
        <v>372</v>
      </c>
      <c r="C117" s="330" t="s">
        <v>141</v>
      </c>
      <c r="D117" s="320">
        <f t="shared" si="2"/>
        <v>4886</v>
      </c>
      <c r="E117" s="320"/>
      <c r="F117" s="320"/>
      <c r="G117" s="320"/>
      <c r="H117" s="320"/>
      <c r="I117" s="320"/>
      <c r="J117" s="317">
        <f t="shared" si="3"/>
        <v>4886</v>
      </c>
      <c r="K117" s="317">
        <v>1209</v>
      </c>
      <c r="L117" s="317">
        <v>3677</v>
      </c>
    </row>
    <row r="118" spans="1:12" ht="38.25" x14ac:dyDescent="0.25">
      <c r="A118" s="565">
        <v>104</v>
      </c>
      <c r="B118" s="327" t="s">
        <v>374</v>
      </c>
      <c r="C118" s="330" t="s">
        <v>375</v>
      </c>
      <c r="D118" s="320">
        <f t="shared" si="2"/>
        <v>27412</v>
      </c>
      <c r="E118" s="320"/>
      <c r="F118" s="320"/>
      <c r="G118" s="320"/>
      <c r="H118" s="320"/>
      <c r="I118" s="320"/>
      <c r="J118" s="317">
        <f t="shared" si="3"/>
        <v>27412</v>
      </c>
      <c r="K118" s="317">
        <v>9029</v>
      </c>
      <c r="L118" s="317">
        <v>18383</v>
      </c>
    </row>
    <row r="119" spans="1:12" x14ac:dyDescent="0.25">
      <c r="A119" s="566"/>
      <c r="B119" s="325" t="s">
        <v>376</v>
      </c>
      <c r="C119" s="330" t="s">
        <v>92</v>
      </c>
      <c r="D119" s="320">
        <f t="shared" si="2"/>
        <v>199146</v>
      </c>
      <c r="E119" s="320"/>
      <c r="F119" s="320">
        <v>6804</v>
      </c>
      <c r="G119" s="320"/>
      <c r="H119" s="320"/>
      <c r="I119" s="320"/>
      <c r="J119" s="317">
        <f t="shared" si="3"/>
        <v>192342</v>
      </c>
      <c r="K119" s="317">
        <v>51459</v>
      </c>
      <c r="L119" s="317">
        <v>140883</v>
      </c>
    </row>
    <row r="120" spans="1:12" x14ac:dyDescent="0.25">
      <c r="A120" s="318">
        <v>105</v>
      </c>
      <c r="B120" s="318" t="s">
        <v>378</v>
      </c>
      <c r="C120" s="330" t="s">
        <v>86</v>
      </c>
      <c r="D120" s="320">
        <f t="shared" si="2"/>
        <v>57276</v>
      </c>
      <c r="E120" s="320"/>
      <c r="F120" s="320"/>
      <c r="G120" s="320"/>
      <c r="H120" s="320"/>
      <c r="I120" s="320"/>
      <c r="J120" s="317">
        <f t="shared" si="3"/>
        <v>57276</v>
      </c>
      <c r="K120" s="317">
        <f>10901-826</f>
        <v>10075</v>
      </c>
      <c r="L120" s="317">
        <f>46375+826</f>
        <v>47201</v>
      </c>
    </row>
    <row r="121" spans="1:12" x14ac:dyDescent="0.25">
      <c r="A121" s="318">
        <v>106</v>
      </c>
      <c r="B121" s="318" t="s">
        <v>380</v>
      </c>
      <c r="C121" s="330" t="s">
        <v>85</v>
      </c>
      <c r="D121" s="320">
        <f t="shared" si="2"/>
        <v>75310</v>
      </c>
      <c r="E121" s="320"/>
      <c r="F121" s="320"/>
      <c r="G121" s="320"/>
      <c r="H121" s="320"/>
      <c r="I121" s="320"/>
      <c r="J121" s="317">
        <f t="shared" si="3"/>
        <v>75310</v>
      </c>
      <c r="K121" s="317">
        <v>18294</v>
      </c>
      <c r="L121" s="317">
        <v>57016</v>
      </c>
    </row>
    <row r="122" spans="1:12" x14ac:dyDescent="0.25">
      <c r="A122" s="318">
        <v>107</v>
      </c>
      <c r="B122" s="318" t="s">
        <v>382</v>
      </c>
      <c r="C122" s="330" t="s">
        <v>91</v>
      </c>
      <c r="D122" s="320">
        <f t="shared" si="2"/>
        <v>34417</v>
      </c>
      <c r="E122" s="320"/>
      <c r="F122" s="320"/>
      <c r="G122" s="320">
        <v>34417</v>
      </c>
      <c r="H122" s="320"/>
      <c r="I122" s="320"/>
      <c r="J122" s="317">
        <f t="shared" si="3"/>
        <v>0</v>
      </c>
      <c r="K122" s="317">
        <v>0</v>
      </c>
      <c r="L122" s="317">
        <v>0</v>
      </c>
    </row>
    <row r="123" spans="1:12" x14ac:dyDescent="0.25">
      <c r="A123" s="565">
        <v>108</v>
      </c>
      <c r="B123" s="327" t="s">
        <v>384</v>
      </c>
      <c r="C123" s="330" t="s">
        <v>79</v>
      </c>
      <c r="D123" s="320">
        <f t="shared" si="2"/>
        <v>13204</v>
      </c>
      <c r="E123" s="320"/>
      <c r="F123" s="320"/>
      <c r="G123" s="320"/>
      <c r="H123" s="320"/>
      <c r="I123" s="320"/>
      <c r="J123" s="317">
        <f t="shared" si="3"/>
        <v>13204</v>
      </c>
      <c r="K123" s="317">
        <v>2799</v>
      </c>
      <c r="L123" s="317">
        <v>10405</v>
      </c>
    </row>
    <row r="124" spans="1:12" ht="25.5" x14ac:dyDescent="0.25">
      <c r="A124" s="566"/>
      <c r="B124" s="325" t="s">
        <v>641</v>
      </c>
      <c r="C124" s="331" t="s">
        <v>642</v>
      </c>
      <c r="D124" s="320">
        <f t="shared" si="2"/>
        <v>4470</v>
      </c>
      <c r="E124" s="324"/>
      <c r="F124" s="324"/>
      <c r="G124" s="324">
        <v>4470</v>
      </c>
      <c r="H124" s="324"/>
      <c r="I124" s="324"/>
      <c r="J124" s="317">
        <f t="shared" si="3"/>
        <v>0</v>
      </c>
      <c r="K124" s="317">
        <v>0</v>
      </c>
      <c r="L124" s="317">
        <v>0</v>
      </c>
    </row>
    <row r="125" spans="1:12" ht="25.5" x14ac:dyDescent="0.25">
      <c r="A125" s="318">
        <v>109</v>
      </c>
      <c r="B125" s="318" t="s">
        <v>437</v>
      </c>
      <c r="C125" s="330" t="s">
        <v>134</v>
      </c>
      <c r="D125" s="320">
        <f t="shared" si="2"/>
        <v>1341</v>
      </c>
      <c r="E125" s="320"/>
      <c r="F125" s="320"/>
      <c r="G125" s="320">
        <v>1341</v>
      </c>
      <c r="H125" s="320"/>
      <c r="I125" s="320"/>
      <c r="J125" s="317">
        <f t="shared" si="3"/>
        <v>0</v>
      </c>
      <c r="K125" s="317">
        <v>0</v>
      </c>
      <c r="L125" s="317">
        <v>0</v>
      </c>
    </row>
    <row r="126" spans="1:12" x14ac:dyDescent="0.25">
      <c r="A126" s="318">
        <v>110</v>
      </c>
      <c r="B126" s="318" t="s">
        <v>323</v>
      </c>
      <c r="C126" s="321" t="s">
        <v>643</v>
      </c>
      <c r="D126" s="320">
        <f t="shared" si="2"/>
        <v>8084</v>
      </c>
      <c r="E126" s="320"/>
      <c r="F126" s="320"/>
      <c r="G126" s="320"/>
      <c r="H126" s="320"/>
      <c r="I126" s="320"/>
      <c r="J126" s="317">
        <f t="shared" si="3"/>
        <v>8084</v>
      </c>
      <c r="K126" s="317">
        <v>1819</v>
      </c>
      <c r="L126" s="317">
        <v>6265</v>
      </c>
    </row>
    <row r="127" spans="1:12" x14ac:dyDescent="0.25">
      <c r="A127" s="318">
        <v>111</v>
      </c>
      <c r="B127" s="318" t="s">
        <v>216</v>
      </c>
      <c r="C127" s="319" t="s">
        <v>183</v>
      </c>
      <c r="D127" s="320">
        <f t="shared" si="2"/>
        <v>29159</v>
      </c>
      <c r="E127" s="320"/>
      <c r="F127" s="320"/>
      <c r="G127" s="320"/>
      <c r="H127" s="320"/>
      <c r="I127" s="320"/>
      <c r="J127" s="317">
        <f t="shared" si="3"/>
        <v>29159</v>
      </c>
      <c r="K127" s="317">
        <v>7893</v>
      </c>
      <c r="L127" s="317">
        <v>21266</v>
      </c>
    </row>
    <row r="128" spans="1:12" x14ac:dyDescent="0.25">
      <c r="A128" s="318">
        <v>112</v>
      </c>
      <c r="B128" s="318" t="s">
        <v>223</v>
      </c>
      <c r="C128" s="321" t="s">
        <v>177</v>
      </c>
      <c r="D128" s="320">
        <f t="shared" si="2"/>
        <v>31064</v>
      </c>
      <c r="E128" s="320"/>
      <c r="F128" s="320"/>
      <c r="G128" s="320"/>
      <c r="H128" s="320"/>
      <c r="I128" s="320"/>
      <c r="J128" s="317">
        <f t="shared" si="3"/>
        <v>31064</v>
      </c>
      <c r="K128" s="317">
        <f>8474+500</f>
        <v>8974</v>
      </c>
      <c r="L128" s="317">
        <v>22090</v>
      </c>
    </row>
    <row r="129" spans="1:12" x14ac:dyDescent="0.25">
      <c r="A129" s="318">
        <v>113</v>
      </c>
      <c r="B129" s="318" t="s">
        <v>226</v>
      </c>
      <c r="C129" s="319" t="s">
        <v>175</v>
      </c>
      <c r="D129" s="320">
        <f t="shared" si="2"/>
        <v>81377</v>
      </c>
      <c r="E129" s="320"/>
      <c r="F129" s="320"/>
      <c r="G129" s="320"/>
      <c r="H129" s="320"/>
      <c r="I129" s="320"/>
      <c r="J129" s="317">
        <f t="shared" si="3"/>
        <v>81377</v>
      </c>
      <c r="K129" s="317">
        <v>19845</v>
      </c>
      <c r="L129" s="317">
        <v>61532</v>
      </c>
    </row>
    <row r="130" spans="1:12" x14ac:dyDescent="0.25">
      <c r="A130" s="318">
        <v>114</v>
      </c>
      <c r="B130" s="318" t="s">
        <v>227</v>
      </c>
      <c r="C130" s="321" t="s">
        <v>174</v>
      </c>
      <c r="D130" s="320">
        <f t="shared" si="2"/>
        <v>36702</v>
      </c>
      <c r="E130" s="320"/>
      <c r="F130" s="320"/>
      <c r="G130" s="320"/>
      <c r="H130" s="320"/>
      <c r="I130" s="320"/>
      <c r="J130" s="317">
        <f t="shared" si="3"/>
        <v>36702</v>
      </c>
      <c r="K130" s="317">
        <v>7459</v>
      </c>
      <c r="L130" s="317">
        <v>29243</v>
      </c>
    </row>
    <row r="131" spans="1:12" x14ac:dyDescent="0.25">
      <c r="A131" s="318">
        <v>115</v>
      </c>
      <c r="B131" s="318" t="s">
        <v>228</v>
      </c>
      <c r="C131" s="321" t="s">
        <v>173</v>
      </c>
      <c r="D131" s="320">
        <f t="shared" si="2"/>
        <v>44967</v>
      </c>
      <c r="E131" s="320"/>
      <c r="F131" s="320"/>
      <c r="G131" s="320"/>
      <c r="H131" s="320"/>
      <c r="I131" s="320"/>
      <c r="J131" s="317">
        <f t="shared" si="3"/>
        <v>44967</v>
      </c>
      <c r="K131" s="317">
        <v>9316</v>
      </c>
      <c r="L131" s="317">
        <v>35651</v>
      </c>
    </row>
    <row r="132" spans="1:12" x14ac:dyDescent="0.25">
      <c r="A132" s="318">
        <v>116</v>
      </c>
      <c r="B132" s="318" t="s">
        <v>254</v>
      </c>
      <c r="C132" s="319" t="s">
        <v>165</v>
      </c>
      <c r="D132" s="320">
        <f t="shared" si="2"/>
        <v>87998</v>
      </c>
      <c r="E132" s="320"/>
      <c r="F132" s="320"/>
      <c r="G132" s="320"/>
      <c r="H132" s="320"/>
      <c r="I132" s="320"/>
      <c r="J132" s="317">
        <f t="shared" si="3"/>
        <v>87998</v>
      </c>
      <c r="K132" s="317">
        <v>24559</v>
      </c>
      <c r="L132" s="317">
        <v>63439</v>
      </c>
    </row>
    <row r="133" spans="1:12" x14ac:dyDescent="0.25">
      <c r="A133" s="318">
        <v>117</v>
      </c>
      <c r="B133" s="318" t="s">
        <v>259</v>
      </c>
      <c r="C133" s="319" t="s">
        <v>161</v>
      </c>
      <c r="D133" s="320">
        <f t="shared" si="2"/>
        <v>77146</v>
      </c>
      <c r="E133" s="320"/>
      <c r="F133" s="320"/>
      <c r="G133" s="320"/>
      <c r="H133" s="320"/>
      <c r="I133" s="320"/>
      <c r="J133" s="317">
        <f t="shared" si="3"/>
        <v>77146</v>
      </c>
      <c r="K133" s="317">
        <v>15095</v>
      </c>
      <c r="L133" s="317">
        <v>62051</v>
      </c>
    </row>
    <row r="134" spans="1:12" x14ac:dyDescent="0.25">
      <c r="A134" s="318">
        <v>118</v>
      </c>
      <c r="B134" s="318" t="s">
        <v>260</v>
      </c>
      <c r="C134" s="321" t="s">
        <v>160</v>
      </c>
      <c r="D134" s="320">
        <f t="shared" si="2"/>
        <v>27502</v>
      </c>
      <c r="E134" s="320"/>
      <c r="F134" s="320"/>
      <c r="G134" s="320"/>
      <c r="H134" s="320"/>
      <c r="I134" s="320"/>
      <c r="J134" s="317">
        <f t="shared" si="3"/>
        <v>27502</v>
      </c>
      <c r="K134" s="317">
        <v>7322</v>
      </c>
      <c r="L134" s="317">
        <v>20180</v>
      </c>
    </row>
    <row r="135" spans="1:12" x14ac:dyDescent="0.25">
      <c r="A135" s="318">
        <v>119</v>
      </c>
      <c r="B135" s="318" t="s">
        <v>263</v>
      </c>
      <c r="C135" s="319" t="s">
        <v>157</v>
      </c>
      <c r="D135" s="320">
        <f t="shared" si="2"/>
        <v>42848</v>
      </c>
      <c r="E135" s="320"/>
      <c r="F135" s="320"/>
      <c r="G135" s="320"/>
      <c r="H135" s="320"/>
      <c r="I135" s="320"/>
      <c r="J135" s="317">
        <f t="shared" si="3"/>
        <v>42848</v>
      </c>
      <c r="K135" s="317">
        <v>7160</v>
      </c>
      <c r="L135" s="317">
        <v>35688</v>
      </c>
    </row>
    <row r="136" spans="1:12" x14ac:dyDescent="0.25">
      <c r="A136" s="318">
        <v>120</v>
      </c>
      <c r="B136" s="318" t="s">
        <v>264</v>
      </c>
      <c r="C136" s="321" t="s">
        <v>156</v>
      </c>
      <c r="D136" s="320">
        <f t="shared" si="2"/>
        <v>41611</v>
      </c>
      <c r="E136" s="320"/>
      <c r="F136" s="320"/>
      <c r="G136" s="320"/>
      <c r="H136" s="320"/>
      <c r="I136" s="320"/>
      <c r="J136" s="317">
        <f t="shared" si="3"/>
        <v>41611</v>
      </c>
      <c r="K136" s="317">
        <v>10605</v>
      </c>
      <c r="L136" s="317">
        <v>31006</v>
      </c>
    </row>
    <row r="137" spans="1:12" x14ac:dyDescent="0.25">
      <c r="A137" s="318">
        <v>121</v>
      </c>
      <c r="B137" s="318" t="s">
        <v>266</v>
      </c>
      <c r="C137" s="321" t="s">
        <v>59</v>
      </c>
      <c r="D137" s="320">
        <f t="shared" ref="D137:D170" si="4">E137+F137+G137+H137+I137+J137</f>
        <v>50630</v>
      </c>
      <c r="E137" s="320">
        <v>2503</v>
      </c>
      <c r="F137" s="320"/>
      <c r="G137" s="320"/>
      <c r="H137" s="320"/>
      <c r="I137" s="320"/>
      <c r="J137" s="317">
        <f t="shared" ref="J137:J171" si="5">K137+L137</f>
        <v>48127</v>
      </c>
      <c r="K137" s="317">
        <v>7919</v>
      </c>
      <c r="L137" s="317">
        <v>40208</v>
      </c>
    </row>
    <row r="138" spans="1:12" x14ac:dyDescent="0.25">
      <c r="A138" s="318">
        <v>122</v>
      </c>
      <c r="B138" s="318" t="s">
        <v>270</v>
      </c>
      <c r="C138" s="319" t="s">
        <v>152</v>
      </c>
      <c r="D138" s="320">
        <f t="shared" si="4"/>
        <v>31621</v>
      </c>
      <c r="E138" s="320"/>
      <c r="F138" s="320"/>
      <c r="G138" s="320"/>
      <c r="H138" s="320"/>
      <c r="I138" s="320"/>
      <c r="J138" s="317">
        <f t="shared" si="5"/>
        <v>31621</v>
      </c>
      <c r="K138" s="317">
        <v>7668</v>
      </c>
      <c r="L138" s="317">
        <v>23953</v>
      </c>
    </row>
    <row r="139" spans="1:12" x14ac:dyDescent="0.25">
      <c r="A139" s="318">
        <v>123</v>
      </c>
      <c r="B139" s="318" t="s">
        <v>278</v>
      </c>
      <c r="C139" s="321" t="s">
        <v>147</v>
      </c>
      <c r="D139" s="320">
        <f t="shared" si="4"/>
        <v>47183</v>
      </c>
      <c r="E139" s="320"/>
      <c r="F139" s="320"/>
      <c r="G139" s="320"/>
      <c r="H139" s="320"/>
      <c r="I139" s="320"/>
      <c r="J139" s="317">
        <f t="shared" si="5"/>
        <v>47183</v>
      </c>
      <c r="K139" s="317">
        <v>9656</v>
      </c>
      <c r="L139" s="317">
        <v>37527</v>
      </c>
    </row>
    <row r="140" spans="1:12" x14ac:dyDescent="0.25">
      <c r="A140" s="318">
        <v>124</v>
      </c>
      <c r="B140" s="318" t="s">
        <v>279</v>
      </c>
      <c r="C140" s="321" t="s">
        <v>146</v>
      </c>
      <c r="D140" s="320">
        <f t="shared" si="4"/>
        <v>79417</v>
      </c>
      <c r="E140" s="320"/>
      <c r="F140" s="320"/>
      <c r="G140" s="320"/>
      <c r="H140" s="320"/>
      <c r="I140" s="320"/>
      <c r="J140" s="317">
        <f t="shared" si="5"/>
        <v>79417</v>
      </c>
      <c r="K140" s="317">
        <v>20186</v>
      </c>
      <c r="L140" s="317">
        <v>59231</v>
      </c>
    </row>
    <row r="141" spans="1:12" x14ac:dyDescent="0.25">
      <c r="A141" s="318">
        <v>125</v>
      </c>
      <c r="B141" s="318" t="s">
        <v>281</v>
      </c>
      <c r="C141" s="321" t="s">
        <v>144</v>
      </c>
      <c r="D141" s="320">
        <f t="shared" si="4"/>
        <v>37483</v>
      </c>
      <c r="E141" s="320"/>
      <c r="F141" s="320"/>
      <c r="G141" s="320"/>
      <c r="H141" s="320"/>
      <c r="I141" s="320"/>
      <c r="J141" s="317">
        <f t="shared" si="5"/>
        <v>37483</v>
      </c>
      <c r="K141" s="317">
        <v>6928</v>
      </c>
      <c r="L141" s="317">
        <v>30555</v>
      </c>
    </row>
    <row r="142" spans="1:12" x14ac:dyDescent="0.25">
      <c r="A142" s="318">
        <v>126</v>
      </c>
      <c r="B142" s="318" t="s">
        <v>329</v>
      </c>
      <c r="C142" s="330" t="s">
        <v>644</v>
      </c>
      <c r="D142" s="320">
        <f t="shared" si="4"/>
        <v>34894</v>
      </c>
      <c r="E142" s="320"/>
      <c r="F142" s="320"/>
      <c r="G142" s="320"/>
      <c r="H142" s="320"/>
      <c r="I142" s="320"/>
      <c r="J142" s="317">
        <f t="shared" si="5"/>
        <v>34894</v>
      </c>
      <c r="K142" s="317">
        <v>7249</v>
      </c>
      <c r="L142" s="317">
        <v>27645</v>
      </c>
    </row>
    <row r="143" spans="1:12" x14ac:dyDescent="0.25">
      <c r="A143" s="318">
        <v>127</v>
      </c>
      <c r="B143" s="318" t="s">
        <v>427</v>
      </c>
      <c r="C143" s="321" t="s">
        <v>428</v>
      </c>
      <c r="D143" s="320">
        <f t="shared" si="4"/>
        <v>1635</v>
      </c>
      <c r="E143" s="320"/>
      <c r="F143" s="320"/>
      <c r="G143" s="320"/>
      <c r="H143" s="320">
        <v>1635</v>
      </c>
      <c r="I143" s="320"/>
      <c r="J143" s="317">
        <f t="shared" si="5"/>
        <v>0</v>
      </c>
      <c r="K143" s="317">
        <v>0</v>
      </c>
      <c r="L143" s="317">
        <v>0</v>
      </c>
    </row>
    <row r="144" spans="1:12" x14ac:dyDescent="0.25">
      <c r="A144" s="318">
        <v>128</v>
      </c>
      <c r="B144" s="318"/>
      <c r="C144" s="330" t="s">
        <v>645</v>
      </c>
      <c r="D144" s="320">
        <f t="shared" si="4"/>
        <v>102</v>
      </c>
      <c r="E144" s="332"/>
      <c r="F144" s="332"/>
      <c r="G144" s="332">
        <v>102</v>
      </c>
      <c r="H144" s="332"/>
      <c r="I144" s="332"/>
      <c r="J144" s="317">
        <f t="shared" si="5"/>
        <v>0</v>
      </c>
      <c r="K144" s="317">
        <v>0</v>
      </c>
      <c r="L144" s="317">
        <v>0</v>
      </c>
    </row>
    <row r="145" spans="1:12" x14ac:dyDescent="0.25">
      <c r="A145" s="318">
        <v>129</v>
      </c>
      <c r="B145" s="318"/>
      <c r="C145" s="321" t="s">
        <v>646</v>
      </c>
      <c r="D145" s="320">
        <f t="shared" si="4"/>
        <v>0</v>
      </c>
      <c r="E145" s="320"/>
      <c r="F145" s="320"/>
      <c r="G145" s="320">
        <v>0</v>
      </c>
      <c r="H145" s="320"/>
      <c r="I145" s="320"/>
      <c r="J145" s="317">
        <f t="shared" si="5"/>
        <v>0</v>
      </c>
      <c r="K145" s="317">
        <v>0</v>
      </c>
      <c r="L145" s="317">
        <v>0</v>
      </c>
    </row>
    <row r="146" spans="1:12" x14ac:dyDescent="0.25">
      <c r="A146" s="318">
        <v>130</v>
      </c>
      <c r="B146" s="318" t="s">
        <v>647</v>
      </c>
      <c r="C146" s="319" t="s">
        <v>648</v>
      </c>
      <c r="D146" s="320">
        <f t="shared" si="4"/>
        <v>112</v>
      </c>
      <c r="E146" s="320"/>
      <c r="F146" s="320"/>
      <c r="G146" s="320">
        <v>112</v>
      </c>
      <c r="H146" s="320"/>
      <c r="I146" s="320"/>
      <c r="J146" s="317">
        <f t="shared" si="5"/>
        <v>0</v>
      </c>
      <c r="K146" s="317">
        <v>0</v>
      </c>
      <c r="L146" s="317">
        <v>0</v>
      </c>
    </row>
    <row r="147" spans="1:12" x14ac:dyDescent="0.25">
      <c r="A147" s="318">
        <v>131</v>
      </c>
      <c r="B147" s="318" t="s">
        <v>297</v>
      </c>
      <c r="C147" s="321" t="s">
        <v>649</v>
      </c>
      <c r="D147" s="320">
        <f t="shared" si="4"/>
        <v>50</v>
      </c>
      <c r="E147" s="320"/>
      <c r="F147" s="320"/>
      <c r="G147" s="320">
        <v>50</v>
      </c>
      <c r="H147" s="320"/>
      <c r="I147" s="320"/>
      <c r="J147" s="317">
        <f t="shared" si="5"/>
        <v>0</v>
      </c>
      <c r="K147" s="317">
        <v>0</v>
      </c>
      <c r="L147" s="317">
        <v>0</v>
      </c>
    </row>
    <row r="148" spans="1:12" x14ac:dyDescent="0.25">
      <c r="A148" s="318">
        <v>132</v>
      </c>
      <c r="B148" s="318" t="s">
        <v>303</v>
      </c>
      <c r="C148" s="330" t="s">
        <v>650</v>
      </c>
      <c r="D148" s="320">
        <f t="shared" si="4"/>
        <v>7844</v>
      </c>
      <c r="E148" s="320"/>
      <c r="F148" s="320"/>
      <c r="G148" s="320"/>
      <c r="H148" s="320">
        <v>7844</v>
      </c>
      <c r="I148" s="320"/>
      <c r="J148" s="317">
        <f t="shared" si="5"/>
        <v>0</v>
      </c>
      <c r="K148" s="317">
        <v>0</v>
      </c>
      <c r="L148" s="317">
        <v>0</v>
      </c>
    </row>
    <row r="149" spans="1:12" x14ac:dyDescent="0.25">
      <c r="A149" s="318">
        <v>133</v>
      </c>
      <c r="B149" s="318" t="s">
        <v>439</v>
      </c>
      <c r="C149" s="321" t="s">
        <v>119</v>
      </c>
      <c r="D149" s="320">
        <f t="shared" si="4"/>
        <v>28</v>
      </c>
      <c r="E149" s="320"/>
      <c r="F149" s="320"/>
      <c r="G149" s="320">
        <v>28</v>
      </c>
      <c r="H149" s="320"/>
      <c r="I149" s="320"/>
      <c r="J149" s="317">
        <f t="shared" si="5"/>
        <v>0</v>
      </c>
      <c r="K149" s="317">
        <v>0</v>
      </c>
      <c r="L149" s="317">
        <v>0</v>
      </c>
    </row>
    <row r="150" spans="1:12" x14ac:dyDescent="0.25">
      <c r="A150" s="318">
        <v>134</v>
      </c>
      <c r="B150" s="318" t="s">
        <v>651</v>
      </c>
      <c r="C150" s="321" t="s">
        <v>652</v>
      </c>
      <c r="D150" s="320">
        <f t="shared" si="4"/>
        <v>1</v>
      </c>
      <c r="E150" s="320"/>
      <c r="F150" s="320"/>
      <c r="G150" s="320">
        <v>1</v>
      </c>
      <c r="H150" s="320"/>
      <c r="I150" s="320"/>
      <c r="J150" s="317">
        <f t="shared" si="5"/>
        <v>0</v>
      </c>
      <c r="K150" s="317">
        <v>0</v>
      </c>
      <c r="L150" s="317">
        <v>0</v>
      </c>
    </row>
    <row r="151" spans="1:12" x14ac:dyDescent="0.25">
      <c r="A151" s="318">
        <v>135</v>
      </c>
      <c r="B151" s="318" t="s">
        <v>313</v>
      </c>
      <c r="C151" s="321" t="s">
        <v>120</v>
      </c>
      <c r="D151" s="320">
        <f t="shared" si="4"/>
        <v>184</v>
      </c>
      <c r="E151" s="320"/>
      <c r="F151" s="320"/>
      <c r="G151" s="320">
        <v>184</v>
      </c>
      <c r="H151" s="320"/>
      <c r="I151" s="320"/>
      <c r="J151" s="317">
        <f t="shared" si="5"/>
        <v>0</v>
      </c>
      <c r="K151" s="317">
        <v>0</v>
      </c>
      <c r="L151" s="317">
        <v>0</v>
      </c>
    </row>
    <row r="152" spans="1:12" x14ac:dyDescent="0.25">
      <c r="A152" s="318">
        <v>136</v>
      </c>
      <c r="B152" s="318" t="s">
        <v>429</v>
      </c>
      <c r="C152" s="321" t="s">
        <v>653</v>
      </c>
      <c r="D152" s="320">
        <f t="shared" si="4"/>
        <v>760</v>
      </c>
      <c r="E152" s="320"/>
      <c r="F152" s="320"/>
      <c r="G152" s="320"/>
      <c r="H152" s="320">
        <v>760</v>
      </c>
      <c r="I152" s="320"/>
      <c r="J152" s="317">
        <f t="shared" si="5"/>
        <v>0</v>
      </c>
      <c r="K152" s="317">
        <v>0</v>
      </c>
      <c r="L152" s="317">
        <v>0</v>
      </c>
    </row>
    <row r="153" spans="1:12" x14ac:dyDescent="0.25">
      <c r="A153" s="318">
        <v>137</v>
      </c>
      <c r="B153" s="318" t="s">
        <v>319</v>
      </c>
      <c r="C153" s="321" t="s">
        <v>117</v>
      </c>
      <c r="D153" s="320">
        <f t="shared" si="4"/>
        <v>28</v>
      </c>
      <c r="E153" s="320"/>
      <c r="F153" s="320"/>
      <c r="G153" s="320">
        <v>28</v>
      </c>
      <c r="H153" s="320"/>
      <c r="I153" s="320"/>
      <c r="J153" s="317">
        <f t="shared" si="5"/>
        <v>0</v>
      </c>
      <c r="K153" s="317">
        <v>0</v>
      </c>
      <c r="L153" s="317">
        <v>0</v>
      </c>
    </row>
    <row r="154" spans="1:12" x14ac:dyDescent="0.25">
      <c r="A154" s="318">
        <v>138</v>
      </c>
      <c r="B154" s="318"/>
      <c r="C154" s="321" t="s">
        <v>654</v>
      </c>
      <c r="D154" s="320">
        <f t="shared" si="4"/>
        <v>0</v>
      </c>
      <c r="E154" s="320"/>
      <c r="F154" s="320"/>
      <c r="G154" s="320">
        <v>0</v>
      </c>
      <c r="H154" s="320"/>
      <c r="I154" s="320"/>
      <c r="J154" s="317">
        <f t="shared" si="5"/>
        <v>0</v>
      </c>
      <c r="K154" s="317">
        <v>0</v>
      </c>
      <c r="L154" s="317">
        <v>0</v>
      </c>
    </row>
    <row r="155" spans="1:12" x14ac:dyDescent="0.25">
      <c r="A155" s="318">
        <v>139</v>
      </c>
      <c r="B155" s="318" t="s">
        <v>301</v>
      </c>
      <c r="C155" s="321" t="s">
        <v>655</v>
      </c>
      <c r="D155" s="320">
        <f t="shared" si="4"/>
        <v>22</v>
      </c>
      <c r="E155" s="320"/>
      <c r="F155" s="320"/>
      <c r="G155" s="320">
        <v>22</v>
      </c>
      <c r="H155" s="320"/>
      <c r="I155" s="320"/>
      <c r="J155" s="317">
        <f t="shared" si="5"/>
        <v>0</v>
      </c>
      <c r="K155" s="317">
        <v>0</v>
      </c>
      <c r="L155" s="317">
        <v>0</v>
      </c>
    </row>
    <row r="156" spans="1:12" x14ac:dyDescent="0.25">
      <c r="A156" s="318">
        <v>140</v>
      </c>
      <c r="B156" s="318" t="s">
        <v>425</v>
      </c>
      <c r="C156" s="321" t="s">
        <v>656</v>
      </c>
      <c r="D156" s="320">
        <f t="shared" si="4"/>
        <v>2976</v>
      </c>
      <c r="E156" s="320"/>
      <c r="F156" s="320"/>
      <c r="G156" s="320"/>
      <c r="H156" s="320">
        <v>2976</v>
      </c>
      <c r="I156" s="320"/>
      <c r="J156" s="317">
        <f t="shared" si="5"/>
        <v>0</v>
      </c>
      <c r="K156" s="317">
        <v>0</v>
      </c>
      <c r="L156" s="317">
        <v>0</v>
      </c>
    </row>
    <row r="157" spans="1:12" x14ac:dyDescent="0.25">
      <c r="A157" s="318">
        <v>141</v>
      </c>
      <c r="B157" s="318"/>
      <c r="C157" s="321" t="s">
        <v>657</v>
      </c>
      <c r="D157" s="320">
        <f t="shared" si="4"/>
        <v>28</v>
      </c>
      <c r="E157" s="332"/>
      <c r="F157" s="332"/>
      <c r="G157" s="332">
        <v>28</v>
      </c>
      <c r="H157" s="332"/>
      <c r="I157" s="332"/>
      <c r="J157" s="317">
        <f t="shared" si="5"/>
        <v>0</v>
      </c>
      <c r="K157" s="317">
        <v>0</v>
      </c>
      <c r="L157" s="317">
        <v>0</v>
      </c>
    </row>
    <row r="158" spans="1:12" x14ac:dyDescent="0.25">
      <c r="A158" s="318">
        <v>142</v>
      </c>
      <c r="B158" s="318"/>
      <c r="C158" s="321" t="s">
        <v>658</v>
      </c>
      <c r="D158" s="320">
        <f t="shared" si="4"/>
        <v>28</v>
      </c>
      <c r="E158" s="332"/>
      <c r="F158" s="332"/>
      <c r="G158" s="332">
        <v>28</v>
      </c>
      <c r="H158" s="332"/>
      <c r="I158" s="332"/>
      <c r="J158" s="317">
        <f t="shared" si="5"/>
        <v>0</v>
      </c>
      <c r="K158" s="317">
        <v>0</v>
      </c>
      <c r="L158" s="317">
        <v>0</v>
      </c>
    </row>
    <row r="159" spans="1:12" ht="19.5" customHeight="1" x14ac:dyDescent="0.25">
      <c r="A159" s="318">
        <v>143</v>
      </c>
      <c r="B159" s="318"/>
      <c r="C159" s="321" t="s">
        <v>659</v>
      </c>
      <c r="D159" s="320">
        <f t="shared" si="4"/>
        <v>28</v>
      </c>
      <c r="E159" s="332"/>
      <c r="F159" s="332"/>
      <c r="G159" s="332">
        <v>28</v>
      </c>
      <c r="H159" s="332"/>
      <c r="I159" s="332"/>
      <c r="J159" s="317">
        <f t="shared" si="5"/>
        <v>0</v>
      </c>
      <c r="K159" s="317">
        <v>0</v>
      </c>
      <c r="L159" s="317">
        <v>0</v>
      </c>
    </row>
    <row r="160" spans="1:12" x14ac:dyDescent="0.25">
      <c r="A160" s="318">
        <v>144</v>
      </c>
      <c r="B160" s="318"/>
      <c r="C160" s="321" t="s">
        <v>431</v>
      </c>
      <c r="D160" s="320">
        <f t="shared" si="4"/>
        <v>192</v>
      </c>
      <c r="E160" s="320"/>
      <c r="F160" s="320"/>
      <c r="G160" s="320"/>
      <c r="H160" s="320">
        <v>192</v>
      </c>
      <c r="I160" s="320"/>
      <c r="J160" s="317">
        <f t="shared" si="5"/>
        <v>0</v>
      </c>
      <c r="K160" s="317">
        <v>0</v>
      </c>
      <c r="L160" s="317">
        <v>0</v>
      </c>
    </row>
    <row r="161" spans="1:12" x14ac:dyDescent="0.25">
      <c r="A161" s="318">
        <v>145</v>
      </c>
      <c r="B161" s="318" t="s">
        <v>28</v>
      </c>
      <c r="C161" s="321" t="s">
        <v>5</v>
      </c>
      <c r="D161" s="320">
        <f t="shared" si="4"/>
        <v>764</v>
      </c>
      <c r="E161" s="320"/>
      <c r="F161" s="320"/>
      <c r="G161" s="320"/>
      <c r="H161" s="320">
        <v>764</v>
      </c>
      <c r="I161" s="320"/>
      <c r="J161" s="317">
        <f t="shared" si="5"/>
        <v>0</v>
      </c>
      <c r="K161" s="317">
        <v>0</v>
      </c>
      <c r="L161" s="317">
        <v>0</v>
      </c>
    </row>
    <row r="162" spans="1:12" x14ac:dyDescent="0.25">
      <c r="A162" s="318">
        <v>146</v>
      </c>
      <c r="B162" s="318" t="s">
        <v>385</v>
      </c>
      <c r="C162" s="321" t="s">
        <v>72</v>
      </c>
      <c r="D162" s="320">
        <f t="shared" si="4"/>
        <v>3276</v>
      </c>
      <c r="E162" s="320"/>
      <c r="F162" s="320"/>
      <c r="G162" s="320"/>
      <c r="H162" s="320">
        <v>183</v>
      </c>
      <c r="I162" s="320">
        <f>1749+1344</f>
        <v>3093</v>
      </c>
      <c r="J162" s="317">
        <f t="shared" si="5"/>
        <v>0</v>
      </c>
      <c r="K162" s="317">
        <v>0</v>
      </c>
      <c r="L162" s="317">
        <v>0</v>
      </c>
    </row>
    <row r="163" spans="1:12" x14ac:dyDescent="0.25">
      <c r="A163" s="318">
        <v>147</v>
      </c>
      <c r="B163" s="318" t="s">
        <v>388</v>
      </c>
      <c r="C163" s="321" t="s">
        <v>83</v>
      </c>
      <c r="D163" s="320">
        <f t="shared" si="4"/>
        <v>23691</v>
      </c>
      <c r="E163" s="320"/>
      <c r="F163" s="320"/>
      <c r="G163" s="320">
        <v>23691</v>
      </c>
      <c r="H163" s="320"/>
      <c r="I163" s="320"/>
      <c r="J163" s="317">
        <f t="shared" si="5"/>
        <v>0</v>
      </c>
      <c r="K163" s="317">
        <v>0</v>
      </c>
      <c r="L163" s="317">
        <v>0</v>
      </c>
    </row>
    <row r="164" spans="1:12" x14ac:dyDescent="0.25">
      <c r="A164" s="318">
        <v>148</v>
      </c>
      <c r="B164" s="318" t="s">
        <v>18</v>
      </c>
      <c r="C164" s="321" t="s">
        <v>6</v>
      </c>
      <c r="D164" s="320">
        <f t="shared" si="4"/>
        <v>35562</v>
      </c>
      <c r="E164" s="320"/>
      <c r="F164" s="320"/>
      <c r="G164" s="320">
        <v>35562</v>
      </c>
      <c r="H164" s="320"/>
      <c r="I164" s="320"/>
      <c r="J164" s="317">
        <f t="shared" si="5"/>
        <v>0</v>
      </c>
      <c r="K164" s="317">
        <v>0</v>
      </c>
      <c r="L164" s="317">
        <v>0</v>
      </c>
    </row>
    <row r="165" spans="1:12" x14ac:dyDescent="0.25">
      <c r="A165" s="318">
        <v>149</v>
      </c>
      <c r="B165" s="318" t="s">
        <v>389</v>
      </c>
      <c r="C165" s="321" t="s">
        <v>71</v>
      </c>
      <c r="D165" s="320">
        <f t="shared" si="4"/>
        <v>35581</v>
      </c>
      <c r="E165" s="320"/>
      <c r="F165" s="320"/>
      <c r="G165" s="320">
        <v>35581</v>
      </c>
      <c r="H165" s="320"/>
      <c r="I165" s="320"/>
      <c r="J165" s="317">
        <f t="shared" si="5"/>
        <v>0</v>
      </c>
      <c r="K165" s="317">
        <v>0</v>
      </c>
      <c r="L165" s="317">
        <v>0</v>
      </c>
    </row>
    <row r="166" spans="1:12" x14ac:dyDescent="0.25">
      <c r="A166" s="565">
        <v>150</v>
      </c>
      <c r="B166" s="327" t="s">
        <v>22</v>
      </c>
      <c r="C166" s="321" t="s">
        <v>84</v>
      </c>
      <c r="D166" s="320">
        <f t="shared" si="4"/>
        <v>80087</v>
      </c>
      <c r="E166" s="320"/>
      <c r="F166" s="320">
        <v>7530</v>
      </c>
      <c r="G166" s="320"/>
      <c r="H166" s="320"/>
      <c r="I166" s="320">
        <f>5422+676</f>
        <v>6098</v>
      </c>
      <c r="J166" s="317">
        <f t="shared" si="5"/>
        <v>66459</v>
      </c>
      <c r="K166" s="317">
        <f>16256</f>
        <v>16256</v>
      </c>
      <c r="L166" s="317">
        <v>50203</v>
      </c>
    </row>
    <row r="167" spans="1:12" ht="38.25" x14ac:dyDescent="0.25">
      <c r="A167" s="566"/>
      <c r="B167" s="325" t="s">
        <v>293</v>
      </c>
      <c r="C167" s="331" t="s">
        <v>660</v>
      </c>
      <c r="D167" s="320">
        <f t="shared" si="4"/>
        <v>129687</v>
      </c>
      <c r="E167" s="324"/>
      <c r="F167" s="324"/>
      <c r="G167" s="324"/>
      <c r="H167" s="324"/>
      <c r="I167" s="324"/>
      <c r="J167" s="317">
        <f t="shared" si="5"/>
        <v>129687</v>
      </c>
      <c r="K167" s="317">
        <v>23812</v>
      </c>
      <c r="L167" s="317">
        <v>105875</v>
      </c>
    </row>
    <row r="168" spans="1:12" x14ac:dyDescent="0.25">
      <c r="A168" s="318">
        <v>151</v>
      </c>
      <c r="B168" s="318" t="s">
        <v>661</v>
      </c>
      <c r="C168" s="321" t="s">
        <v>662</v>
      </c>
      <c r="D168" s="320">
        <f t="shared" si="4"/>
        <v>13410</v>
      </c>
      <c r="E168" s="320"/>
      <c r="F168" s="320"/>
      <c r="G168" s="320">
        <v>13410</v>
      </c>
      <c r="H168" s="320"/>
      <c r="I168" s="320"/>
      <c r="J168" s="317">
        <f t="shared" si="5"/>
        <v>0</v>
      </c>
      <c r="K168" s="317">
        <v>0</v>
      </c>
      <c r="L168" s="317">
        <v>0</v>
      </c>
    </row>
    <row r="169" spans="1:12" x14ac:dyDescent="0.25">
      <c r="A169" s="318">
        <v>152</v>
      </c>
      <c r="B169" s="318" t="s">
        <v>444</v>
      </c>
      <c r="C169" s="321" t="s">
        <v>66</v>
      </c>
      <c r="D169" s="320">
        <f t="shared" si="4"/>
        <v>894</v>
      </c>
      <c r="E169" s="320"/>
      <c r="F169" s="320"/>
      <c r="G169" s="320">
        <v>894</v>
      </c>
      <c r="H169" s="320"/>
      <c r="I169" s="320"/>
      <c r="J169" s="317">
        <f t="shared" si="5"/>
        <v>0</v>
      </c>
      <c r="K169" s="317">
        <v>0</v>
      </c>
      <c r="L169" s="317">
        <v>0</v>
      </c>
    </row>
    <row r="170" spans="1:12" x14ac:dyDescent="0.25">
      <c r="A170" s="318">
        <v>153</v>
      </c>
      <c r="B170" s="318" t="s">
        <v>663</v>
      </c>
      <c r="C170" s="321" t="s">
        <v>664</v>
      </c>
      <c r="D170" s="320">
        <f t="shared" si="4"/>
        <v>157</v>
      </c>
      <c r="E170" s="320">
        <v>157</v>
      </c>
      <c r="F170" s="320"/>
      <c r="G170" s="320"/>
      <c r="H170" s="320"/>
      <c r="I170" s="320"/>
      <c r="J170" s="317">
        <f t="shared" si="5"/>
        <v>0</v>
      </c>
      <c r="K170" s="317">
        <v>0</v>
      </c>
      <c r="L170" s="317">
        <v>0</v>
      </c>
    </row>
    <row r="171" spans="1:12" x14ac:dyDescent="0.25">
      <c r="A171" s="318"/>
      <c r="B171" s="318"/>
      <c r="C171" s="321" t="s">
        <v>78</v>
      </c>
      <c r="D171" s="320">
        <f>20221+H171</f>
        <v>21666</v>
      </c>
      <c r="E171" s="320"/>
      <c r="F171" s="320"/>
      <c r="G171" s="320"/>
      <c r="H171" s="320">
        <v>1445</v>
      </c>
      <c r="I171" s="320"/>
      <c r="J171" s="317">
        <f t="shared" si="5"/>
        <v>0</v>
      </c>
      <c r="K171" s="317">
        <v>0</v>
      </c>
      <c r="L171" s="317">
        <v>0</v>
      </c>
    </row>
    <row r="172" spans="1:12" x14ac:dyDescent="0.25">
      <c r="A172" s="333"/>
      <c r="B172" s="333"/>
      <c r="C172" s="333" t="s">
        <v>8</v>
      </c>
      <c r="D172" s="334">
        <f t="shared" ref="D172:L172" si="6">SUM(D8:D171)</f>
        <v>7129165</v>
      </c>
      <c r="E172" s="334">
        <f t="shared" si="6"/>
        <v>30267</v>
      </c>
      <c r="F172" s="334">
        <f t="shared" si="6"/>
        <v>53676</v>
      </c>
      <c r="G172" s="334">
        <f t="shared" si="6"/>
        <v>468086</v>
      </c>
      <c r="H172" s="334">
        <f t="shared" si="6"/>
        <v>15799</v>
      </c>
      <c r="I172" s="334">
        <f t="shared" si="6"/>
        <v>28443</v>
      </c>
      <c r="J172" s="334">
        <f t="shared" si="6"/>
        <v>6512673</v>
      </c>
      <c r="K172" s="334">
        <f t="shared" si="6"/>
        <v>1482610</v>
      </c>
      <c r="L172" s="334">
        <f t="shared" si="6"/>
        <v>5030063</v>
      </c>
    </row>
    <row r="173" spans="1:12" x14ac:dyDescent="0.25">
      <c r="J173" s="335"/>
    </row>
    <row r="174" spans="1:12" x14ac:dyDescent="0.25">
      <c r="D174" s="335"/>
      <c r="E174" s="335"/>
      <c r="F174" s="335"/>
      <c r="G174" s="335"/>
      <c r="H174" s="335"/>
      <c r="I174" s="335"/>
      <c r="J174" s="335"/>
      <c r="K174" s="335"/>
      <c r="L174" s="335"/>
    </row>
    <row r="175" spans="1:12" x14ac:dyDescent="0.25">
      <c r="D175" s="335"/>
      <c r="E175" s="335"/>
      <c r="F175" s="335"/>
      <c r="G175" s="335"/>
      <c r="H175" s="335"/>
      <c r="I175" s="335"/>
      <c r="J175" s="335"/>
      <c r="K175" s="335"/>
      <c r="L175" s="335"/>
    </row>
  </sheetData>
  <mergeCells count="22">
    <mergeCell ref="A1:L1"/>
    <mergeCell ref="A4:A7"/>
    <mergeCell ref="B4:B7"/>
    <mergeCell ref="C4:C7"/>
    <mergeCell ref="D4:D7"/>
    <mergeCell ref="E4:L4"/>
    <mergeCell ref="E5:E7"/>
    <mergeCell ref="F5:F7"/>
    <mergeCell ref="G5:G7"/>
    <mergeCell ref="H5:H7"/>
    <mergeCell ref="A166:A167"/>
    <mergeCell ref="I5:I7"/>
    <mergeCell ref="J5:L5"/>
    <mergeCell ref="J6:J7"/>
    <mergeCell ref="K6:L6"/>
    <mergeCell ref="A12:A13"/>
    <mergeCell ref="A42:A43"/>
    <mergeCell ref="A46:A48"/>
    <mergeCell ref="A52:A54"/>
    <mergeCell ref="A57:A58"/>
    <mergeCell ref="A118:A119"/>
    <mergeCell ref="A123:A12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КС (пр.118)</vt:lpstr>
      <vt:lpstr>ВМП по КС</vt:lpstr>
      <vt:lpstr>ДС Пр. 118</vt:lpstr>
      <vt:lpstr>Гемодиализ Пр. 118</vt:lpstr>
      <vt:lpstr>ЛДИ COVID 19</vt:lpstr>
      <vt:lpstr>КТ МРТ Пр. 118</vt:lpstr>
      <vt:lpstr>Эндоскопия, МГИ,гистол. Пр.118</vt:lpstr>
      <vt:lpstr>СМП объемы Пр 118</vt:lpstr>
      <vt:lpstr>Обращения по забол.Пр.118</vt:lpstr>
      <vt:lpstr>Неотложная помощь Пр.118</vt:lpstr>
      <vt:lpstr>Всего Профилактика Пр.118</vt:lpstr>
      <vt:lpstr>Проф.с иными целями Пр.118</vt:lpstr>
      <vt:lpstr>Центры здоровья Пр.118</vt:lpstr>
      <vt:lpstr>'СМП объемы Пр 118'!OLE_LINK1</vt:lpstr>
      <vt:lpstr>'КС (пр.118)'!Заголовки_для_печати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ocit_1</cp:lastModifiedBy>
  <cp:lastPrinted>2020-08-28T08:49:22Z</cp:lastPrinted>
  <dcterms:created xsi:type="dcterms:W3CDTF">2019-11-28T06:32:34Z</dcterms:created>
  <dcterms:modified xsi:type="dcterms:W3CDTF">2020-09-01T12:16:32Z</dcterms:modified>
</cp:coreProperties>
</file>