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AIO\Aйдар\"/>
    </mc:Choice>
  </mc:AlternateContent>
  <bookViews>
    <workbookView xWindow="0" yWindow="0" windowWidth="19200" windowHeight="11490" firstSheet="10" activeTab="12"/>
  </bookViews>
  <sheets>
    <sheet name="СМП Пр 116" sheetId="103" r:id="rId1"/>
    <sheet name="КС Пр.116" sheetId="98" r:id="rId2"/>
    <sheet name="ВМП по КС Пр.116  " sheetId="99" r:id="rId3"/>
    <sheet name="Изоляторы Пр. 116" sheetId="105" r:id="rId4"/>
    <sheet name="ДС Пр. 116" sheetId="100" r:id="rId5"/>
    <sheet name="ВМП по ДС Пр. 116" sheetId="101" r:id="rId6"/>
    <sheet name="Гемодиализ Пр. 116" sheetId="102" r:id="rId7"/>
    <sheet name="Обращения Пр.116" sheetId="94" r:id="rId8"/>
    <sheet name="Всего профил.Пр.116" sheetId="92" r:id="rId9"/>
    <sheet name="Проф.с иными целями Пр.116." sheetId="93" r:id="rId10"/>
    <sheet name="Неотложн. МП Пр.116" sheetId="104" r:id="rId11"/>
    <sheet name="КТ, МРТ Пр. 116" sheetId="95" r:id="rId12"/>
    <sheet name="РД, луч, ПЭТ, УЗИ Пр. 116" sheetId="9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xlnm.Print_Area_2" localSheetId="4">#REF!</definedName>
    <definedName name="__xlnm.Print_Area_2" localSheetId="11">#REF!</definedName>
    <definedName name="__xlnm.Print_Area_2" localSheetId="10">#REF!</definedName>
    <definedName name="__xlnm.Print_Area_2" localSheetId="7">#REF!</definedName>
    <definedName name="__xlnm.Print_Area_2" localSheetId="9">#REF!</definedName>
    <definedName name="__xlnm.Print_Area_2" localSheetId="12">#REF!</definedName>
    <definedName name="__xlnm.Print_Area_2" localSheetId="0">#REF!</definedName>
    <definedName name="__xlnm.Print_Area_2">#REF!</definedName>
    <definedName name="_xlnm._FilterDatabase" localSheetId="4" hidden="1">'ДС Пр. 116'!$A$8:$M$148</definedName>
    <definedName name="_xlnm._FilterDatabase" localSheetId="10" hidden="1">'Неотложн. МП Пр.116'!$A$9:$P$142</definedName>
    <definedName name="_xlnm._FilterDatabase" localSheetId="7" hidden="1">'Обращения Пр.116'!$A$8:$L$173</definedName>
    <definedName name="Kbcn" localSheetId="8">#REF!</definedName>
    <definedName name="Kbcn" localSheetId="11">#REF!</definedName>
    <definedName name="Kbcn" localSheetId="10">#REF!</definedName>
    <definedName name="Kbcn" localSheetId="7">#REF!</definedName>
    <definedName name="Kbcn" localSheetId="9">#REF!</definedName>
    <definedName name="Kbcn" localSheetId="12">#REF!</definedName>
    <definedName name="Kbcn" localSheetId="0">#REF!</definedName>
    <definedName name="Kbcn">#REF!</definedName>
    <definedName name="Neot_17" localSheetId="11">#REF!</definedName>
    <definedName name="Neot_17" localSheetId="10">#REF!</definedName>
    <definedName name="Neot_17" localSheetId="7">#REF!</definedName>
    <definedName name="Neot_17" localSheetId="9">#REF!</definedName>
    <definedName name="Neot_17" localSheetId="12">#REF!</definedName>
    <definedName name="Neot_17" localSheetId="0">#REF!</definedName>
    <definedName name="Neot_17">#REF!</definedName>
    <definedName name="OLE_LINK1" localSheetId="0">'СМП Пр 116'!$A$3</definedName>
    <definedName name="res2_range" localSheetId="2">#REF!</definedName>
    <definedName name="res2_range" localSheetId="1">#REF!</definedName>
    <definedName name="res2_range" localSheetId="11">#REF!</definedName>
    <definedName name="res2_range" localSheetId="10">#REF!</definedName>
    <definedName name="res2_range" localSheetId="7">#REF!</definedName>
    <definedName name="res2_range" localSheetId="9">#REF!</definedName>
    <definedName name="res2_range" localSheetId="12">#REF!</definedName>
    <definedName name="res2_range" localSheetId="0">#REF!</definedName>
    <definedName name="res2_range">#REF!</definedName>
    <definedName name="Tg_CZ" localSheetId="11">#REF!</definedName>
    <definedName name="Tg_CZ" localSheetId="10">#REF!</definedName>
    <definedName name="Tg_CZ" localSheetId="7">#REF!</definedName>
    <definedName name="Tg_CZ" localSheetId="9">#REF!</definedName>
    <definedName name="Tg_CZ" localSheetId="12">#REF!</definedName>
    <definedName name="Tg_CZ" localSheetId="0">#REF!</definedName>
    <definedName name="Tg_CZ">#REF!</definedName>
    <definedName name="Tg_Disp" localSheetId="11">#REF!</definedName>
    <definedName name="Tg_Disp" localSheetId="10">#REF!</definedName>
    <definedName name="Tg_Disp" localSheetId="7">#REF!</definedName>
    <definedName name="Tg_Disp" localSheetId="9">#REF!</definedName>
    <definedName name="Tg_Disp" localSheetId="12">#REF!</definedName>
    <definedName name="Tg_Disp" localSheetId="0">#REF!</definedName>
    <definedName name="Tg_Disp">#REF!</definedName>
    <definedName name="Tg_Geri" localSheetId="11">#REF!</definedName>
    <definedName name="Tg_Geri" localSheetId="10">#REF!</definedName>
    <definedName name="Tg_Geri" localSheetId="7">#REF!</definedName>
    <definedName name="Tg_Geri" localSheetId="9">#REF!</definedName>
    <definedName name="Tg_Geri" localSheetId="12">#REF!</definedName>
    <definedName name="Tg_Geri" localSheetId="0">#REF!</definedName>
    <definedName name="Tg_Geri">#REF!</definedName>
    <definedName name="Tg_Kons" localSheetId="11">#REF!</definedName>
    <definedName name="Tg_Kons" localSheetId="10">#REF!</definedName>
    <definedName name="Tg_Kons" localSheetId="7">#REF!</definedName>
    <definedName name="Tg_Kons" localSheetId="9">#REF!</definedName>
    <definedName name="Tg_Kons" localSheetId="12">#REF!</definedName>
    <definedName name="Tg_Kons" localSheetId="0">#REF!</definedName>
    <definedName name="Tg_Kons">#REF!</definedName>
    <definedName name="Tg_Med" localSheetId="11">#REF!</definedName>
    <definedName name="Tg_Med" localSheetId="10">#REF!</definedName>
    <definedName name="Tg_Med" localSheetId="7">#REF!</definedName>
    <definedName name="Tg_Med" localSheetId="9">#REF!</definedName>
    <definedName name="Tg_Med" localSheetId="12">#REF!</definedName>
    <definedName name="Tg_Med" localSheetId="0">#REF!</definedName>
    <definedName name="Tg_Med">#REF!</definedName>
    <definedName name="Tg_Neot" localSheetId="11">#REF!</definedName>
    <definedName name="Tg_Neot" localSheetId="10">#REF!</definedName>
    <definedName name="Tg_Neot" localSheetId="7">#REF!</definedName>
    <definedName name="Tg_Neot" localSheetId="9">#REF!</definedName>
    <definedName name="Tg_Neot" localSheetId="12">#REF!</definedName>
    <definedName name="Tg_Neot" localSheetId="0">#REF!</definedName>
    <definedName name="Tg_Neot">#REF!</definedName>
    <definedName name="Tg_Nepr" localSheetId="11">#REF!</definedName>
    <definedName name="Tg_Nepr" localSheetId="10">#REF!</definedName>
    <definedName name="Tg_Nepr" localSheetId="7">#REF!</definedName>
    <definedName name="Tg_Nepr" localSheetId="9">#REF!</definedName>
    <definedName name="Tg_Nepr" localSheetId="12">#REF!</definedName>
    <definedName name="Tg_Nepr" localSheetId="0">#REF!</definedName>
    <definedName name="Tg_Nepr">#REF!</definedName>
    <definedName name="Tg_Obr" localSheetId="11">#REF!</definedName>
    <definedName name="Tg_Obr" localSheetId="10">#REF!</definedName>
    <definedName name="Tg_Obr" localSheetId="7">#REF!</definedName>
    <definedName name="Tg_Obr" localSheetId="9">#REF!</definedName>
    <definedName name="Tg_Obr" localSheetId="12">#REF!</definedName>
    <definedName name="Tg_Obr" localSheetId="0">#REF!</definedName>
    <definedName name="Tg_Obr">#REF!</definedName>
    <definedName name="Tg_Reestr" localSheetId="11">#REF!</definedName>
    <definedName name="Tg_Reestr" localSheetId="10">#REF!</definedName>
    <definedName name="Tg_Reestr" localSheetId="7">#REF!</definedName>
    <definedName name="Tg_Reestr" localSheetId="9">#REF!</definedName>
    <definedName name="Tg_Reestr" localSheetId="12">#REF!</definedName>
    <definedName name="Tg_Reestr" localSheetId="0">#REF!</definedName>
    <definedName name="Tg_Reestr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8">#REF!</definedName>
    <definedName name="_xlnm.Database" localSheetId="11">#REF!</definedName>
    <definedName name="_xlnm.Database" localSheetId="10">#REF!</definedName>
    <definedName name="_xlnm.Database" localSheetId="7">#REF!</definedName>
    <definedName name="_xlnm.Database" localSheetId="9">#REF!</definedName>
    <definedName name="_xlnm.Database" localSheetId="12">#REF!</definedName>
    <definedName name="_xlnm.Database" localSheetId="0">#REF!</definedName>
    <definedName name="_xlnm.Database">#REF!</definedName>
    <definedName name="Д" localSheetId="1">[2]Данные!$B$1:$EF$178</definedName>
    <definedName name="Д" localSheetId="11">[3]Данные!$B$1:$EF$178</definedName>
    <definedName name="Д" localSheetId="10">[3]Данные!$B$1:$EF$178</definedName>
    <definedName name="Д" localSheetId="7">[4]Данные!$B$1:$EF$178</definedName>
    <definedName name="Д" localSheetId="12">[3]Данные!$B$1:$EF$178</definedName>
    <definedName name="Д" localSheetId="0">[3]Данные!$B$1:$EF$178</definedName>
    <definedName name="Д">[5]Данные!$B$1:$EF$178</definedName>
    <definedName name="_xlnm.Print_Titles" localSheetId="4">'ДС Пр. 116'!$3:$5</definedName>
    <definedName name="_xlnm.Print_Titles" localSheetId="1">'КС Пр.116'!$4:$6</definedName>
    <definedName name="_xlnm.Print_Titles" localSheetId="10">'Неотложн. МП Пр.116'!$5:$9</definedName>
    <definedName name="ЗД" localSheetId="1">[2]Данные!$BY$3:$DB$3</definedName>
    <definedName name="ЗД" localSheetId="11">[3]Данные!$BY$3:$DB$3</definedName>
    <definedName name="ЗД" localSheetId="10">[3]Данные!$BY$3:$DB$3</definedName>
    <definedName name="ЗД" localSheetId="7">[4]Данные!$BY$3:$DB$3</definedName>
    <definedName name="ЗД" localSheetId="12">[3]Данные!$BY$3:$DB$3</definedName>
    <definedName name="ЗД" localSheetId="0">[3]Данные!$BY$3:$DB$3</definedName>
    <definedName name="ЗД">[5]Данные!$BY$3:$DB$3</definedName>
    <definedName name="ппорь" localSheetId="8">#REF!</definedName>
    <definedName name="ппорь" localSheetId="4">#REF!</definedName>
    <definedName name="ппорь" localSheetId="11">#REF!</definedName>
    <definedName name="ппорь" localSheetId="10">#REF!</definedName>
    <definedName name="ппорь" localSheetId="7">#REF!</definedName>
    <definedName name="ппорь" localSheetId="9">#REF!</definedName>
    <definedName name="ппорь" localSheetId="12">#REF!</definedName>
    <definedName name="ппорь" localSheetId="0">#REF!</definedName>
    <definedName name="ппорь">#REF!</definedName>
    <definedName name="смп" localSheetId="10">#REF!</definedName>
    <definedName name="смп" localSheetId="7">#REF!</definedName>
    <definedName name="смп" localSheetId="0">#REF!</definedName>
    <definedName name="смп">#REF!</definedName>
    <definedName name="ФЗ" localSheetId="1">[2]Данные!$DC$3:$EF$3</definedName>
    <definedName name="ФЗ" localSheetId="11">[3]Данные!$DC$3:$EF$3</definedName>
    <definedName name="ФЗ" localSheetId="10">[3]Данные!$DC$3:$EF$3</definedName>
    <definedName name="ФЗ" localSheetId="7">[4]Данные!$DC$3:$EF$3</definedName>
    <definedName name="ФЗ" localSheetId="12">[3]Данные!$DC$3:$EF$3</definedName>
    <definedName name="ФЗ" localSheetId="0">[3]Данные!$DC$3:$EF$3</definedName>
    <definedName name="ФЗ">[5]Данные!$DC$3:$EF$3</definedName>
    <definedName name="Шт" localSheetId="1">[2]Данные!$AU$3:$BX$3</definedName>
    <definedName name="Шт" localSheetId="11">[3]Данные!$AU$3:$BX$3</definedName>
    <definedName name="Шт" localSheetId="10">[3]Данные!$AU$3:$BX$3</definedName>
    <definedName name="Шт" localSheetId="7">[4]Данные!$AU$3:$BX$3</definedName>
    <definedName name="Шт" localSheetId="12">[3]Данные!$AU$3:$BX$3</definedName>
    <definedName name="Шт" localSheetId="0">[3]Данные!$AU$3:$BX$3</definedName>
    <definedName name="Шт">[5]Данные!$AU$3:$BX$3</definedName>
    <definedName name="ЭКО" localSheetId="8">#REF!</definedName>
    <definedName name="ЭКО" localSheetId="11">#REF!</definedName>
    <definedName name="ЭКО" localSheetId="10">#REF!</definedName>
    <definedName name="ЭКО" localSheetId="7">#REF!</definedName>
    <definedName name="ЭКО" localSheetId="9">#REF!</definedName>
    <definedName name="ЭКО" localSheetId="12">#REF!</definedName>
    <definedName name="ЭКО" localSheetId="0">#REF!</definedName>
    <definedName name="ЭКО">#REF!</definedName>
  </definedNames>
  <calcPr calcId="162913"/>
</workbook>
</file>

<file path=xl/calcChain.xml><?xml version="1.0" encoding="utf-8"?>
<calcChain xmlns="http://schemas.openxmlformats.org/spreadsheetml/2006/main">
  <c r="C53" i="105" l="1"/>
  <c r="F100" i="98" l="1"/>
  <c r="F105" i="98"/>
  <c r="O141" i="104" l="1"/>
  <c r="N141" i="104"/>
  <c r="K141" i="104"/>
  <c r="J141" i="104"/>
  <c r="H141" i="104"/>
  <c r="G141" i="104"/>
  <c r="F141" i="104"/>
  <c r="E141" i="104"/>
  <c r="I139" i="104"/>
  <c r="D139" i="104"/>
  <c r="C139" i="104"/>
  <c r="M138" i="104"/>
  <c r="I138" i="104" s="1"/>
  <c r="C138" i="104" s="1"/>
  <c r="D138" i="104"/>
  <c r="I137" i="104"/>
  <c r="D137" i="104"/>
  <c r="C137" i="104" s="1"/>
  <c r="L136" i="104"/>
  <c r="I136" i="104" s="1"/>
  <c r="C136" i="104" s="1"/>
  <c r="D136" i="104"/>
  <c r="I135" i="104"/>
  <c r="D135" i="104"/>
  <c r="I134" i="104"/>
  <c r="D134" i="104"/>
  <c r="I133" i="104"/>
  <c r="D133" i="104"/>
  <c r="C133" i="104"/>
  <c r="I132" i="104"/>
  <c r="D132" i="104"/>
  <c r="C132" i="104" s="1"/>
  <c r="I131" i="104"/>
  <c r="C131" i="104" s="1"/>
  <c r="D131" i="104"/>
  <c r="I130" i="104"/>
  <c r="D130" i="104"/>
  <c r="I129" i="104"/>
  <c r="C129" i="104" s="1"/>
  <c r="D129" i="104"/>
  <c r="I128" i="104"/>
  <c r="D128" i="104"/>
  <c r="I127" i="104"/>
  <c r="D127" i="104"/>
  <c r="I126" i="104"/>
  <c r="D126" i="104"/>
  <c r="I125" i="104"/>
  <c r="D125" i="104"/>
  <c r="C125" i="104" s="1"/>
  <c r="I124" i="104"/>
  <c r="D124" i="104"/>
  <c r="C124" i="104" s="1"/>
  <c r="I123" i="104"/>
  <c r="C123" i="104" s="1"/>
  <c r="D123" i="104"/>
  <c r="I122" i="104"/>
  <c r="D122" i="104"/>
  <c r="I121" i="104"/>
  <c r="C121" i="104" s="1"/>
  <c r="D121" i="104"/>
  <c r="I120" i="104"/>
  <c r="D120" i="104"/>
  <c r="I119" i="104"/>
  <c r="D119" i="104"/>
  <c r="I118" i="104"/>
  <c r="D118" i="104"/>
  <c r="I117" i="104"/>
  <c r="D117" i="104"/>
  <c r="C117" i="104"/>
  <c r="I116" i="104"/>
  <c r="D116" i="104"/>
  <c r="C116" i="104" s="1"/>
  <c r="I115" i="104"/>
  <c r="C115" i="104" s="1"/>
  <c r="D115" i="104"/>
  <c r="I114" i="104"/>
  <c r="D114" i="104"/>
  <c r="I113" i="104"/>
  <c r="C113" i="104" s="1"/>
  <c r="D113" i="104"/>
  <c r="I112" i="104"/>
  <c r="D112" i="104"/>
  <c r="I111" i="104"/>
  <c r="D111" i="104"/>
  <c r="I110" i="104"/>
  <c r="D110" i="104"/>
  <c r="I109" i="104"/>
  <c r="D109" i="104"/>
  <c r="C109" i="104" s="1"/>
  <c r="I108" i="104"/>
  <c r="D108" i="104"/>
  <c r="C108" i="104" s="1"/>
  <c r="I107" i="104"/>
  <c r="C107" i="104" s="1"/>
  <c r="D107" i="104"/>
  <c r="I106" i="104"/>
  <c r="D106" i="104"/>
  <c r="I105" i="104"/>
  <c r="C105" i="104" s="1"/>
  <c r="D105" i="104"/>
  <c r="I104" i="104"/>
  <c r="D104" i="104"/>
  <c r="I103" i="104"/>
  <c r="D103" i="104"/>
  <c r="I102" i="104"/>
  <c r="D102" i="104"/>
  <c r="I101" i="104"/>
  <c r="D101" i="104"/>
  <c r="C101" i="104"/>
  <c r="I100" i="104"/>
  <c r="D100" i="104"/>
  <c r="C100" i="104" s="1"/>
  <c r="I99" i="104"/>
  <c r="C99" i="104" s="1"/>
  <c r="D99" i="104"/>
  <c r="I98" i="104"/>
  <c r="D98" i="104"/>
  <c r="I97" i="104"/>
  <c r="C97" i="104" s="1"/>
  <c r="D97" i="104"/>
  <c r="I96" i="104"/>
  <c r="D96" i="104"/>
  <c r="I95" i="104"/>
  <c r="D95" i="104"/>
  <c r="I94" i="104"/>
  <c r="D94" i="104"/>
  <c r="I93" i="104"/>
  <c r="D93" i="104"/>
  <c r="C93" i="104" s="1"/>
  <c r="I92" i="104"/>
  <c r="D92" i="104"/>
  <c r="C92" i="104" s="1"/>
  <c r="I91" i="104"/>
  <c r="C91" i="104" s="1"/>
  <c r="D91" i="104"/>
  <c r="I90" i="104"/>
  <c r="D90" i="104"/>
  <c r="I89" i="104"/>
  <c r="C89" i="104" s="1"/>
  <c r="D89" i="104"/>
  <c r="I88" i="104"/>
  <c r="D88" i="104"/>
  <c r="I87" i="104"/>
  <c r="D87" i="104"/>
  <c r="I86" i="104"/>
  <c r="D86" i="104"/>
  <c r="I85" i="104"/>
  <c r="D85" i="104"/>
  <c r="C85" i="104"/>
  <c r="I84" i="104"/>
  <c r="D84" i="104"/>
  <c r="C84" i="104" s="1"/>
  <c r="I83" i="104"/>
  <c r="C83" i="104" s="1"/>
  <c r="D83" i="104"/>
  <c r="I82" i="104"/>
  <c r="D82" i="104"/>
  <c r="I81" i="104"/>
  <c r="C81" i="104" s="1"/>
  <c r="D81" i="104"/>
  <c r="I80" i="104"/>
  <c r="D80" i="104"/>
  <c r="I79" i="104"/>
  <c r="D79" i="104"/>
  <c r="I78" i="104"/>
  <c r="D78" i="104"/>
  <c r="I77" i="104"/>
  <c r="D77" i="104"/>
  <c r="C77" i="104" s="1"/>
  <c r="I76" i="104"/>
  <c r="D76" i="104"/>
  <c r="C76" i="104" s="1"/>
  <c r="I75" i="104"/>
  <c r="C75" i="104" s="1"/>
  <c r="D75" i="104"/>
  <c r="I74" i="104"/>
  <c r="D74" i="104"/>
  <c r="I73" i="104"/>
  <c r="C73" i="104" s="1"/>
  <c r="D73" i="104"/>
  <c r="I72" i="104"/>
  <c r="D72" i="104"/>
  <c r="I71" i="104"/>
  <c r="D71" i="104"/>
  <c r="I70" i="104"/>
  <c r="D70" i="104"/>
  <c r="I69" i="104"/>
  <c r="D69" i="104"/>
  <c r="C69" i="104"/>
  <c r="I68" i="104"/>
  <c r="D68" i="104"/>
  <c r="C68" i="104" s="1"/>
  <c r="I67" i="104"/>
  <c r="C67" i="104" s="1"/>
  <c r="D67" i="104"/>
  <c r="I66" i="104"/>
  <c r="D66" i="104"/>
  <c r="I65" i="104"/>
  <c r="C65" i="104" s="1"/>
  <c r="D65" i="104"/>
  <c r="I64" i="104"/>
  <c r="D64" i="104"/>
  <c r="I63" i="104"/>
  <c r="D63" i="104"/>
  <c r="I62" i="104"/>
  <c r="D62" i="104"/>
  <c r="I61" i="104"/>
  <c r="D61" i="104"/>
  <c r="C61" i="104" s="1"/>
  <c r="I60" i="104"/>
  <c r="D60" i="104"/>
  <c r="C60" i="104" s="1"/>
  <c r="I59" i="104"/>
  <c r="C59" i="104" s="1"/>
  <c r="D59" i="104"/>
  <c r="I58" i="104"/>
  <c r="D58" i="104"/>
  <c r="I57" i="104"/>
  <c r="C57" i="104" s="1"/>
  <c r="D57" i="104"/>
  <c r="I56" i="104"/>
  <c r="D56" i="104"/>
  <c r="I55" i="104"/>
  <c r="D55" i="104"/>
  <c r="I54" i="104"/>
  <c r="D54" i="104"/>
  <c r="I53" i="104"/>
  <c r="D53" i="104"/>
  <c r="C53" i="104"/>
  <c r="I52" i="104"/>
  <c r="D52" i="104"/>
  <c r="C52" i="104" s="1"/>
  <c r="I51" i="104"/>
  <c r="C51" i="104" s="1"/>
  <c r="D51" i="104"/>
  <c r="I50" i="104"/>
  <c r="D50" i="104"/>
  <c r="I49" i="104"/>
  <c r="C49" i="104" s="1"/>
  <c r="D49" i="104"/>
  <c r="I48" i="104"/>
  <c r="D48" i="104"/>
  <c r="I47" i="104"/>
  <c r="D47" i="104"/>
  <c r="I46" i="104"/>
  <c r="D46" i="104"/>
  <c r="I45" i="104"/>
  <c r="D45" i="104"/>
  <c r="C45" i="104" s="1"/>
  <c r="I44" i="104"/>
  <c r="D44" i="104"/>
  <c r="C44" i="104" s="1"/>
  <c r="I43" i="104"/>
  <c r="C43" i="104" s="1"/>
  <c r="D43" i="104"/>
  <c r="I42" i="104"/>
  <c r="D42" i="104"/>
  <c r="I41" i="104"/>
  <c r="C41" i="104" s="1"/>
  <c r="D41" i="104"/>
  <c r="I40" i="104"/>
  <c r="D40" i="104"/>
  <c r="I39" i="104"/>
  <c r="D39" i="104"/>
  <c r="I38" i="104"/>
  <c r="D38" i="104"/>
  <c r="I37" i="104"/>
  <c r="D37" i="104"/>
  <c r="C37" i="104"/>
  <c r="I36" i="104"/>
  <c r="D36" i="104"/>
  <c r="C36" i="104" s="1"/>
  <c r="I35" i="104"/>
  <c r="C35" i="104" s="1"/>
  <c r="D35" i="104"/>
  <c r="I34" i="104"/>
  <c r="D34" i="104"/>
  <c r="I33" i="104"/>
  <c r="C33" i="104" s="1"/>
  <c r="D33" i="104"/>
  <c r="I32" i="104"/>
  <c r="D32" i="104"/>
  <c r="I31" i="104"/>
  <c r="D31" i="104"/>
  <c r="I30" i="104"/>
  <c r="D30" i="104"/>
  <c r="I29" i="104"/>
  <c r="D29" i="104"/>
  <c r="C29" i="104" s="1"/>
  <c r="I28" i="104"/>
  <c r="D28" i="104"/>
  <c r="C28" i="104" s="1"/>
  <c r="I27" i="104"/>
  <c r="C27" i="104" s="1"/>
  <c r="D27" i="104"/>
  <c r="I26" i="104"/>
  <c r="D26" i="104"/>
  <c r="I25" i="104"/>
  <c r="C25" i="104" s="1"/>
  <c r="D25" i="104"/>
  <c r="I24" i="104"/>
  <c r="D24" i="104"/>
  <c r="I23" i="104"/>
  <c r="D23" i="104"/>
  <c r="I22" i="104"/>
  <c r="D22" i="104"/>
  <c r="I21" i="104"/>
  <c r="D21" i="104"/>
  <c r="C21" i="104"/>
  <c r="I20" i="104"/>
  <c r="D20" i="104"/>
  <c r="C20" i="104" s="1"/>
  <c r="I19" i="104"/>
  <c r="C19" i="104" s="1"/>
  <c r="D19" i="104"/>
  <c r="I18" i="104"/>
  <c r="D18" i="104"/>
  <c r="I17" i="104"/>
  <c r="C17" i="104" s="1"/>
  <c r="D17" i="104"/>
  <c r="I16" i="104"/>
  <c r="D16" i="104"/>
  <c r="I15" i="104"/>
  <c r="D15" i="104"/>
  <c r="I14" i="104"/>
  <c r="D14" i="104"/>
  <c r="I13" i="104"/>
  <c r="D13" i="104"/>
  <c r="C13" i="104" s="1"/>
  <c r="I12" i="104"/>
  <c r="D12" i="104"/>
  <c r="C12" i="104" s="1"/>
  <c r="I11" i="104"/>
  <c r="C11" i="104" s="1"/>
  <c r="D11" i="104"/>
  <c r="I10" i="104"/>
  <c r="D10" i="104"/>
  <c r="C16" i="104" l="1"/>
  <c r="C18" i="104"/>
  <c r="C32" i="104"/>
  <c r="C34" i="104"/>
  <c r="C48" i="104"/>
  <c r="C50" i="104"/>
  <c r="C64" i="104"/>
  <c r="C66" i="104"/>
  <c r="C80" i="104"/>
  <c r="C82" i="104"/>
  <c r="C96" i="104"/>
  <c r="C98" i="104"/>
  <c r="C112" i="104"/>
  <c r="C114" i="104"/>
  <c r="C128" i="104"/>
  <c r="C130" i="104"/>
  <c r="M141" i="104"/>
  <c r="C10" i="104"/>
  <c r="C24" i="104"/>
  <c r="C26" i="104"/>
  <c r="C40" i="104"/>
  <c r="C42" i="104"/>
  <c r="C56" i="104"/>
  <c r="C58" i="104"/>
  <c r="C72" i="104"/>
  <c r="C74" i="104"/>
  <c r="C88" i="104"/>
  <c r="C90" i="104"/>
  <c r="C104" i="104"/>
  <c r="C106" i="104"/>
  <c r="C120" i="104"/>
  <c r="C122" i="104"/>
  <c r="I141" i="104"/>
  <c r="C15" i="104"/>
  <c r="C23" i="104"/>
  <c r="C31" i="104"/>
  <c r="C39" i="104"/>
  <c r="C47" i="104"/>
  <c r="C55" i="104"/>
  <c r="C63" i="104"/>
  <c r="C71" i="104"/>
  <c r="C79" i="104"/>
  <c r="C87" i="104"/>
  <c r="C95" i="104"/>
  <c r="C103" i="104"/>
  <c r="C111" i="104"/>
  <c r="C119" i="104"/>
  <c r="C127" i="104"/>
  <c r="C135" i="104"/>
  <c r="C14" i="104"/>
  <c r="C22" i="104"/>
  <c r="C30" i="104"/>
  <c r="C38" i="104"/>
  <c r="C46" i="104"/>
  <c r="C54" i="104"/>
  <c r="C62" i="104"/>
  <c r="C70" i="104"/>
  <c r="C78" i="104"/>
  <c r="C86" i="104"/>
  <c r="C94" i="104"/>
  <c r="C102" i="104"/>
  <c r="C110" i="104"/>
  <c r="C118" i="104"/>
  <c r="C126" i="104"/>
  <c r="C134" i="104"/>
  <c r="D141" i="104"/>
  <c r="L141" i="104"/>
  <c r="E7" i="101"/>
  <c r="F7" i="101" s="1"/>
  <c r="C7" i="101"/>
  <c r="D7" i="101" s="1"/>
  <c r="F6" i="101"/>
  <c r="C6" i="101"/>
  <c r="G6" i="101" s="1"/>
  <c r="C141" i="104" l="1"/>
  <c r="H7" i="101"/>
  <c r="C5" i="101"/>
  <c r="C8" i="101" s="1"/>
  <c r="F5" i="101"/>
  <c r="F8" i="101" s="1"/>
  <c r="E5" i="101"/>
  <c r="E8" i="101" s="1"/>
  <c r="D6" i="101"/>
  <c r="G7" i="101"/>
  <c r="G5" i="101" s="1"/>
  <c r="G8" i="101" s="1"/>
  <c r="H6" i="101" l="1"/>
  <c r="H5" i="101" s="1"/>
  <c r="H8" i="101" s="1"/>
  <c r="D5" i="101"/>
  <c r="D8" i="101" s="1"/>
  <c r="G148" i="100" l="1"/>
  <c r="E148" i="100"/>
  <c r="C148" i="100"/>
  <c r="E147" i="100"/>
  <c r="C147" i="100" s="1"/>
  <c r="F146" i="100"/>
  <c r="E146" i="100"/>
  <c r="C146" i="100"/>
  <c r="G145" i="100"/>
  <c r="E145" i="100"/>
  <c r="C145" i="100"/>
  <c r="M144" i="100"/>
  <c r="C144" i="100"/>
  <c r="M143" i="100"/>
  <c r="C143" i="100" s="1"/>
  <c r="H142" i="100"/>
  <c r="E142" i="100"/>
  <c r="D142" i="100"/>
  <c r="C142" i="100" s="1"/>
  <c r="L141" i="100"/>
  <c r="K141" i="100"/>
  <c r="J141" i="100"/>
  <c r="I141" i="100"/>
  <c r="H141" i="100"/>
  <c r="G141" i="100"/>
  <c r="F141" i="100"/>
  <c r="E141" i="100"/>
  <c r="M140" i="100"/>
  <c r="C140" i="100"/>
  <c r="M139" i="100"/>
  <c r="C139" i="100" s="1"/>
  <c r="H138" i="100"/>
  <c r="E138" i="100"/>
  <c r="E137" i="100" s="1"/>
  <c r="D138" i="100"/>
  <c r="C138" i="100" s="1"/>
  <c r="L137" i="100"/>
  <c r="L149" i="100" s="1"/>
  <c r="K137" i="100"/>
  <c r="J137" i="100"/>
  <c r="J149" i="100" s="1"/>
  <c r="I137" i="100"/>
  <c r="H137" i="100"/>
  <c r="G137" i="100"/>
  <c r="F137" i="100"/>
  <c r="C136" i="100"/>
  <c r="C135" i="100"/>
  <c r="C134" i="100"/>
  <c r="C133" i="100"/>
  <c r="G132" i="100"/>
  <c r="E132" i="100"/>
  <c r="C132" i="100" s="1"/>
  <c r="C131" i="100"/>
  <c r="C130" i="100"/>
  <c r="C129" i="100"/>
  <c r="C128" i="100"/>
  <c r="H127" i="100"/>
  <c r="E127" i="100"/>
  <c r="C127" i="100"/>
  <c r="H126" i="100"/>
  <c r="C126" i="100"/>
  <c r="C125" i="100"/>
  <c r="C124" i="100"/>
  <c r="A124" i="100"/>
  <c r="A125" i="100" s="1"/>
  <c r="A126" i="100" s="1"/>
  <c r="A127" i="100" s="1"/>
  <c r="A128" i="100" s="1"/>
  <c r="A129" i="100" s="1"/>
  <c r="A130" i="100" s="1"/>
  <c r="A131" i="100" s="1"/>
  <c r="A132" i="100" s="1"/>
  <c r="A133" i="100" s="1"/>
  <c r="A134" i="100" s="1"/>
  <c r="A135" i="100" s="1"/>
  <c r="A136" i="100" s="1"/>
  <c r="A137" i="100" s="1"/>
  <c r="C123" i="100"/>
  <c r="C122" i="100"/>
  <c r="C121" i="100"/>
  <c r="C120" i="100"/>
  <c r="E119" i="100"/>
  <c r="C119" i="100" s="1"/>
  <c r="E118" i="100"/>
  <c r="C118" i="100" s="1"/>
  <c r="C117" i="100"/>
  <c r="C116" i="100"/>
  <c r="C115" i="100"/>
  <c r="C114" i="100"/>
  <c r="C113" i="100"/>
  <c r="C112" i="100"/>
  <c r="C111" i="100"/>
  <c r="C110" i="100"/>
  <c r="C109" i="100"/>
  <c r="C108" i="100"/>
  <c r="C107" i="100"/>
  <c r="C106" i="100"/>
  <c r="C105" i="100"/>
  <c r="C104" i="100"/>
  <c r="C103" i="100"/>
  <c r="H102" i="100"/>
  <c r="E102" i="100"/>
  <c r="C102" i="100" s="1"/>
  <c r="C101" i="100"/>
  <c r="C100" i="100"/>
  <c r="C99" i="100"/>
  <c r="C98" i="100"/>
  <c r="C97" i="100"/>
  <c r="C96" i="100"/>
  <c r="C95" i="100"/>
  <c r="C94" i="100"/>
  <c r="C93" i="100"/>
  <c r="E92" i="100"/>
  <c r="C92" i="100"/>
  <c r="G91" i="100"/>
  <c r="E91" i="100"/>
  <c r="C91" i="100" s="1"/>
  <c r="E90" i="100"/>
  <c r="C90" i="100"/>
  <c r="E89" i="100"/>
  <c r="C89" i="100" s="1"/>
  <c r="E88" i="100"/>
  <c r="C88" i="100" s="1"/>
  <c r="E87" i="100"/>
  <c r="C87" i="100" s="1"/>
  <c r="H86" i="100"/>
  <c r="G86" i="100"/>
  <c r="E86" i="100"/>
  <c r="C86" i="100" s="1"/>
  <c r="E85" i="100"/>
  <c r="C85" i="100" s="1"/>
  <c r="C84" i="100"/>
  <c r="L83" i="100"/>
  <c r="E83" i="100"/>
  <c r="C83" i="100" s="1"/>
  <c r="E82" i="100"/>
  <c r="C82" i="100" s="1"/>
  <c r="E81" i="100"/>
  <c r="C81" i="100"/>
  <c r="E80" i="100"/>
  <c r="C80" i="100" s="1"/>
  <c r="G79" i="100"/>
  <c r="E79" i="100"/>
  <c r="C79" i="100"/>
  <c r="C78" i="100"/>
  <c r="F77" i="100"/>
  <c r="E77" i="100"/>
  <c r="C77" i="100"/>
  <c r="C76" i="100"/>
  <c r="K75" i="100"/>
  <c r="C75" i="100"/>
  <c r="C74" i="100"/>
  <c r="C73" i="100"/>
  <c r="C72" i="100"/>
  <c r="C71" i="100"/>
  <c r="C70" i="100"/>
  <c r="K69" i="100"/>
  <c r="C69" i="100"/>
  <c r="K68" i="100"/>
  <c r="C68" i="100"/>
  <c r="C67" i="100"/>
  <c r="C66" i="100"/>
  <c r="C65" i="100"/>
  <c r="C64" i="100"/>
  <c r="K63" i="100"/>
  <c r="C63" i="100"/>
  <c r="C62" i="100"/>
  <c r="C61" i="100"/>
  <c r="C60" i="100"/>
  <c r="C59" i="100"/>
  <c r="C58" i="100"/>
  <c r="C57" i="100"/>
  <c r="K56" i="100"/>
  <c r="H56" i="100"/>
  <c r="E56" i="100"/>
  <c r="C56" i="100"/>
  <c r="K55" i="100"/>
  <c r="C55" i="100"/>
  <c r="C54" i="100"/>
  <c r="C53" i="100"/>
  <c r="K52" i="100"/>
  <c r="C52" i="100"/>
  <c r="C51" i="100"/>
  <c r="C50" i="100"/>
  <c r="C49" i="100"/>
  <c r="C48" i="100"/>
  <c r="C47" i="100"/>
  <c r="C46" i="100"/>
  <c r="C45" i="100"/>
  <c r="C44" i="100"/>
  <c r="C43" i="100"/>
  <c r="C42" i="100"/>
  <c r="C41" i="100"/>
  <c r="C40" i="100"/>
  <c r="K39" i="100"/>
  <c r="C39" i="100"/>
  <c r="E38" i="100"/>
  <c r="C38" i="100"/>
  <c r="H37" i="100"/>
  <c r="E37" i="100"/>
  <c r="C37" i="100" s="1"/>
  <c r="F36" i="100"/>
  <c r="E36" i="100"/>
  <c r="C36" i="100" s="1"/>
  <c r="F35" i="100"/>
  <c r="E35" i="100"/>
  <c r="C35" i="100"/>
  <c r="E34" i="100"/>
  <c r="C34" i="100" s="1"/>
  <c r="E33" i="100"/>
  <c r="C33" i="100" s="1"/>
  <c r="C32" i="100"/>
  <c r="K31" i="100"/>
  <c r="C31" i="100"/>
  <c r="H30" i="100"/>
  <c r="E30" i="100"/>
  <c r="C30" i="100" s="1"/>
  <c r="H29" i="100"/>
  <c r="E29" i="100"/>
  <c r="C29" i="100" s="1"/>
  <c r="C28" i="100"/>
  <c r="C27" i="100"/>
  <c r="C26" i="100"/>
  <c r="C25" i="100"/>
  <c r="C24" i="100"/>
  <c r="C23" i="100"/>
  <c r="C22" i="100"/>
  <c r="H21" i="100"/>
  <c r="E21" i="100"/>
  <c r="C21" i="100" s="1"/>
  <c r="C20" i="100"/>
  <c r="H19" i="100"/>
  <c r="E19" i="100"/>
  <c r="C19" i="100" s="1"/>
  <c r="C18" i="100"/>
  <c r="H17" i="100"/>
  <c r="E17" i="100"/>
  <c r="C17" i="100" s="1"/>
  <c r="C16" i="100"/>
  <c r="C15" i="100"/>
  <c r="C14" i="100"/>
  <c r="C13" i="100"/>
  <c r="C12" i="100"/>
  <c r="C11" i="100"/>
  <c r="C10" i="100"/>
  <c r="C9" i="100"/>
  <c r="C8" i="100"/>
  <c r="C7" i="100"/>
  <c r="I149" i="100" l="1"/>
  <c r="H149" i="100"/>
  <c r="F149" i="100"/>
  <c r="E149" i="100"/>
  <c r="G149" i="100"/>
  <c r="K149" i="100"/>
  <c r="D141" i="100"/>
  <c r="C141" i="100"/>
  <c r="C137" i="100"/>
  <c r="D137" i="100"/>
  <c r="D149" i="100" s="1"/>
  <c r="M141" i="100"/>
  <c r="M137" i="100"/>
  <c r="M149" i="100" s="1"/>
  <c r="C149" i="100" l="1"/>
  <c r="AA80" i="99"/>
  <c r="AC80" i="99" s="1"/>
  <c r="Z79" i="99"/>
  <c r="AB78" i="99"/>
  <c r="Y78" i="99"/>
  <c r="X78" i="99"/>
  <c r="W78" i="99"/>
  <c r="V78" i="99"/>
  <c r="U78" i="99"/>
  <c r="T78" i="99"/>
  <c r="S78" i="99"/>
  <c r="R78" i="99"/>
  <c r="Q78" i="99"/>
  <c r="P78" i="99"/>
  <c r="O78" i="99"/>
  <c r="N78" i="99"/>
  <c r="M78" i="99"/>
  <c r="L78" i="99"/>
  <c r="K78" i="99"/>
  <c r="J78" i="99"/>
  <c r="I78" i="99"/>
  <c r="H78" i="99"/>
  <c r="G78" i="99"/>
  <c r="F78" i="99"/>
  <c r="E78" i="99"/>
  <c r="D78" i="99"/>
  <c r="C78" i="99"/>
  <c r="AA77" i="99"/>
  <c r="AA76" i="99" s="1"/>
  <c r="AB76" i="99"/>
  <c r="Z76" i="99"/>
  <c r="Y76" i="99"/>
  <c r="X76" i="99"/>
  <c r="W76" i="99"/>
  <c r="V76" i="99"/>
  <c r="U76" i="99"/>
  <c r="T76" i="99"/>
  <c r="S76" i="99"/>
  <c r="R76" i="99"/>
  <c r="Q76" i="99"/>
  <c r="P76" i="99"/>
  <c r="O76" i="99"/>
  <c r="N76" i="99"/>
  <c r="M76" i="99"/>
  <c r="L76" i="99"/>
  <c r="K76" i="99"/>
  <c r="J76" i="99"/>
  <c r="I76" i="99"/>
  <c r="H76" i="99"/>
  <c r="G76" i="99"/>
  <c r="F76" i="99"/>
  <c r="E76" i="99"/>
  <c r="D76" i="99"/>
  <c r="C76" i="99"/>
  <c r="AA75" i="99"/>
  <c r="AC75" i="99" s="1"/>
  <c r="Z74" i="99"/>
  <c r="AB73" i="99"/>
  <c r="Y73" i="99"/>
  <c r="X73" i="99"/>
  <c r="W73" i="99"/>
  <c r="V73" i="99"/>
  <c r="U73" i="99"/>
  <c r="T73" i="99"/>
  <c r="S73" i="99"/>
  <c r="R73" i="99"/>
  <c r="Q73" i="99"/>
  <c r="P73" i="99"/>
  <c r="O73" i="99"/>
  <c r="N73" i="99"/>
  <c r="M73" i="99"/>
  <c r="L73" i="99"/>
  <c r="K73" i="99"/>
  <c r="J73" i="99"/>
  <c r="I73" i="99"/>
  <c r="H73" i="99"/>
  <c r="G73" i="99"/>
  <c r="F73" i="99"/>
  <c r="E73" i="99"/>
  <c r="D73" i="99"/>
  <c r="C73" i="99"/>
  <c r="AA72" i="99"/>
  <c r="AC72" i="99" s="1"/>
  <c r="AA71" i="99"/>
  <c r="AC71" i="99" s="1"/>
  <c r="W70" i="99"/>
  <c r="W66" i="99" s="1"/>
  <c r="S70" i="99"/>
  <c r="S69" i="99"/>
  <c r="P69" i="99"/>
  <c r="F69" i="99"/>
  <c r="S68" i="99"/>
  <c r="AA68" i="99" s="1"/>
  <c r="AC68" i="99" s="1"/>
  <c r="S67" i="99"/>
  <c r="AB66" i="99"/>
  <c r="Z66" i="99"/>
  <c r="Y66" i="99"/>
  <c r="X66" i="99"/>
  <c r="V66" i="99"/>
  <c r="U66" i="99"/>
  <c r="T66" i="99"/>
  <c r="R66" i="99"/>
  <c r="Q66" i="99"/>
  <c r="O66" i="99"/>
  <c r="N66" i="99"/>
  <c r="M66" i="99"/>
  <c r="L66" i="99"/>
  <c r="K66" i="99"/>
  <c r="J66" i="99"/>
  <c r="I66" i="99"/>
  <c r="H66" i="99"/>
  <c r="G66" i="99"/>
  <c r="E66" i="99"/>
  <c r="D66" i="99"/>
  <c r="C66" i="99"/>
  <c r="AA65" i="99"/>
  <c r="AC65" i="99" s="1"/>
  <c r="AA64" i="99"/>
  <c r="AB63" i="99"/>
  <c r="Z63" i="99"/>
  <c r="Y63" i="99"/>
  <c r="X63" i="99"/>
  <c r="W63" i="99"/>
  <c r="V63" i="99"/>
  <c r="U63" i="99"/>
  <c r="T63" i="99"/>
  <c r="S63" i="99"/>
  <c r="R63" i="99"/>
  <c r="Q63" i="99"/>
  <c r="P63" i="99"/>
  <c r="O63" i="99"/>
  <c r="N63" i="99"/>
  <c r="M63" i="99"/>
  <c r="L63" i="99"/>
  <c r="K63" i="99"/>
  <c r="J63" i="99"/>
  <c r="I63" i="99"/>
  <c r="H63" i="99"/>
  <c r="G63" i="99"/>
  <c r="F63" i="99"/>
  <c r="E63" i="99"/>
  <c r="D63" i="99"/>
  <c r="C63" i="99"/>
  <c r="Z62" i="99"/>
  <c r="E61" i="99"/>
  <c r="AA60" i="99"/>
  <c r="AC60" i="99" s="1"/>
  <c r="S59" i="99"/>
  <c r="E59" i="99"/>
  <c r="J58" i="99"/>
  <c r="E58" i="99"/>
  <c r="Z57" i="99"/>
  <c r="X57" i="99"/>
  <c r="U57" i="99"/>
  <c r="S57" i="99"/>
  <c r="Q57" i="99"/>
  <c r="J57" i="99"/>
  <c r="E57" i="99"/>
  <c r="X56" i="99"/>
  <c r="W56" i="99"/>
  <c r="U56" i="99"/>
  <c r="S56" i="99"/>
  <c r="E56" i="99"/>
  <c r="X55" i="99"/>
  <c r="W55" i="99"/>
  <c r="U55" i="99"/>
  <c r="S55" i="99"/>
  <c r="J55" i="99"/>
  <c r="E55" i="99"/>
  <c r="X54" i="99"/>
  <c r="W54" i="99"/>
  <c r="U54" i="99"/>
  <c r="S54" i="99"/>
  <c r="E54" i="99"/>
  <c r="X53" i="99"/>
  <c r="W53" i="99"/>
  <c r="U53" i="99"/>
  <c r="S53" i="99"/>
  <c r="E53" i="99"/>
  <c r="Z52" i="99"/>
  <c r="X52" i="99"/>
  <c r="W52" i="99"/>
  <c r="U52" i="99"/>
  <c r="S52" i="99"/>
  <c r="E52" i="99"/>
  <c r="AB51" i="99"/>
  <c r="Y51" i="99"/>
  <c r="V51" i="99"/>
  <c r="T51" i="99"/>
  <c r="R51" i="99"/>
  <c r="P51" i="99"/>
  <c r="O51" i="99"/>
  <c r="N51" i="99"/>
  <c r="M51" i="99"/>
  <c r="L51" i="99"/>
  <c r="K51" i="99"/>
  <c r="I51" i="99"/>
  <c r="H51" i="99"/>
  <c r="G51" i="99"/>
  <c r="F51" i="99"/>
  <c r="D51" i="99"/>
  <c r="C51" i="99"/>
  <c r="Z50" i="99"/>
  <c r="O50" i="99"/>
  <c r="C50" i="99"/>
  <c r="AB49" i="99"/>
  <c r="Y49" i="99"/>
  <c r="X49" i="99"/>
  <c r="W49" i="99"/>
  <c r="V49" i="99"/>
  <c r="U49" i="99"/>
  <c r="T49" i="99"/>
  <c r="S49" i="99"/>
  <c r="R49" i="99"/>
  <c r="Q49" i="99"/>
  <c r="P49" i="99"/>
  <c r="N49" i="99"/>
  <c r="M49" i="99"/>
  <c r="L49" i="99"/>
  <c r="K49" i="99"/>
  <c r="J49" i="99"/>
  <c r="I49" i="99"/>
  <c r="H49" i="99"/>
  <c r="G49" i="99"/>
  <c r="F49" i="99"/>
  <c r="E49" i="99"/>
  <c r="D49" i="99"/>
  <c r="AA48" i="99"/>
  <c r="AC48" i="99" s="1"/>
  <c r="AA47" i="99"/>
  <c r="AC47" i="99" s="1"/>
  <c r="F46" i="99"/>
  <c r="AB45" i="99"/>
  <c r="Z45" i="99"/>
  <c r="Y45" i="99"/>
  <c r="X45" i="99"/>
  <c r="W45" i="99"/>
  <c r="V45" i="99"/>
  <c r="U45" i="99"/>
  <c r="T45" i="99"/>
  <c r="S45" i="99"/>
  <c r="R45" i="99"/>
  <c r="Q45" i="99"/>
  <c r="P45" i="99"/>
  <c r="O45" i="99"/>
  <c r="N45" i="99"/>
  <c r="M45" i="99"/>
  <c r="L45" i="99"/>
  <c r="K45" i="99"/>
  <c r="J45" i="99"/>
  <c r="I45" i="99"/>
  <c r="H45" i="99"/>
  <c r="G45" i="99"/>
  <c r="E45" i="99"/>
  <c r="D45" i="99"/>
  <c r="C45" i="99"/>
  <c r="AA44" i="99"/>
  <c r="AA43" i="99"/>
  <c r="AC43" i="99" s="1"/>
  <c r="AB42" i="99"/>
  <c r="Z42" i="99"/>
  <c r="Y42" i="99"/>
  <c r="X42" i="99"/>
  <c r="W42" i="99"/>
  <c r="V42" i="99"/>
  <c r="U42" i="99"/>
  <c r="T42" i="99"/>
  <c r="S42" i="99"/>
  <c r="R42" i="99"/>
  <c r="Q42" i="99"/>
  <c r="P42" i="99"/>
  <c r="O42" i="99"/>
  <c r="N42" i="99"/>
  <c r="M42" i="99"/>
  <c r="L42" i="99"/>
  <c r="K42" i="99"/>
  <c r="J42" i="99"/>
  <c r="I42" i="99"/>
  <c r="H42" i="99"/>
  <c r="G42" i="99"/>
  <c r="F42" i="99"/>
  <c r="E42" i="99"/>
  <c r="D42" i="99"/>
  <c r="C42" i="99"/>
  <c r="AA41" i="99"/>
  <c r="AC41" i="99" s="1"/>
  <c r="AA40" i="99"/>
  <c r="AC40" i="99" s="1"/>
  <c r="AB39" i="99"/>
  <c r="Z39" i="99"/>
  <c r="Y39" i="99"/>
  <c r="X39" i="99"/>
  <c r="W39" i="99"/>
  <c r="V39" i="99"/>
  <c r="U39" i="99"/>
  <c r="T39" i="99"/>
  <c r="S39" i="99"/>
  <c r="R39" i="99"/>
  <c r="Q39" i="99"/>
  <c r="P39" i="99"/>
  <c r="O39" i="99"/>
  <c r="N39" i="99"/>
  <c r="M39" i="99"/>
  <c r="L39" i="99"/>
  <c r="K39" i="99"/>
  <c r="J39" i="99"/>
  <c r="I39" i="99"/>
  <c r="H39" i="99"/>
  <c r="G39" i="99"/>
  <c r="F39" i="99"/>
  <c r="E39" i="99"/>
  <c r="D39" i="99"/>
  <c r="C39" i="99"/>
  <c r="AA38" i="99"/>
  <c r="AC38" i="99" s="1"/>
  <c r="AA37" i="99"/>
  <c r="AC37" i="99" s="1"/>
  <c r="AA36" i="99"/>
  <c r="AC36" i="99" s="1"/>
  <c r="Z35" i="99"/>
  <c r="AA34" i="99"/>
  <c r="AC34" i="99" s="1"/>
  <c r="W33" i="99"/>
  <c r="W32" i="99" s="1"/>
  <c r="C33" i="99"/>
  <c r="C32" i="99" s="1"/>
  <c r="AB32" i="99"/>
  <c r="Y32" i="99"/>
  <c r="X32" i="99"/>
  <c r="V32" i="99"/>
  <c r="U32" i="99"/>
  <c r="T32" i="99"/>
  <c r="S32" i="99"/>
  <c r="R32" i="99"/>
  <c r="Q32" i="99"/>
  <c r="P32" i="99"/>
  <c r="O32" i="99"/>
  <c r="N32" i="99"/>
  <c r="M32" i="99"/>
  <c r="L32" i="99"/>
  <c r="K32" i="99"/>
  <c r="J32" i="99"/>
  <c r="I32" i="99"/>
  <c r="H32" i="99"/>
  <c r="G32" i="99"/>
  <c r="F32" i="99"/>
  <c r="E32" i="99"/>
  <c r="D32" i="99"/>
  <c r="Z31" i="99"/>
  <c r="G31" i="99"/>
  <c r="C31" i="99"/>
  <c r="Z30" i="99"/>
  <c r="P30" i="99"/>
  <c r="G30" i="99"/>
  <c r="C30" i="99"/>
  <c r="AB29" i="99"/>
  <c r="Y29" i="99"/>
  <c r="X29" i="99"/>
  <c r="W29" i="99"/>
  <c r="V29" i="99"/>
  <c r="U29" i="99"/>
  <c r="T29" i="99"/>
  <c r="S29" i="99"/>
  <c r="R29" i="99"/>
  <c r="Q29" i="99"/>
  <c r="O29" i="99"/>
  <c r="N29" i="99"/>
  <c r="M29" i="99"/>
  <c r="L29" i="99"/>
  <c r="K29" i="99"/>
  <c r="J29" i="99"/>
  <c r="I29" i="99"/>
  <c r="H29" i="99"/>
  <c r="F29" i="99"/>
  <c r="E29" i="99"/>
  <c r="D29" i="99"/>
  <c r="AA28" i="99"/>
  <c r="AC28" i="99" s="1"/>
  <c r="T27" i="99"/>
  <c r="AA27" i="99" s="1"/>
  <c r="AC27" i="99" s="1"/>
  <c r="AA26" i="99"/>
  <c r="AC26" i="99" s="1"/>
  <c r="AA25" i="99"/>
  <c r="AC25" i="99" s="1"/>
  <c r="T24" i="99"/>
  <c r="Z23" i="99"/>
  <c r="AB22" i="99"/>
  <c r="Y22" i="99"/>
  <c r="X22" i="99"/>
  <c r="W22" i="99"/>
  <c r="V22" i="99"/>
  <c r="U22" i="99"/>
  <c r="S22" i="99"/>
  <c r="R22" i="99"/>
  <c r="Q22" i="99"/>
  <c r="P22" i="99"/>
  <c r="O22" i="99"/>
  <c r="N22" i="99"/>
  <c r="M22" i="99"/>
  <c r="L22" i="99"/>
  <c r="K22" i="99"/>
  <c r="J22" i="99"/>
  <c r="I22" i="99"/>
  <c r="H22" i="99"/>
  <c r="G22" i="99"/>
  <c r="F22" i="99"/>
  <c r="E22" i="99"/>
  <c r="D22" i="99"/>
  <c r="C22" i="99"/>
  <c r="AA21" i="99"/>
  <c r="AA20" i="99"/>
  <c r="AC20" i="99" s="1"/>
  <c r="AB19" i="99"/>
  <c r="Z19" i="99"/>
  <c r="Y19" i="99"/>
  <c r="X19" i="99"/>
  <c r="W19" i="99"/>
  <c r="V19" i="99"/>
  <c r="U19" i="99"/>
  <c r="T19" i="99"/>
  <c r="S19" i="99"/>
  <c r="R19" i="99"/>
  <c r="Q19" i="99"/>
  <c r="P19" i="99"/>
  <c r="O19" i="99"/>
  <c r="N19" i="99"/>
  <c r="M19" i="99"/>
  <c r="L19" i="99"/>
  <c r="K19" i="99"/>
  <c r="J19" i="99"/>
  <c r="I19" i="99"/>
  <c r="H19" i="99"/>
  <c r="G19" i="99"/>
  <c r="F19" i="99"/>
  <c r="E19" i="99"/>
  <c r="D19" i="99"/>
  <c r="C19" i="99"/>
  <c r="AA18" i="99"/>
  <c r="AB17" i="99"/>
  <c r="Z17" i="99"/>
  <c r="Y17" i="99"/>
  <c r="X17" i="99"/>
  <c r="W17" i="99"/>
  <c r="V17" i="99"/>
  <c r="U17" i="99"/>
  <c r="T17" i="99"/>
  <c r="S17" i="99"/>
  <c r="R17" i="99"/>
  <c r="Q17" i="99"/>
  <c r="P17" i="99"/>
  <c r="O17" i="99"/>
  <c r="N17" i="99"/>
  <c r="M17" i="99"/>
  <c r="L17" i="99"/>
  <c r="K17" i="99"/>
  <c r="J17" i="99"/>
  <c r="I17" i="99"/>
  <c r="H17" i="99"/>
  <c r="G17" i="99"/>
  <c r="F17" i="99"/>
  <c r="E17" i="99"/>
  <c r="D17" i="99"/>
  <c r="C17" i="99"/>
  <c r="F16" i="99"/>
  <c r="AB15" i="99"/>
  <c r="Z15" i="99"/>
  <c r="Y15" i="99"/>
  <c r="X15" i="99"/>
  <c r="W15" i="99"/>
  <c r="V15" i="99"/>
  <c r="U15" i="99"/>
  <c r="T15" i="99"/>
  <c r="S15" i="99"/>
  <c r="R15" i="99"/>
  <c r="Q15" i="99"/>
  <c r="P15" i="99"/>
  <c r="O15" i="99"/>
  <c r="N15" i="99"/>
  <c r="M15" i="99"/>
  <c r="L15" i="99"/>
  <c r="K15" i="99"/>
  <c r="J15" i="99"/>
  <c r="I15" i="99"/>
  <c r="H15" i="99"/>
  <c r="G15" i="99"/>
  <c r="E15" i="99"/>
  <c r="D15" i="99"/>
  <c r="C15" i="99"/>
  <c r="AA14" i="99"/>
  <c r="AC14" i="99" s="1"/>
  <c r="Z13" i="99"/>
  <c r="O13" i="99"/>
  <c r="F13" i="99"/>
  <c r="C13" i="99"/>
  <c r="C12" i="99" s="1"/>
  <c r="AB12" i="99"/>
  <c r="Y12" i="99"/>
  <c r="X12" i="99"/>
  <c r="W12" i="99"/>
  <c r="V12" i="99"/>
  <c r="U12" i="99"/>
  <c r="T12" i="99"/>
  <c r="S12" i="99"/>
  <c r="R12" i="99"/>
  <c r="Q12" i="99"/>
  <c r="P12" i="99"/>
  <c r="N12" i="99"/>
  <c r="M12" i="99"/>
  <c r="L12" i="99"/>
  <c r="K12" i="99"/>
  <c r="J12" i="99"/>
  <c r="I12" i="99"/>
  <c r="H12" i="99"/>
  <c r="G12" i="99"/>
  <c r="E12" i="99"/>
  <c r="D12" i="99"/>
  <c r="Z11" i="99"/>
  <c r="F11" i="99"/>
  <c r="AB10" i="99"/>
  <c r="Y10" i="99"/>
  <c r="X10" i="99"/>
  <c r="W10" i="99"/>
  <c r="V10" i="99"/>
  <c r="U10" i="99"/>
  <c r="T10" i="99"/>
  <c r="S10" i="99"/>
  <c r="R10" i="99"/>
  <c r="Q10" i="99"/>
  <c r="P10" i="99"/>
  <c r="O10" i="99"/>
  <c r="N10" i="99"/>
  <c r="M10" i="99"/>
  <c r="L10" i="99"/>
  <c r="K10" i="99"/>
  <c r="J10" i="99"/>
  <c r="I10" i="99"/>
  <c r="H10" i="99"/>
  <c r="G10" i="99"/>
  <c r="E10" i="99"/>
  <c r="D10" i="99"/>
  <c r="C10" i="99"/>
  <c r="F9" i="99"/>
  <c r="AA8" i="99"/>
  <c r="AC8" i="99" s="1"/>
  <c r="AB7" i="99"/>
  <c r="Z7" i="99"/>
  <c r="Y7" i="99"/>
  <c r="X7" i="99"/>
  <c r="W7" i="99"/>
  <c r="V7" i="99"/>
  <c r="U7" i="99"/>
  <c r="T7" i="99"/>
  <c r="S7" i="99"/>
  <c r="R7" i="99"/>
  <c r="Q7" i="99"/>
  <c r="P7" i="99"/>
  <c r="O7" i="99"/>
  <c r="N7" i="99"/>
  <c r="M7" i="99"/>
  <c r="L7" i="99"/>
  <c r="K7" i="99"/>
  <c r="J7" i="99"/>
  <c r="I7" i="99"/>
  <c r="H7" i="99"/>
  <c r="G7" i="99"/>
  <c r="E7" i="99"/>
  <c r="D7" i="99"/>
  <c r="C7" i="99"/>
  <c r="K6" i="99"/>
  <c r="AA5" i="99"/>
  <c r="AC5" i="99" s="1"/>
  <c r="AB4" i="99"/>
  <c r="Z4" i="99"/>
  <c r="Y4" i="99"/>
  <c r="X4" i="99"/>
  <c r="W4" i="99"/>
  <c r="V4" i="99"/>
  <c r="U4" i="99"/>
  <c r="T4" i="99"/>
  <c r="S4" i="99"/>
  <c r="R4" i="99"/>
  <c r="Q4" i="99"/>
  <c r="P4" i="99"/>
  <c r="O4" i="99"/>
  <c r="N4" i="99"/>
  <c r="M4" i="99"/>
  <c r="L4" i="99"/>
  <c r="J4" i="99"/>
  <c r="I4" i="99"/>
  <c r="H4" i="99"/>
  <c r="G4" i="99"/>
  <c r="F4" i="99"/>
  <c r="E4" i="99"/>
  <c r="D4" i="99"/>
  <c r="C4" i="99"/>
  <c r="O12" i="99" l="1"/>
  <c r="O49" i="99"/>
  <c r="Z10" i="99"/>
  <c r="Z32" i="99"/>
  <c r="Z12" i="99"/>
  <c r="AC39" i="99"/>
  <c r="AA63" i="99"/>
  <c r="F12" i="99"/>
  <c r="P29" i="99"/>
  <c r="AA67" i="99"/>
  <c r="AC67" i="99" s="1"/>
  <c r="N81" i="99"/>
  <c r="AA16" i="99"/>
  <c r="AA15" i="99" s="1"/>
  <c r="F15" i="99"/>
  <c r="AA31" i="99"/>
  <c r="AC31" i="99" s="1"/>
  <c r="F45" i="99"/>
  <c r="AA46" i="99"/>
  <c r="AC46" i="99" s="1"/>
  <c r="AC45" i="99" s="1"/>
  <c r="Z51" i="99"/>
  <c r="AA61" i="99"/>
  <c r="AC61" i="99" s="1"/>
  <c r="K4" i="99"/>
  <c r="K81" i="99" s="1"/>
  <c r="AA9" i="99"/>
  <c r="AA7" i="99" s="1"/>
  <c r="F7" i="99"/>
  <c r="AA39" i="99"/>
  <c r="F66" i="99"/>
  <c r="AA59" i="99"/>
  <c r="AC59" i="99" s="1"/>
  <c r="AA11" i="99"/>
  <c r="AA10" i="99" s="1"/>
  <c r="AA58" i="99"/>
  <c r="AC58" i="99" s="1"/>
  <c r="U51" i="99"/>
  <c r="U81" i="99" s="1"/>
  <c r="AC64" i="99"/>
  <c r="AC63" i="99" s="1"/>
  <c r="Z78" i="99"/>
  <c r="AA79" i="99"/>
  <c r="AA78" i="99" s="1"/>
  <c r="M81" i="99"/>
  <c r="R81" i="99"/>
  <c r="AA57" i="99"/>
  <c r="AC57" i="99" s="1"/>
  <c r="Y81" i="99"/>
  <c r="AA69" i="99"/>
  <c r="AC69" i="99" s="1"/>
  <c r="AC77" i="99"/>
  <c r="AC76" i="99" s="1"/>
  <c r="AC18" i="99"/>
  <c r="AC17" i="99" s="1"/>
  <c r="AA17" i="99"/>
  <c r="AA24" i="99"/>
  <c r="AC24" i="99" s="1"/>
  <c r="W51" i="99"/>
  <c r="W81" i="99" s="1"/>
  <c r="J51" i="99"/>
  <c r="J81" i="99" s="1"/>
  <c r="P66" i="99"/>
  <c r="AA13" i="99"/>
  <c r="AA12" i="99" s="1"/>
  <c r="AA33" i="99"/>
  <c r="AC33" i="99" s="1"/>
  <c r="AA42" i="99"/>
  <c r="Z22" i="99"/>
  <c r="AA23" i="99"/>
  <c r="G29" i="99"/>
  <c r="G81" i="99" s="1"/>
  <c r="Z49" i="99"/>
  <c r="V81" i="99"/>
  <c r="F10" i="99"/>
  <c r="S51" i="99"/>
  <c r="AA62" i="99"/>
  <c r="AC62" i="99" s="1"/>
  <c r="I81" i="99"/>
  <c r="Z29" i="99"/>
  <c r="AA50" i="99"/>
  <c r="E51" i="99"/>
  <c r="E81" i="99" s="1"/>
  <c r="H81" i="99"/>
  <c r="AC21" i="99"/>
  <c r="AC19" i="99" s="1"/>
  <c r="AA19" i="99"/>
  <c r="T22" i="99"/>
  <c r="T81" i="99" s="1"/>
  <c r="C29" i="99"/>
  <c r="AA30" i="99"/>
  <c r="AC44" i="99"/>
  <c r="AC42" i="99" s="1"/>
  <c r="C49" i="99"/>
  <c r="AA52" i="99"/>
  <c r="X51" i="99"/>
  <c r="X81" i="99" s="1"/>
  <c r="AA6" i="99"/>
  <c r="AA53" i="99"/>
  <c r="AC53" i="99" s="1"/>
  <c r="AA54" i="99"/>
  <c r="AC54" i="99" s="1"/>
  <c r="AA74" i="99"/>
  <c r="Z73" i="99"/>
  <c r="D81" i="99"/>
  <c r="L81" i="99"/>
  <c r="AB81" i="99"/>
  <c r="AA35" i="99"/>
  <c r="AC35" i="99" s="1"/>
  <c r="Q51" i="99"/>
  <c r="Q81" i="99" s="1"/>
  <c r="AA55" i="99"/>
  <c r="AC55" i="99" s="1"/>
  <c r="AA56" i="99"/>
  <c r="AC56" i="99" s="1"/>
  <c r="S66" i="99"/>
  <c r="AA70" i="99"/>
  <c r="AC70" i="99" s="1"/>
  <c r="O81" i="99" l="1"/>
  <c r="AA45" i="99"/>
  <c r="AC16" i="99"/>
  <c r="AC15" i="99" s="1"/>
  <c r="AC79" i="99"/>
  <c r="AC78" i="99" s="1"/>
  <c r="AC11" i="99"/>
  <c r="AC10" i="99" s="1"/>
  <c r="S81" i="99"/>
  <c r="AC13" i="99"/>
  <c r="AC12" i="99" s="1"/>
  <c r="P81" i="99"/>
  <c r="AC66" i="99"/>
  <c r="C81" i="99"/>
  <c r="AC9" i="99"/>
  <c r="AC7" i="99" s="1"/>
  <c r="F81" i="99"/>
  <c r="Z81" i="99"/>
  <c r="AC32" i="99"/>
  <c r="AC6" i="99"/>
  <c r="AC4" i="99" s="1"/>
  <c r="AA4" i="99"/>
  <c r="AC74" i="99"/>
  <c r="AC73" i="99" s="1"/>
  <c r="AA73" i="99"/>
  <c r="AA51" i="99"/>
  <c r="AC52" i="99"/>
  <c r="AC51" i="99" s="1"/>
  <c r="AA66" i="99"/>
  <c r="AA29" i="99"/>
  <c r="AC30" i="99"/>
  <c r="AC29" i="99" s="1"/>
  <c r="AA49" i="99"/>
  <c r="AC50" i="99"/>
  <c r="AC49" i="99" s="1"/>
  <c r="AA32" i="99"/>
  <c r="AC23" i="99"/>
  <c r="AC22" i="99" s="1"/>
  <c r="AA22" i="99"/>
  <c r="AA81" i="99" l="1"/>
  <c r="AC81" i="99"/>
  <c r="C130" i="98" l="1"/>
  <c r="F129" i="98"/>
  <c r="C129" i="98" s="1"/>
  <c r="C128" i="98"/>
  <c r="I127" i="98"/>
  <c r="I131" i="98" s="1"/>
  <c r="H127" i="98"/>
  <c r="H131" i="98" s="1"/>
  <c r="F126" i="98"/>
  <c r="C126" i="98" s="1"/>
  <c r="F125" i="98"/>
  <c r="D125" i="98"/>
  <c r="C125" i="98" s="1"/>
  <c r="C124" i="98"/>
  <c r="C122" i="98"/>
  <c r="F121" i="98"/>
  <c r="D121" i="98"/>
  <c r="F120" i="98"/>
  <c r="D120" i="98"/>
  <c r="F118" i="98"/>
  <c r="C118" i="98" s="1"/>
  <c r="F117" i="98"/>
  <c r="D117" i="98"/>
  <c r="F116" i="98"/>
  <c r="D116" i="98"/>
  <c r="C115" i="98"/>
  <c r="C114" i="98"/>
  <c r="F113" i="98"/>
  <c r="D113" i="98"/>
  <c r="F112" i="98"/>
  <c r="C112" i="98" s="1"/>
  <c r="C111" i="98"/>
  <c r="C110" i="98"/>
  <c r="F109" i="98"/>
  <c r="F107" i="98"/>
  <c r="D107" i="98"/>
  <c r="C106" i="98"/>
  <c r="D105" i="98"/>
  <c r="C104" i="98"/>
  <c r="F103" i="98"/>
  <c r="E103" i="98"/>
  <c r="E127" i="98" s="1"/>
  <c r="E131" i="98" s="1"/>
  <c r="D103" i="98"/>
  <c r="F102" i="98"/>
  <c r="C102" i="98" s="1"/>
  <c r="F101" i="98"/>
  <c r="D101" i="98"/>
  <c r="C101" i="98" s="1"/>
  <c r="D100" i="98"/>
  <c r="C100" i="98" s="1"/>
  <c r="F99" i="98"/>
  <c r="C99" i="98" s="1"/>
  <c r="F97" i="98"/>
  <c r="C97" i="98" s="1"/>
  <c r="C96" i="98"/>
  <c r="C95" i="98"/>
  <c r="C94" i="98"/>
  <c r="F93" i="98"/>
  <c r="C93" i="98" s="1"/>
  <c r="F92" i="98"/>
  <c r="C92" i="98" s="1"/>
  <c r="F91" i="98"/>
  <c r="C91" i="98" s="1"/>
  <c r="F90" i="98"/>
  <c r="C90" i="98" s="1"/>
  <c r="C89" i="98"/>
  <c r="C88" i="98"/>
  <c r="C87" i="98"/>
  <c r="C86" i="98"/>
  <c r="C85" i="98"/>
  <c r="F84" i="98"/>
  <c r="C84" i="98" s="1"/>
  <c r="F83" i="98"/>
  <c r="C83" i="98" s="1"/>
  <c r="F82" i="98"/>
  <c r="C82" i="98"/>
  <c r="C80" i="98"/>
  <c r="C79" i="98"/>
  <c r="C78" i="98"/>
  <c r="F77" i="98"/>
  <c r="C77" i="98" s="1"/>
  <c r="F76" i="98"/>
  <c r="C76" i="98" s="1"/>
  <c r="F75" i="98"/>
  <c r="C75" i="98" s="1"/>
  <c r="F74" i="98"/>
  <c r="C74" i="98" s="1"/>
  <c r="F73" i="98"/>
  <c r="C73" i="98" s="1"/>
  <c r="F72" i="98"/>
  <c r="C72" i="98" s="1"/>
  <c r="F71" i="98"/>
  <c r="C71" i="98" s="1"/>
  <c r="F70" i="98"/>
  <c r="C70" i="98" s="1"/>
  <c r="F69" i="98"/>
  <c r="C69" i="98" s="1"/>
  <c r="C68" i="98"/>
  <c r="G67" i="98"/>
  <c r="F67" i="98"/>
  <c r="C67" i="98" s="1"/>
  <c r="G66" i="98"/>
  <c r="F66" i="98"/>
  <c r="C66" i="98" s="1"/>
  <c r="C65" i="98"/>
  <c r="C64" i="98"/>
  <c r="C62" i="98"/>
  <c r="C60" i="98"/>
  <c r="C59" i="98"/>
  <c r="F58" i="98"/>
  <c r="C58" i="98" s="1"/>
  <c r="F57" i="98"/>
  <c r="C57" i="98" s="1"/>
  <c r="C56" i="98"/>
  <c r="C55" i="98"/>
  <c r="F54" i="98"/>
  <c r="C54" i="98" s="1"/>
  <c r="F53" i="98"/>
  <c r="C53" i="98" s="1"/>
  <c r="C52" i="98"/>
  <c r="C51" i="98"/>
  <c r="C50" i="98"/>
  <c r="C49" i="98"/>
  <c r="C48" i="98"/>
  <c r="C47" i="98"/>
  <c r="C46" i="98"/>
  <c r="C45" i="98"/>
  <c r="C44" i="98"/>
  <c r="C43" i="98"/>
  <c r="C42" i="98"/>
  <c r="C41" i="98"/>
  <c r="C40" i="98"/>
  <c r="C39" i="98"/>
  <c r="C38" i="98"/>
  <c r="C37" i="98"/>
  <c r="C36" i="98"/>
  <c r="C35" i="98"/>
  <c r="C34" i="98"/>
  <c r="C33" i="98"/>
  <c r="C32" i="98"/>
  <c r="C31" i="98"/>
  <c r="C30" i="98"/>
  <c r="C29" i="98"/>
  <c r="C28" i="98"/>
  <c r="C27" i="98"/>
  <c r="C26" i="98"/>
  <c r="C25" i="98"/>
  <c r="C24" i="98"/>
  <c r="C23" i="98"/>
  <c r="C22" i="98"/>
  <c r="C21" i="98"/>
  <c r="C20" i="98"/>
  <c r="C19" i="98"/>
  <c r="C18" i="98"/>
  <c r="C17" i="98"/>
  <c r="C16" i="98"/>
  <c r="C15" i="98"/>
  <c r="C14" i="98"/>
  <c r="C13" i="98"/>
  <c r="C12" i="98"/>
  <c r="C11" i="98"/>
  <c r="C10" i="98"/>
  <c r="C9" i="98"/>
  <c r="C8" i="98"/>
  <c r="C103" i="98" l="1"/>
  <c r="C116" i="98"/>
  <c r="G127" i="98"/>
  <c r="G131" i="98" s="1"/>
  <c r="C113" i="98"/>
  <c r="C120" i="98"/>
  <c r="C121" i="98"/>
  <c r="D127" i="98"/>
  <c r="D131" i="98" s="1"/>
  <c r="C107" i="98"/>
  <c r="C105" i="98"/>
  <c r="C117" i="98"/>
  <c r="F127" i="98"/>
  <c r="F131" i="98" s="1"/>
  <c r="C127" i="98" l="1"/>
  <c r="C131" i="98" s="1"/>
  <c r="L30" i="96" l="1"/>
  <c r="J30" i="96"/>
  <c r="P29" i="96"/>
  <c r="Q29" i="96" s="1"/>
  <c r="N29" i="96"/>
  <c r="I29" i="96"/>
  <c r="K29" i="96" s="1"/>
  <c r="Q28" i="96"/>
  <c r="I28" i="96"/>
  <c r="K28" i="96" s="1"/>
  <c r="R28" i="96" s="1"/>
  <c r="P27" i="96"/>
  <c r="O27" i="96"/>
  <c r="Q27" i="96" s="1"/>
  <c r="I27" i="96"/>
  <c r="K27" i="96" s="1"/>
  <c r="R27" i="96" s="1"/>
  <c r="Q26" i="96"/>
  <c r="K26" i="96"/>
  <c r="R26" i="96" s="1"/>
  <c r="I26" i="96"/>
  <c r="Q25" i="96"/>
  <c r="H25" i="96"/>
  <c r="H30" i="96" s="1"/>
  <c r="G25" i="96"/>
  <c r="G30" i="96" s="1"/>
  <c r="F25" i="96"/>
  <c r="F30" i="96" s="1"/>
  <c r="E25" i="96"/>
  <c r="D25" i="96"/>
  <c r="C25" i="96"/>
  <c r="C30" i="96" s="1"/>
  <c r="Q24" i="96"/>
  <c r="I24" i="96"/>
  <c r="K24" i="96" s="1"/>
  <c r="R24" i="96" s="1"/>
  <c r="P23" i="96"/>
  <c r="O23" i="96"/>
  <c r="N23" i="96"/>
  <c r="I23" i="96"/>
  <c r="K23" i="96" s="1"/>
  <c r="Q22" i="96"/>
  <c r="E22" i="96"/>
  <c r="D22" i="96"/>
  <c r="D30" i="96" s="1"/>
  <c r="Q21" i="96"/>
  <c r="M21" i="96"/>
  <c r="K21" i="96"/>
  <c r="I21" i="96"/>
  <c r="Q20" i="96"/>
  <c r="M20" i="96"/>
  <c r="M30" i="96" s="1"/>
  <c r="I20" i="96"/>
  <c r="K20" i="96" s="1"/>
  <c r="P19" i="96"/>
  <c r="Q19" i="96" s="1"/>
  <c r="O19" i="96"/>
  <c r="I19" i="96"/>
  <c r="K19" i="96" s="1"/>
  <c r="P18" i="96"/>
  <c r="O18" i="96"/>
  <c r="Q18" i="96" s="1"/>
  <c r="N18" i="96"/>
  <c r="I18" i="96"/>
  <c r="K18" i="96" s="1"/>
  <c r="P17" i="96"/>
  <c r="O17" i="96"/>
  <c r="N17" i="96"/>
  <c r="I17" i="96"/>
  <c r="K17" i="96" s="1"/>
  <c r="P16" i="96"/>
  <c r="O16" i="96"/>
  <c r="N16" i="96"/>
  <c r="Q16" i="96" s="1"/>
  <c r="I16" i="96"/>
  <c r="K16" i="96" s="1"/>
  <c r="R16" i="96" s="1"/>
  <c r="P15" i="96"/>
  <c r="O15" i="96"/>
  <c r="N15" i="96"/>
  <c r="I15" i="96"/>
  <c r="K15" i="96" s="1"/>
  <c r="P14" i="96"/>
  <c r="O14" i="96"/>
  <c r="Q14" i="96" s="1"/>
  <c r="I14" i="96"/>
  <c r="K14" i="96" s="1"/>
  <c r="Q13" i="96"/>
  <c r="P13" i="96"/>
  <c r="O13" i="96"/>
  <c r="N13" i="96"/>
  <c r="K13" i="96"/>
  <c r="R13" i="96" s="1"/>
  <c r="I13" i="96"/>
  <c r="P12" i="96"/>
  <c r="O12" i="96"/>
  <c r="N12" i="96"/>
  <c r="I12" i="96"/>
  <c r="K12" i="96" s="1"/>
  <c r="P11" i="96"/>
  <c r="O11" i="96"/>
  <c r="N11" i="96"/>
  <c r="I11" i="96"/>
  <c r="K11" i="96" s="1"/>
  <c r="P10" i="96"/>
  <c r="O10" i="96"/>
  <c r="K10" i="96"/>
  <c r="I10" i="96"/>
  <c r="P9" i="96"/>
  <c r="Q9" i="96" s="1"/>
  <c r="O9" i="96"/>
  <c r="I9" i="96"/>
  <c r="K9" i="96" s="1"/>
  <c r="Q8" i="96"/>
  <c r="I8" i="96"/>
  <c r="K8" i="96" s="1"/>
  <c r="R8" i="96" s="1"/>
  <c r="P7" i="96"/>
  <c r="O7" i="96"/>
  <c r="N7" i="96"/>
  <c r="I7" i="96"/>
  <c r="K7" i="96" s="1"/>
  <c r="P6" i="96"/>
  <c r="Q6" i="96" s="1"/>
  <c r="O6" i="96"/>
  <c r="I6" i="96"/>
  <c r="Q10" i="96" l="1"/>
  <c r="Q11" i="96"/>
  <c r="R14" i="96"/>
  <c r="Q23" i="96"/>
  <c r="Q12" i="96"/>
  <c r="R17" i="96"/>
  <c r="R18" i="96"/>
  <c r="R19" i="96"/>
  <c r="R20" i="96"/>
  <c r="R21" i="96"/>
  <c r="E30" i="96"/>
  <c r="R29" i="96"/>
  <c r="O30" i="96"/>
  <c r="Q7" i="96"/>
  <c r="Q30" i="96" s="1"/>
  <c r="Q15" i="96"/>
  <c r="Q17" i="96"/>
  <c r="R11" i="96"/>
  <c r="R12" i="96"/>
  <c r="R9" i="96"/>
  <c r="R10" i="96"/>
  <c r="R15" i="96"/>
  <c r="R23" i="96"/>
  <c r="K6" i="96"/>
  <c r="I22" i="96"/>
  <c r="K22" i="96" s="1"/>
  <c r="R22" i="96" s="1"/>
  <c r="N30" i="96"/>
  <c r="I25" i="96"/>
  <c r="K25" i="96" s="1"/>
  <c r="R25" i="96" s="1"/>
  <c r="P30" i="96"/>
  <c r="R7" i="96" l="1"/>
  <c r="I30" i="96"/>
  <c r="R6" i="96"/>
  <c r="K30" i="96"/>
  <c r="R30" i="96" l="1"/>
  <c r="C49" i="95"/>
  <c r="H48" i="95"/>
  <c r="K48" i="95" s="1"/>
  <c r="G48" i="95"/>
  <c r="K47" i="95"/>
  <c r="G47" i="95"/>
  <c r="L47" i="95" s="1"/>
  <c r="J46" i="95"/>
  <c r="I46" i="95"/>
  <c r="H46" i="95"/>
  <c r="F46" i="95"/>
  <c r="E46" i="95"/>
  <c r="D46" i="95"/>
  <c r="K45" i="95"/>
  <c r="G45" i="95"/>
  <c r="L45" i="95" s="1"/>
  <c r="K44" i="95"/>
  <c r="G44" i="95"/>
  <c r="L44" i="95" s="1"/>
  <c r="K43" i="95"/>
  <c r="G43" i="95"/>
  <c r="K42" i="95"/>
  <c r="F42" i="95"/>
  <c r="D42" i="95"/>
  <c r="K41" i="95"/>
  <c r="D41" i="95"/>
  <c r="G41" i="95" s="1"/>
  <c r="L41" i="95" s="1"/>
  <c r="K40" i="95"/>
  <c r="L40" i="95" s="1"/>
  <c r="G40" i="95"/>
  <c r="K39" i="95"/>
  <c r="D39" i="95"/>
  <c r="G39" i="95" s="1"/>
  <c r="L39" i="95" s="1"/>
  <c r="K38" i="95"/>
  <c r="J38" i="95"/>
  <c r="I38" i="95"/>
  <c r="H38" i="95"/>
  <c r="G38" i="95"/>
  <c r="L38" i="95" s="1"/>
  <c r="E38" i="95"/>
  <c r="D38" i="95"/>
  <c r="K37" i="95"/>
  <c r="D37" i="95"/>
  <c r="G37" i="95" s="1"/>
  <c r="L37" i="95" s="1"/>
  <c r="K36" i="95"/>
  <c r="E36" i="95"/>
  <c r="D36" i="95"/>
  <c r="G36" i="95" s="1"/>
  <c r="L36" i="95" s="1"/>
  <c r="K35" i="95"/>
  <c r="E35" i="95"/>
  <c r="D35" i="95"/>
  <c r="G35" i="95" s="1"/>
  <c r="K34" i="95"/>
  <c r="E34" i="95"/>
  <c r="G34" i="95" s="1"/>
  <c r="L34" i="95" s="1"/>
  <c r="D34" i="95"/>
  <c r="K33" i="95"/>
  <c r="G33" i="95"/>
  <c r="L33" i="95" s="1"/>
  <c r="K32" i="95"/>
  <c r="G32" i="95"/>
  <c r="K31" i="95"/>
  <c r="F31" i="95"/>
  <c r="E31" i="95"/>
  <c r="G31" i="95" s="1"/>
  <c r="L31" i="95" s="1"/>
  <c r="D31" i="95"/>
  <c r="K30" i="95"/>
  <c r="G30" i="95"/>
  <c r="L30" i="95" s="1"/>
  <c r="H29" i="95"/>
  <c r="K29" i="95" s="1"/>
  <c r="E29" i="95"/>
  <c r="D29" i="95"/>
  <c r="G29" i="95" s="1"/>
  <c r="I28" i="95"/>
  <c r="K28" i="95" s="1"/>
  <c r="H28" i="95"/>
  <c r="G28" i="95"/>
  <c r="K27" i="95"/>
  <c r="L27" i="95" s="1"/>
  <c r="G27" i="95"/>
  <c r="K26" i="95"/>
  <c r="G26" i="95"/>
  <c r="J25" i="95"/>
  <c r="J49" i="95" s="1"/>
  <c r="I25" i="95"/>
  <c r="H25" i="95"/>
  <c r="G25" i="95"/>
  <c r="H24" i="95"/>
  <c r="K24" i="95" s="1"/>
  <c r="G24" i="95"/>
  <c r="K23" i="95"/>
  <c r="G23" i="95"/>
  <c r="K22" i="95"/>
  <c r="D22" i="95"/>
  <c r="G22" i="95" s="1"/>
  <c r="K21" i="95"/>
  <c r="D21" i="95"/>
  <c r="G21" i="95" s="1"/>
  <c r="K20" i="95"/>
  <c r="G20" i="95"/>
  <c r="K19" i="95"/>
  <c r="G19" i="95"/>
  <c r="K18" i="95"/>
  <c r="D18" i="95"/>
  <c r="G18" i="95" s="1"/>
  <c r="K17" i="95"/>
  <c r="G17" i="95"/>
  <c r="K16" i="95"/>
  <c r="G16" i="95"/>
  <c r="K15" i="95"/>
  <c r="D15" i="95"/>
  <c r="G15" i="95" s="1"/>
  <c r="L15" i="95" s="1"/>
  <c r="K14" i="95"/>
  <c r="F14" i="95"/>
  <c r="E14" i="95"/>
  <c r="K13" i="95"/>
  <c r="G13" i="95"/>
  <c r="L13" i="95" s="1"/>
  <c r="K12" i="95"/>
  <c r="G12" i="95"/>
  <c r="K11" i="95"/>
  <c r="G11" i="95"/>
  <c r="L11" i="95" s="1"/>
  <c r="K10" i="95"/>
  <c r="G10" i="95"/>
  <c r="K9" i="95"/>
  <c r="D9" i="95"/>
  <c r="G9" i="95" s="1"/>
  <c r="L9" i="95" s="1"/>
  <c r="K8" i="95"/>
  <c r="G8" i="95"/>
  <c r="K7" i="95"/>
  <c r="G7" i="95"/>
  <c r="K6" i="95"/>
  <c r="G6" i="95"/>
  <c r="K5" i="95"/>
  <c r="G5" i="95"/>
  <c r="L6" i="95" l="1"/>
  <c r="L8" i="95"/>
  <c r="L10" i="95"/>
  <c r="L23" i="95"/>
  <c r="L7" i="95"/>
  <c r="F49" i="95"/>
  <c r="L16" i="95"/>
  <c r="L18" i="95"/>
  <c r="L22" i="95"/>
  <c r="G42" i="95"/>
  <c r="L42" i="95" s="1"/>
  <c r="L43" i="95"/>
  <c r="L26" i="95"/>
  <c r="L28" i="95"/>
  <c r="L20" i="95"/>
  <c r="L35" i="95"/>
  <c r="K46" i="95"/>
  <c r="L12" i="95"/>
  <c r="G14" i="95"/>
  <c r="L14" i="95" s="1"/>
  <c r="L17" i="95"/>
  <c r="L19" i="95"/>
  <c r="L21" i="95"/>
  <c r="L24" i="95"/>
  <c r="L32" i="95"/>
  <c r="G46" i="95"/>
  <c r="G49" i="95" s="1"/>
  <c r="L48" i="95"/>
  <c r="L29" i="95"/>
  <c r="D49" i="95"/>
  <c r="H49" i="95"/>
  <c r="K25" i="95"/>
  <c r="L25" i="95" s="1"/>
  <c r="E49" i="95"/>
  <c r="I49" i="95"/>
  <c r="L5" i="95"/>
  <c r="L46" i="95" l="1"/>
  <c r="K49" i="95"/>
  <c r="L49" i="95"/>
  <c r="K173" i="94" l="1"/>
  <c r="H173" i="94"/>
  <c r="G173" i="94"/>
  <c r="E173" i="94"/>
  <c r="D173" i="94"/>
  <c r="C170" i="94"/>
  <c r="C169" i="94"/>
  <c r="C168" i="94"/>
  <c r="C167" i="94"/>
  <c r="C166" i="94"/>
  <c r="C165" i="94"/>
  <c r="C164" i="94"/>
  <c r="C163" i="94"/>
  <c r="C162" i="94"/>
  <c r="C161" i="94"/>
  <c r="C160" i="94"/>
  <c r="C159" i="94"/>
  <c r="C158" i="94"/>
  <c r="C157" i="94"/>
  <c r="C156" i="94"/>
  <c r="C155" i="94"/>
  <c r="C154" i="94"/>
  <c r="C153" i="94"/>
  <c r="C152" i="94"/>
  <c r="C151" i="94"/>
  <c r="C150" i="94"/>
  <c r="C149" i="94"/>
  <c r="C148" i="94"/>
  <c r="C147" i="94"/>
  <c r="C146" i="94"/>
  <c r="C145" i="94"/>
  <c r="C144" i="94"/>
  <c r="C143" i="94"/>
  <c r="C142" i="94"/>
  <c r="C141" i="94"/>
  <c r="C140" i="94"/>
  <c r="C139" i="94"/>
  <c r="C138" i="94"/>
  <c r="C137" i="94"/>
  <c r="C136" i="94"/>
  <c r="C135" i="94"/>
  <c r="C134" i="94"/>
  <c r="C133" i="94"/>
  <c r="C132" i="94"/>
  <c r="C131" i="94"/>
  <c r="C130" i="94"/>
  <c r="C129" i="94"/>
  <c r="C128" i="94"/>
  <c r="C127" i="94"/>
  <c r="C126" i="94"/>
  <c r="C125" i="94"/>
  <c r="C124" i="94"/>
  <c r="C123" i="94"/>
  <c r="C122" i="94"/>
  <c r="C121" i="94"/>
  <c r="C120" i="94"/>
  <c r="C119" i="94"/>
  <c r="C118" i="94"/>
  <c r="C117" i="94"/>
  <c r="C116" i="94"/>
  <c r="C115" i="94"/>
  <c r="C114" i="94"/>
  <c r="C113" i="94"/>
  <c r="C112" i="94"/>
  <c r="C111" i="94"/>
  <c r="C110" i="94"/>
  <c r="C109" i="94"/>
  <c r="C108" i="94"/>
  <c r="C107" i="94"/>
  <c r="C106" i="94"/>
  <c r="C105" i="94"/>
  <c r="C104" i="94"/>
  <c r="C103" i="94"/>
  <c r="C102" i="94"/>
  <c r="C101" i="94"/>
  <c r="C100" i="94"/>
  <c r="C99" i="94"/>
  <c r="C98" i="94"/>
  <c r="C97" i="94"/>
  <c r="C96" i="94"/>
  <c r="C95" i="94"/>
  <c r="C94" i="94"/>
  <c r="C93" i="94"/>
  <c r="C92" i="94"/>
  <c r="C91" i="94"/>
  <c r="C90" i="94"/>
  <c r="C89" i="94"/>
  <c r="C88" i="94"/>
  <c r="C87" i="94"/>
  <c r="C86" i="94"/>
  <c r="C85" i="94"/>
  <c r="C84" i="94"/>
  <c r="C83" i="94"/>
  <c r="C82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F54" i="94"/>
  <c r="F173" i="94" s="1"/>
  <c r="C53" i="94"/>
  <c r="J52" i="94"/>
  <c r="J173" i="94" s="1"/>
  <c r="I52" i="94"/>
  <c r="C52" i="94" s="1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I173" i="94" l="1"/>
  <c r="C54" i="94"/>
  <c r="C173" i="94" s="1"/>
  <c r="S166" i="93" l="1"/>
  <c r="R166" i="93"/>
  <c r="Q166" i="93"/>
  <c r="P166" i="93"/>
  <c r="L166" i="93"/>
  <c r="I166" i="93"/>
  <c r="H166" i="93"/>
  <c r="G166" i="93"/>
  <c r="F166" i="93"/>
  <c r="E166" i="93"/>
  <c r="D166" i="93"/>
  <c r="J165" i="93"/>
  <c r="C165" i="93"/>
  <c r="C164" i="93"/>
  <c r="C163" i="93"/>
  <c r="C162" i="93"/>
  <c r="C161" i="93"/>
  <c r="C160" i="93"/>
  <c r="C159" i="93"/>
  <c r="C158" i="93"/>
  <c r="C157" i="93"/>
  <c r="C156" i="93"/>
  <c r="C155" i="93"/>
  <c r="C154" i="93"/>
  <c r="K153" i="93"/>
  <c r="C153" i="93" s="1"/>
  <c r="C152" i="93"/>
  <c r="C151" i="93"/>
  <c r="C150" i="93"/>
  <c r="C149" i="93"/>
  <c r="C148" i="93"/>
  <c r="C147" i="93"/>
  <c r="C146" i="93"/>
  <c r="C145" i="93"/>
  <c r="C144" i="93"/>
  <c r="C143" i="93"/>
  <c r="C142" i="93"/>
  <c r="C141" i="93"/>
  <c r="C140" i="93"/>
  <c r="C139" i="93"/>
  <c r="C138" i="93"/>
  <c r="C137" i="93"/>
  <c r="C136" i="93"/>
  <c r="C135" i="93"/>
  <c r="C134" i="93"/>
  <c r="C133" i="93"/>
  <c r="C132" i="93"/>
  <c r="C131" i="93"/>
  <c r="C130" i="93"/>
  <c r="C129" i="93"/>
  <c r="C128" i="93"/>
  <c r="C127" i="93"/>
  <c r="C126" i="93"/>
  <c r="C125" i="93"/>
  <c r="C124" i="93"/>
  <c r="C123" i="93"/>
  <c r="C122" i="93"/>
  <c r="C121" i="93"/>
  <c r="C120" i="93"/>
  <c r="C119" i="93"/>
  <c r="C118" i="93"/>
  <c r="C117" i="93"/>
  <c r="O116" i="93"/>
  <c r="C116" i="93"/>
  <c r="C115" i="93"/>
  <c r="C114" i="93"/>
  <c r="C113" i="93"/>
  <c r="O112" i="93"/>
  <c r="O166" i="93" s="1"/>
  <c r="C111" i="93"/>
  <c r="C110" i="93"/>
  <c r="C109" i="93"/>
  <c r="C108" i="93"/>
  <c r="C107" i="93"/>
  <c r="C106" i="93"/>
  <c r="C105" i="93"/>
  <c r="C104" i="93"/>
  <c r="C103" i="93"/>
  <c r="C102" i="93"/>
  <c r="C101" i="93"/>
  <c r="C100" i="93"/>
  <c r="C99" i="93"/>
  <c r="C98" i="93"/>
  <c r="C97" i="93"/>
  <c r="C96" i="93"/>
  <c r="C95" i="93"/>
  <c r="C94" i="93"/>
  <c r="C93" i="93"/>
  <c r="C92" i="93"/>
  <c r="C91" i="93"/>
  <c r="C90" i="93"/>
  <c r="C89" i="93"/>
  <c r="C88" i="93"/>
  <c r="C87" i="93"/>
  <c r="C86" i="93"/>
  <c r="C85" i="93"/>
  <c r="C84" i="93"/>
  <c r="C83" i="93"/>
  <c r="C82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C52" i="93"/>
  <c r="C51" i="93"/>
  <c r="C50" i="93"/>
  <c r="J49" i="93"/>
  <c r="U48" i="93"/>
  <c r="T48" i="93"/>
  <c r="T166" i="93" s="1"/>
  <c r="N48" i="93"/>
  <c r="M48" i="93"/>
  <c r="U47" i="93"/>
  <c r="U166" i="93" s="1"/>
  <c r="N47" i="93"/>
  <c r="M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O165" i="92"/>
  <c r="N165" i="92"/>
  <c r="L165" i="92"/>
  <c r="K165" i="92"/>
  <c r="J165" i="92"/>
  <c r="I165" i="92"/>
  <c r="H165" i="92"/>
  <c r="G165" i="92"/>
  <c r="F165" i="92"/>
  <c r="E165" i="92"/>
  <c r="D165" i="92"/>
  <c r="M164" i="92"/>
  <c r="C164" i="92" s="1"/>
  <c r="M163" i="92"/>
  <c r="C163" i="92" s="1"/>
  <c r="M162" i="92"/>
  <c r="C162" i="92"/>
  <c r="M161" i="92"/>
  <c r="M160" i="92"/>
  <c r="C160" i="92" s="1"/>
  <c r="M159" i="92"/>
  <c r="C159" i="92"/>
  <c r="M158" i="92"/>
  <c r="C158" i="92" s="1"/>
  <c r="M157" i="92"/>
  <c r="M156" i="92"/>
  <c r="C156" i="92"/>
  <c r="M155" i="92"/>
  <c r="C155" i="92" s="1"/>
  <c r="M154" i="92"/>
  <c r="C154" i="92" s="1"/>
  <c r="M153" i="92"/>
  <c r="M152" i="92"/>
  <c r="C152" i="92"/>
  <c r="M151" i="92"/>
  <c r="C151" i="92" s="1"/>
  <c r="M150" i="92"/>
  <c r="C150" i="92" s="1"/>
  <c r="M149" i="92"/>
  <c r="M148" i="92"/>
  <c r="C148" i="92" s="1"/>
  <c r="M147" i="92"/>
  <c r="C147" i="92" s="1"/>
  <c r="M146" i="92"/>
  <c r="C146" i="92" s="1"/>
  <c r="M145" i="92"/>
  <c r="M144" i="92"/>
  <c r="C144" i="92" s="1"/>
  <c r="M143" i="92"/>
  <c r="C143" i="92" s="1"/>
  <c r="M142" i="92"/>
  <c r="C142" i="92" s="1"/>
  <c r="M141" i="92"/>
  <c r="M140" i="92"/>
  <c r="C140" i="92" s="1"/>
  <c r="M139" i="92"/>
  <c r="C139" i="92"/>
  <c r="M138" i="92"/>
  <c r="C138" i="92" s="1"/>
  <c r="M137" i="92"/>
  <c r="M136" i="92"/>
  <c r="C136" i="92" s="1"/>
  <c r="M135" i="92"/>
  <c r="C135" i="92" s="1"/>
  <c r="M134" i="92"/>
  <c r="C134" i="92" s="1"/>
  <c r="M133" i="92"/>
  <c r="M132" i="92"/>
  <c r="C132" i="92"/>
  <c r="M131" i="92"/>
  <c r="C131" i="92" s="1"/>
  <c r="M130" i="92"/>
  <c r="C130" i="92"/>
  <c r="M129" i="92"/>
  <c r="M128" i="92"/>
  <c r="C128" i="92" s="1"/>
  <c r="M127" i="92"/>
  <c r="C127" i="92"/>
  <c r="M126" i="92"/>
  <c r="C126" i="92" s="1"/>
  <c r="M125" i="92"/>
  <c r="M124" i="92"/>
  <c r="C124" i="92"/>
  <c r="M123" i="92"/>
  <c r="C123" i="92" s="1"/>
  <c r="M122" i="92"/>
  <c r="C122" i="92"/>
  <c r="M121" i="92"/>
  <c r="M120" i="92"/>
  <c r="C120" i="92" s="1"/>
  <c r="M119" i="92"/>
  <c r="C119" i="92" s="1"/>
  <c r="M118" i="92"/>
  <c r="C118" i="92" s="1"/>
  <c r="M117" i="92"/>
  <c r="M116" i="92"/>
  <c r="C116" i="92" s="1"/>
  <c r="M115" i="92"/>
  <c r="C115" i="92" s="1"/>
  <c r="M114" i="92"/>
  <c r="C114" i="92" s="1"/>
  <c r="M113" i="92"/>
  <c r="M112" i="92"/>
  <c r="C112" i="92" s="1"/>
  <c r="M111" i="92"/>
  <c r="C111" i="92" s="1"/>
  <c r="M110" i="92"/>
  <c r="C110" i="92" s="1"/>
  <c r="M109" i="92"/>
  <c r="M108" i="92"/>
  <c r="C108" i="92" s="1"/>
  <c r="M107" i="92"/>
  <c r="C107" i="92" s="1"/>
  <c r="M106" i="92"/>
  <c r="C106" i="92"/>
  <c r="M105" i="92"/>
  <c r="M104" i="92"/>
  <c r="C104" i="92" s="1"/>
  <c r="M103" i="92"/>
  <c r="C103" i="92" s="1"/>
  <c r="M102" i="92"/>
  <c r="C102" i="92" s="1"/>
  <c r="M101" i="92"/>
  <c r="M100" i="92"/>
  <c r="C100" i="92"/>
  <c r="M99" i="92"/>
  <c r="C99" i="92" s="1"/>
  <c r="M98" i="92"/>
  <c r="C98" i="92"/>
  <c r="M97" i="92"/>
  <c r="M96" i="92"/>
  <c r="C96" i="92" s="1"/>
  <c r="M95" i="92"/>
  <c r="C95" i="92"/>
  <c r="M94" i="92"/>
  <c r="C94" i="92" s="1"/>
  <c r="M93" i="92"/>
  <c r="M92" i="92"/>
  <c r="C92" i="92"/>
  <c r="M91" i="92"/>
  <c r="C91" i="92" s="1"/>
  <c r="M90" i="92"/>
  <c r="C90" i="92"/>
  <c r="M89" i="92"/>
  <c r="M88" i="92"/>
  <c r="C88" i="92" s="1"/>
  <c r="M87" i="92"/>
  <c r="C87" i="92" s="1"/>
  <c r="M86" i="92"/>
  <c r="C86" i="92"/>
  <c r="M85" i="92"/>
  <c r="M84" i="92"/>
  <c r="C84" i="92" s="1"/>
  <c r="M83" i="92"/>
  <c r="C83" i="92"/>
  <c r="M82" i="92"/>
  <c r="C82" i="92" s="1"/>
  <c r="M81" i="92"/>
  <c r="C81" i="92"/>
  <c r="M80" i="92"/>
  <c r="C80" i="92" s="1"/>
  <c r="M79" i="92"/>
  <c r="C79" i="92" s="1"/>
  <c r="M78" i="92"/>
  <c r="C78" i="92" s="1"/>
  <c r="M77" i="92"/>
  <c r="C77" i="92" s="1"/>
  <c r="M76" i="92"/>
  <c r="C76" i="92" s="1"/>
  <c r="M75" i="92"/>
  <c r="C75" i="92"/>
  <c r="M74" i="92"/>
  <c r="C74" i="92" s="1"/>
  <c r="M73" i="92"/>
  <c r="C73" i="92" s="1"/>
  <c r="M72" i="92"/>
  <c r="C72" i="92" s="1"/>
  <c r="M71" i="92"/>
  <c r="C71" i="92" s="1"/>
  <c r="M70" i="92"/>
  <c r="C70" i="92" s="1"/>
  <c r="M69" i="92"/>
  <c r="C69" i="92" s="1"/>
  <c r="M68" i="92"/>
  <c r="C68" i="92" s="1"/>
  <c r="M67" i="92"/>
  <c r="C67" i="92" s="1"/>
  <c r="M66" i="92"/>
  <c r="C66" i="92" s="1"/>
  <c r="M65" i="92"/>
  <c r="C65" i="92" s="1"/>
  <c r="M64" i="92"/>
  <c r="C64" i="92" s="1"/>
  <c r="M63" i="92"/>
  <c r="C63" i="92"/>
  <c r="M62" i="92"/>
  <c r="C62" i="92" s="1"/>
  <c r="M61" i="92"/>
  <c r="C61" i="92" s="1"/>
  <c r="M60" i="92"/>
  <c r="C60" i="92" s="1"/>
  <c r="M59" i="92"/>
  <c r="C59" i="92" s="1"/>
  <c r="M58" i="92"/>
  <c r="C58" i="92" s="1"/>
  <c r="M57" i="92"/>
  <c r="C57" i="92"/>
  <c r="M56" i="92"/>
  <c r="C56" i="92" s="1"/>
  <c r="M55" i="92"/>
  <c r="C55" i="92"/>
  <c r="M54" i="92"/>
  <c r="C54" i="92" s="1"/>
  <c r="M53" i="92"/>
  <c r="C53" i="92" s="1"/>
  <c r="M52" i="92"/>
  <c r="C52" i="92" s="1"/>
  <c r="M51" i="92"/>
  <c r="C51" i="92"/>
  <c r="M50" i="92"/>
  <c r="C50" i="92" s="1"/>
  <c r="M49" i="92"/>
  <c r="C49" i="92"/>
  <c r="M48" i="92"/>
  <c r="C48" i="92" s="1"/>
  <c r="M47" i="92"/>
  <c r="C47" i="92" s="1"/>
  <c r="M46" i="92"/>
  <c r="C46" i="92" s="1"/>
  <c r="M45" i="92"/>
  <c r="C45" i="92" s="1"/>
  <c r="M44" i="92"/>
  <c r="C44" i="92" s="1"/>
  <c r="M43" i="92"/>
  <c r="C43" i="92"/>
  <c r="M42" i="92"/>
  <c r="C42" i="92" s="1"/>
  <c r="M41" i="92"/>
  <c r="C41" i="92" s="1"/>
  <c r="M40" i="92"/>
  <c r="C40" i="92" s="1"/>
  <c r="M39" i="92"/>
  <c r="C39" i="92" s="1"/>
  <c r="M38" i="92"/>
  <c r="C38" i="92" s="1"/>
  <c r="M37" i="92"/>
  <c r="C37" i="92" s="1"/>
  <c r="M36" i="92"/>
  <c r="C36" i="92" s="1"/>
  <c r="M35" i="92"/>
  <c r="C35" i="92" s="1"/>
  <c r="M34" i="92"/>
  <c r="C34" i="92" s="1"/>
  <c r="M33" i="92"/>
  <c r="C33" i="92" s="1"/>
  <c r="M32" i="92"/>
  <c r="C32" i="92" s="1"/>
  <c r="M31" i="92"/>
  <c r="C31" i="92"/>
  <c r="M30" i="92"/>
  <c r="C30" i="92" s="1"/>
  <c r="M29" i="92"/>
  <c r="C29" i="92" s="1"/>
  <c r="M28" i="92"/>
  <c r="C28" i="92" s="1"/>
  <c r="M27" i="92"/>
  <c r="C27" i="92" s="1"/>
  <c r="M26" i="92"/>
  <c r="C26" i="92" s="1"/>
  <c r="M25" i="92"/>
  <c r="C25" i="92"/>
  <c r="M24" i="92"/>
  <c r="C24" i="92" s="1"/>
  <c r="M23" i="92"/>
  <c r="C23" i="92"/>
  <c r="M22" i="92"/>
  <c r="C22" i="92" s="1"/>
  <c r="M21" i="92"/>
  <c r="C21" i="92" s="1"/>
  <c r="M20" i="92"/>
  <c r="C20" i="92" s="1"/>
  <c r="M19" i="92"/>
  <c r="C19" i="92"/>
  <c r="M18" i="92"/>
  <c r="C18" i="92" s="1"/>
  <c r="M17" i="92"/>
  <c r="C17" i="92"/>
  <c r="M16" i="92"/>
  <c r="C16" i="92" s="1"/>
  <c r="M15" i="92"/>
  <c r="C15" i="92" s="1"/>
  <c r="M14" i="92"/>
  <c r="C14" i="92" s="1"/>
  <c r="M13" i="92"/>
  <c r="C13" i="92" s="1"/>
  <c r="M12" i="92"/>
  <c r="C12" i="92" s="1"/>
  <c r="M11" i="92"/>
  <c r="C11" i="92"/>
  <c r="M10" i="92"/>
  <c r="C10" i="92" s="1"/>
  <c r="M9" i="92"/>
  <c r="C9" i="92" s="1"/>
  <c r="J166" i="93" l="1"/>
  <c r="C47" i="93"/>
  <c r="N166" i="93"/>
  <c r="C48" i="93"/>
  <c r="C166" i="93" s="1"/>
  <c r="C49" i="93"/>
  <c r="C112" i="93"/>
  <c r="M166" i="93"/>
  <c r="K166" i="93"/>
  <c r="M165" i="92"/>
  <c r="C85" i="92"/>
  <c r="C89" i="92"/>
  <c r="C93" i="92"/>
  <c r="C97" i="92"/>
  <c r="C101" i="92"/>
  <c r="C105" i="92"/>
  <c r="C109" i="92"/>
  <c r="C113" i="92"/>
  <c r="C117" i="92"/>
  <c r="C121" i="92"/>
  <c r="C125" i="92"/>
  <c r="C129" i="92"/>
  <c r="C133" i="92"/>
  <c r="C137" i="92"/>
  <c r="C141" i="92"/>
  <c r="C145" i="92"/>
  <c r="C149" i="92"/>
  <c r="C153" i="92"/>
  <c r="C157" i="92"/>
  <c r="C161" i="92"/>
  <c r="C165" i="92" l="1"/>
</calcChain>
</file>

<file path=xl/sharedStrings.xml><?xml version="1.0" encoding="utf-8"?>
<sst xmlns="http://schemas.openxmlformats.org/spreadsheetml/2006/main" count="1358" uniqueCount="556">
  <si>
    <t>№ п/п</t>
  </si>
  <si>
    <t>ГБУЗ РБ Аскаровская ЦРБ</t>
  </si>
  <si>
    <t>ГБУЗ РБ Раевская ЦРБ</t>
  </si>
  <si>
    <t>ГБУЗ РБ Архангельская ЦРБ</t>
  </si>
  <si>
    <t>ГБУЗ РБ Аскинская ЦРБ</t>
  </si>
  <si>
    <t>ГБУЗ РБ Толбазинская ЦРБ</t>
  </si>
  <si>
    <t>ГБУЗ РБ Баймакская ЦГБ</t>
  </si>
  <si>
    <t>ГБУЗ РБ Бакалинская ЦРБ</t>
  </si>
  <si>
    <t>ГБУЗ РБ Балтачевская ЦРБ</t>
  </si>
  <si>
    <t>ГБУЗ РБ Белебеевская ЦРБ</t>
  </si>
  <si>
    <t>ГБУЗ РБ Белокатайская ЦРБ</t>
  </si>
  <si>
    <t>ГБУЗ РБ Белорецкая ЦРКБ</t>
  </si>
  <si>
    <t>ГБУЗ РБ Бижбулякская ЦРБ</t>
  </si>
  <si>
    <t>ГБУЗ РБ Бирская ЦРБ</t>
  </si>
  <si>
    <t>ГБУЗ РБ Языковская ЦРБ</t>
  </si>
  <si>
    <t>ГБУЗ РБ Благовещенская ЦРБ</t>
  </si>
  <si>
    <t>ГБУЗ РБ Буздякская ЦРБ</t>
  </si>
  <si>
    <t>ГБУЗ РБ Бураевская ЦРБ</t>
  </si>
  <si>
    <t>ГБУЗ РБ Бурзянская ЦРБ</t>
  </si>
  <si>
    <t>ГБУЗ РБ Красноусольская ЦРБ</t>
  </si>
  <si>
    <t>ГБУЗ РБ Давлекановская ЦРБ</t>
  </si>
  <si>
    <t>ГБУЗ РБ Месягутовская ЦРБ</t>
  </si>
  <si>
    <t>ГБУЗ РБ Дюртюлинская ЦРБ</t>
  </si>
  <si>
    <t>ГБУЗ РБ Ермекеевская ЦРБ</t>
  </si>
  <si>
    <t>ГБУЗ РБ Исянгуловская ЦРБ</t>
  </si>
  <si>
    <t>ГБУЗ РБ Зилаирская ЦРБ</t>
  </si>
  <si>
    <t>ГБУЗ РБ Иглинская ЦРБ</t>
  </si>
  <si>
    <t>ГБУЗ РБ Верхнеяркеевская ЦРБ</t>
  </si>
  <si>
    <t>ГБУЗ РБ Ишимбайская ЦРБ</t>
  </si>
  <si>
    <t>ГБУЗ РБ Калтасинская ЦРБ</t>
  </si>
  <si>
    <t>ГБУЗ РБ Караидельская ЦРБ</t>
  </si>
  <si>
    <t>ГБУЗ РБ Кармаскалинская ЦРБ</t>
  </si>
  <si>
    <t>ГБУЗ РБ Кигинская ЦРБ</t>
  </si>
  <si>
    <t>ГБУЗ РБ Краснокамская ЦРБ</t>
  </si>
  <si>
    <t>ГБУЗ РБ Мраковская ЦРБ</t>
  </si>
  <si>
    <t>ГБУЗ РБ Кушнаренковская ЦРБ</t>
  </si>
  <si>
    <t>ГБУЗ РБ ГБ г.Кумертау</t>
  </si>
  <si>
    <t>ГБУЗ РБ Мелеузовская ЦРБ</t>
  </si>
  <si>
    <t>ГБУЗ РБ Большеустьикинская ЦРБ</t>
  </si>
  <si>
    <t>ГБУЗ РБ Мишкинская ЦРБ</t>
  </si>
  <si>
    <t>ГБУЗ РБ Миякинская ЦРБ</t>
  </si>
  <si>
    <t>ГБУЗ РБ Нуримановская ЦРБ</t>
  </si>
  <si>
    <t>ГБУЗ РБ Малоязовская ЦРБ</t>
  </si>
  <si>
    <t>ГБУЗ РБ Стерлибашевская ЦРБ</t>
  </si>
  <si>
    <t>ГБУЗ РБ Верхне-Татышлинская ЦРБ</t>
  </si>
  <si>
    <t>ГБУЗ РБ Туймазинская ЦРБ</t>
  </si>
  <si>
    <t>ГБУЗ РБ Федоровская ЦРБ</t>
  </si>
  <si>
    <t>ГБУЗ РБ Акъярская ЦРБ</t>
  </si>
  <si>
    <t>ГБУЗ РБ Чекмагушевская ЦРБ</t>
  </si>
  <si>
    <t>ГБУЗ РБ Чишминская ЦРБ</t>
  </si>
  <si>
    <t>ГБУЗ РБ Шаранская ЦРБ</t>
  </si>
  <si>
    <t>ГБУЗ РБ Янаульская ЦРБ</t>
  </si>
  <si>
    <t>ГБУЗ РБ ЦГБ г.Сибай</t>
  </si>
  <si>
    <t>ГБУЗ РБ ГБ г.Салават</t>
  </si>
  <si>
    <t>ГБУЗ РБ Городская больница №2 г.Стерлитамак</t>
  </si>
  <si>
    <t>ГБУЗ РБ ГБ №9 г.Уфа</t>
  </si>
  <si>
    <t>ГБУЗ РБ ГКБ №8 г.Уфа</t>
  </si>
  <si>
    <t>ГБУЗ РБ ГКБ №10 г.Уфа</t>
  </si>
  <si>
    <t>ГБУЗ РБ ГБ №12 г.Уфа</t>
  </si>
  <si>
    <t>ГБУЗ РБ ГКБ №13 г.Уфа</t>
  </si>
  <si>
    <t>ГБУЗ РБ ГКБ №5 г.Уфа</t>
  </si>
  <si>
    <t>ГБУЗ РБ ГДКБ №17 г.Уфа</t>
  </si>
  <si>
    <t>ФГБОУ ВО БГМУ Минздрава России</t>
  </si>
  <si>
    <t>ГБУЗ РДКБ</t>
  </si>
  <si>
    <t>ГБУЗ РБ БСМП г.Уфа</t>
  </si>
  <si>
    <t>Медицинская помощь за пределами РБ</t>
  </si>
  <si>
    <t>ГБУЗ РБ ГБ г. Нефтекамск</t>
  </si>
  <si>
    <t>ГБУЗ РБ Городская больница №4 г.Стерлитамак</t>
  </si>
  <si>
    <t>ГБУЗ РБ Детская больница г.Стерлитамак</t>
  </si>
  <si>
    <t>ООО "Медсервис" (г.Салават)</t>
  </si>
  <si>
    <t>ГБУЗ РБ ГБ №1 г. Октябрьский</t>
  </si>
  <si>
    <t>ГБУЗ РБ РД №3 г.Уфа</t>
  </si>
  <si>
    <t>ФКУЗ "МСЧ МВД России по Республике Башкортостан"</t>
  </si>
  <si>
    <t>ООО "МЦ МЕГИ" (г.Уфа)</t>
  </si>
  <si>
    <t>ГБУЗ РКБ им. Г.Г. Куватова</t>
  </si>
  <si>
    <t>ГБУ "УфНИИ ГБ АН РБ"</t>
  </si>
  <si>
    <t>ГБУЗ РКПЦ МЗ РБ</t>
  </si>
  <si>
    <t xml:space="preserve">ГБУЗ РБ ГКБ №21 г.Уфа </t>
  </si>
  <si>
    <t>ГБУЗ РБ Городская инфекционная больница г.Стерлитамак</t>
  </si>
  <si>
    <t>ГАУЗ РКОД  МЗ РБ</t>
  </si>
  <si>
    <t>ГБУЗ РКЦ</t>
  </si>
  <si>
    <t>ГБУЗ РКГВВ</t>
  </si>
  <si>
    <t>Наименование медицинской организации</t>
  </si>
  <si>
    <t xml:space="preserve">в том числе </t>
  </si>
  <si>
    <t>ООО "Медицинский центр Семья" (г.Уфа)</t>
  </si>
  <si>
    <t>ООО "ЦМТ" (г.Уфа)</t>
  </si>
  <si>
    <t>ФГБУ "ВЦГПХ" Минздрава России</t>
  </si>
  <si>
    <t>ИТОГО</t>
  </si>
  <si>
    <t>Всего</t>
  </si>
  <si>
    <t>ГБУЗ РКБ им. Г.Г.Куватова</t>
  </si>
  <si>
    <t>ГАУЗ РКОД МЗ РБ</t>
  </si>
  <si>
    <t>ГБУЗ РБ ГКБ №1 г.Стерлитамак</t>
  </si>
  <si>
    <t>ГБУЗ РБ ГКБ №18 г.Уфа</t>
  </si>
  <si>
    <t>ГБУЗ РБ КВД г.Салават</t>
  </si>
  <si>
    <t>ГБУЗ РБ КВД г.Стерлитамак</t>
  </si>
  <si>
    <t>ГБУЗ РБ Учалинская ЦГБ</t>
  </si>
  <si>
    <t>ГБУЗ РКВД №1</t>
  </si>
  <si>
    <t>Резерв</t>
  </si>
  <si>
    <t>в том числе</t>
  </si>
  <si>
    <t>ГБУЗ РБ КБ № 1 г.Стерлитамак</t>
  </si>
  <si>
    <t>ГБУЗ РБ ГБ №2 г.Стерлитамак (реорганизованное)</t>
  </si>
  <si>
    <t>Обособленное структурное подразделение ГБУЗ РБ ГКБ №13 г.Уфа, ранее именуемое ГБУЗ РБ ГБ №12 г.Уфа</t>
  </si>
  <si>
    <t>ГБУЗ РМГЦ</t>
  </si>
  <si>
    <t>ГБУЗ РВФД</t>
  </si>
  <si>
    <t>Итого</t>
  </si>
  <si>
    <t>Компьютерная томография</t>
  </si>
  <si>
    <t>Магнитно-резонансная томография</t>
  </si>
  <si>
    <t>без К для АЦКТ</t>
  </si>
  <si>
    <t>без К</t>
  </si>
  <si>
    <t>с К</t>
  </si>
  <si>
    <t>с К  и исп. АИ</t>
  </si>
  <si>
    <t>ГБУЗ РБ Большеустикинская ЦРБ</t>
  </si>
  <si>
    <t xml:space="preserve">ГБУЗ РБ ГБ г. Нефтекамск </t>
  </si>
  <si>
    <t>ГБУЗ РБ ГБ № 1 г.Октябрьский</t>
  </si>
  <si>
    <t>ООО "Клиника Эксперт Уфа"</t>
  </si>
  <si>
    <t xml:space="preserve">ООО  "ЛДЦ МИБС-Уфа"                                                                                           </t>
  </si>
  <si>
    <t>ООО "Медсервис" (г. Салават)</t>
  </si>
  <si>
    <t xml:space="preserve">ООО "МедТех"      </t>
  </si>
  <si>
    <t>ООО "МД Проект 2010""</t>
  </si>
  <si>
    <t>ООО МЦ МЕГИ</t>
  </si>
  <si>
    <t>ООО ММЦ Профилактическая медицина</t>
  </si>
  <si>
    <t>ЧУЗ «КБ «РЖД - Медицина» г. Уфа»</t>
  </si>
  <si>
    <t>ГБУЗ РБ Поликлиника№32 г.Уфа</t>
  </si>
  <si>
    <t>ГБУЗ РБ Поликлиника №46 г.Уфа</t>
  </si>
  <si>
    <t>ГБУЗ РБ ГКБ Демского района г. Уфа</t>
  </si>
  <si>
    <t xml:space="preserve">ГБУЗ РБ ГДКБ №17 г.Уфа </t>
  </si>
  <si>
    <t>ГБУЗ "РКПЦ" МЗ РБ</t>
  </si>
  <si>
    <t xml:space="preserve">ГБУЗ РБ ГКБ № 21 г.Уфа </t>
  </si>
  <si>
    <t xml:space="preserve">Объемы лечебно-диагностических исследований, оказываемых в амбулаторно-поликлинических условиях на 2020 год.                                                                                                                                                 </t>
  </si>
  <si>
    <t xml:space="preserve">Радиоизотопная диагностика </t>
  </si>
  <si>
    <t xml:space="preserve">Лучевая терапия                          </t>
  </si>
  <si>
    <t>Компьютер-ная томография в центре ПЭТ</t>
  </si>
  <si>
    <t>Ультразвуковое скрининговое исследование</t>
  </si>
  <si>
    <t xml:space="preserve">Сцинтиграфия </t>
  </si>
  <si>
    <t xml:space="preserve">Рено-графия </t>
  </si>
  <si>
    <t>Ультра-звуковой этап комплекс-ного скрининго-вого исследова-ния в сроке беремен-ности 11-14 недель</t>
  </si>
  <si>
    <t>Ультра-звуковое скрининго-вое исследова-ние в сроке беремен-ности 18-21 неделя</t>
  </si>
  <si>
    <t>Ультра-звуковое скрининго-вое исследова-ние в сроке беремен-ности 30-34 недели</t>
  </si>
  <si>
    <t>сцинти-графия в режиме "все тело"</t>
  </si>
  <si>
    <t>сцинти-графия планарная</t>
  </si>
  <si>
    <t>сцинти-графия дина-мическая</t>
  </si>
  <si>
    <t>Однофотон-ная эмиссион-ная компьютер-ная томография (ОФЭКТ)</t>
  </si>
  <si>
    <t>Однофотон-ная эмиссион-ная компьютер-ная томогра-фия, совмещенная с компьютер-ной томографией (ОФЭКТ/КТ)</t>
  </si>
  <si>
    <t>радио-метрия</t>
  </si>
  <si>
    <t>ГБУЗ РБ Родильный дом №3 г.Уфа</t>
  </si>
  <si>
    <t>ГБУЗ РБ Поликлиника №50 г.Уфа</t>
  </si>
  <si>
    <t xml:space="preserve">ООО "ПЭТ-Технолоджи" </t>
  </si>
  <si>
    <t xml:space="preserve">ООО "Центр ПЭТ-Технолоджи"                           </t>
  </si>
  <si>
    <t>ЧУЗ «КБ «РЖД - Медицина»                    г. Уфа»</t>
  </si>
  <si>
    <t>Наименование медицинских организаций</t>
  </si>
  <si>
    <t>ЧУЗ «РЖД- Медицина» г.Стерлитамак</t>
  </si>
  <si>
    <t>ООО "Экома"</t>
  </si>
  <si>
    <t>ООО "МЦ "Агидель""</t>
  </si>
  <si>
    <t xml:space="preserve">ООО "ДиаЛайф" </t>
  </si>
  <si>
    <t>ООО "Лаборатория гемодиализа"</t>
  </si>
  <si>
    <t>Объемы обращений в связи с заболеваниями на 2020 год в рамках базовой Программы ОМС</t>
  </si>
  <si>
    <t xml:space="preserve">Обращения </t>
  </si>
  <si>
    <t>в том числе:</t>
  </si>
  <si>
    <t>ММОЦ</t>
  </si>
  <si>
    <t>ЦАОП</t>
  </si>
  <si>
    <t>Обращения МО, не имеющих прикрепленное население</t>
  </si>
  <si>
    <t>Обращения для целей учета процедур гемодиализа</t>
  </si>
  <si>
    <t>Объемы обращений по заболеваниям на долечивание в травматологических пунктах</t>
  </si>
  <si>
    <t>Обращения МО, имеющие прикрепленное население</t>
  </si>
  <si>
    <t>финансируемые по реестрам</t>
  </si>
  <si>
    <t>финансируемые по подушевому принципу</t>
  </si>
  <si>
    <t>ГБУЗ РБ Бирская стоматологическая поликлиника</t>
  </si>
  <si>
    <t>ГАУЗ РБ СП Дюртюлинского района</t>
  </si>
  <si>
    <t>Обособленное структурное подразделение ГБУЗ РБ ГБ г.Нефтекамск, ранее именуемое ГБУЗ РБ Агидельская ГБ</t>
  </si>
  <si>
    <t>ООО "Ваша стоматология" (г.Нефтекамск)</t>
  </si>
  <si>
    <t>ООО "ВИП" (г.Нефтекамск)</t>
  </si>
  <si>
    <t>ООО "Дента" (г.Нефтекамск)</t>
  </si>
  <si>
    <t>ООО "Корона+" (г.Нефтекамск)</t>
  </si>
  <si>
    <t>ООО "Корона" (г.Нефтекамск)</t>
  </si>
  <si>
    <t>ООО "СтомЭл" (г.Нефтекамс)</t>
  </si>
  <si>
    <t>ООО "ЭнжеДент" (г.Нефтекамс)</t>
  </si>
  <si>
    <t>ООО "Дантист+" (г.Нефтекамск)</t>
  </si>
  <si>
    <t>ООО МЦ "СЕМЕЙНЫЙ ДОКТОР" (г.Бирск)</t>
  </si>
  <si>
    <t>ГАУЗ РБ Стоматологическая поликлиника г.Сибай</t>
  </si>
  <si>
    <t>ФГБУЗ МСЧ №142 ФМБА России</t>
  </si>
  <si>
    <t xml:space="preserve">Обособленное структурное подразделение ГБУЗ РБ ГКБ №1 города Стерлитамак, ранее именуемое ГБУЗ РБ ГБ №2 </t>
  </si>
  <si>
    <t>ГБУЗ РБ Городская больница №2 г.Стерлитамак (код 16008)</t>
  </si>
  <si>
    <t xml:space="preserve">ГБУЗ РБ Городская больница №2 г.Стерлитамак </t>
  </si>
  <si>
    <t>Обособленное структурное подразделение ГБУЗ РБ ГБ №4 города Стерлитамак ранее именуемое ГБУЗ РБ Стерлитамакская ЦРП</t>
  </si>
  <si>
    <t>Обособленное структурное подразделение ГБУЗ РБ ГБ № 2 города Стерлитамак (реорганизованное в соответствии с распоряжением Правительства РБ от 21.10.2019 № 1170-р, ранее именуемое ГБУЗ РБ Стерлитамакская ЦРБ)</t>
  </si>
  <si>
    <t>ГБУЗ РБ Стоматологическая поликлиника г.Стерлитамак</t>
  </si>
  <si>
    <t>Обособленное структурное подразделение ГБУЗ РБ ГБ города Салават, ранее именуемое ГБУЗ РБ Детская ГБ города Салават</t>
  </si>
  <si>
    <t>Обособленное структурное подразделение Родильный дом ГБУЗ РБ ГБ г.Салават</t>
  </si>
  <si>
    <t>ГБУЗ РБ Стоматологическая поликлиника г.Салават</t>
  </si>
  <si>
    <t>Обособленное структурное подразделение ГБУЗ РБ ЦГБ города Кумертау, ранее именуемое ГБУЗ РБ Ермолаевская ЦРБ</t>
  </si>
  <si>
    <t>ЧУЗ "РЖД-МЕДИЦИНА" Г.СТЕРЛИТАМАК"</t>
  </si>
  <si>
    <t>ГБУЗ РБ Стоматологическая поликлиника г. Октябрьский</t>
  </si>
  <si>
    <t>ООО "Академия здоровья" (с.Киргиз-Мияки)</t>
  </si>
  <si>
    <t>ООО "Дентал Стандарт" (с.Бижбуляк)</t>
  </si>
  <si>
    <t>ООО "Медсервис" (с.Верхнеяркеево)</t>
  </si>
  <si>
    <t>ООО "Радуга" (с.Киргиз-Мияки)</t>
  </si>
  <si>
    <t>ООО "Центр здоровья и красоты" (с.Киргиз-Мияки)</t>
  </si>
  <si>
    <t>ООО "Экодент" (г.Белебей)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</si>
  <si>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</si>
  <si>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</si>
  <si>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</si>
  <si>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</si>
  <si>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</si>
  <si>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</si>
  <si>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</si>
  <si>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</si>
  <si>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</si>
  <si>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</si>
  <si>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</si>
  <si>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</si>
  <si>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</si>
  <si>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№48 г.Уфа</t>
  </si>
  <si>
    <t>ГБУЗ РБ Поликлиника №51 г.Уфа</t>
  </si>
  <si>
    <t>ГБУЗ РБ Поликлиника №52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</si>
  <si>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</si>
  <si>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</si>
  <si>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</si>
  <si>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</si>
  <si>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</si>
  <si>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ГБУЗ РБ Стоматологическая поликлиника №8 г.Уфа</t>
  </si>
  <si>
    <t>ГБУЗ РБ Стоматологическая поликлиника №9 г.Уфа</t>
  </si>
  <si>
    <t>ГБУЗ РБ ГКБ Дёмского района г.Уфа</t>
  </si>
  <si>
    <t>ФГБОУ ВО БГМУ Минздрава России (стоматология)</t>
  </si>
  <si>
    <t>УФИЦ РАН</t>
  </si>
  <si>
    <t>ЧУЗ "КБ "РЖД-МЕДИЦИНА" Г.УФА"</t>
  </si>
  <si>
    <t>ООО "Центр здоровья и красоты" (с.Буздяк)</t>
  </si>
  <si>
    <t>ООО "Витадент Космо" (г.Уфа)</t>
  </si>
  <si>
    <t>ООО "Дантист" (г.Благовещенск)</t>
  </si>
  <si>
    <t>ООО "Евромед-Уфа" (г.Уфа)</t>
  </si>
  <si>
    <t>ООО "Лаборатория гемодиализа" (г.Уфа)</t>
  </si>
  <si>
    <t>ООО "Медхелп" (г.Уфа)</t>
  </si>
  <si>
    <t>ООО "Сфера-Эстейт" (г.Уфа)</t>
  </si>
  <si>
    <t>ООО "Бомонд" (г.Уфа)</t>
  </si>
  <si>
    <t>ООО "Клиника современной флебологии" (г. Уфа)</t>
  </si>
  <si>
    <t>ООО "Экома" (г.Уфа)</t>
  </si>
  <si>
    <t>ООО "Эмидент Люкс" (г.Уфа, ул.Айская)</t>
  </si>
  <si>
    <t>ООО "Эмидент Люкс" (г.Уфа, ул.Революционная, 99)</t>
  </si>
  <si>
    <t>ООО "Эмидент Люкс" (г.Уфа, ул.Революционная, 57)</t>
  </si>
  <si>
    <t>Обособленное структурное подразделение ГБУЗ РБ ГКБ № 21 г. Уфа ранее именуемое ГБУЗ РБ Уфимская ЦРП</t>
  </si>
  <si>
    <t>АУЗ РСП</t>
  </si>
  <si>
    <t>ООО "ММОЦ" г.Стерлитамак</t>
  </si>
  <si>
    <t>Прирост регистра пациентов</t>
  </si>
  <si>
    <t xml:space="preserve">Итого </t>
  </si>
  <si>
    <t>Комплексные посещения для проведения профилактических медицинских осмотров</t>
  </si>
  <si>
    <t>Комплексные посещения для проведения диспансеризации</t>
  </si>
  <si>
    <t>Посещения с иными целями</t>
  </si>
  <si>
    <t xml:space="preserve">Профилактический медосмотр несовершеннолетних </t>
  </si>
  <si>
    <t xml:space="preserve"> Диспансеризация детей- сирот</t>
  </si>
  <si>
    <t>ГБУЗ РБ ГБ №2 г.Стерлитамак (реорганизованное )</t>
  </si>
  <si>
    <t>Обособленное структурное подразделение ГБУЗ РБ ГБ №2 г.Стерлитамак, ранее именуемое ГБУЗ РБ Стерлитамакская ЦРП</t>
  </si>
  <si>
    <t>Обособленное структурное подразделение ГБУЗ РБ ГБ №4 города Стерлитамак, ранее именуемое ГБУЗ РБ Стерлитамакская ЦРП</t>
  </si>
  <si>
    <t>Обособленное структурное подразделение Родильный дом ГБУЗ РБ ГБ города Салават</t>
  </si>
  <si>
    <t>ГАУЗ РБ Стоматологическая поликлиника №8 г.Уфа</t>
  </si>
  <si>
    <t>ГАУЗ РБ Стоматологическая поликлиника №9 г.Уфа</t>
  </si>
  <si>
    <t>ЧУЗ «КБ «РЖД- Медицина» г.Уфа</t>
  </si>
  <si>
    <t>Обособленное структурное подразделение ГБУЗ РБ ГКБ № 21 г. Уфа, ранее именуемое ГБУЗ РБ Уфимская ЦРП</t>
  </si>
  <si>
    <t>ГБУЗ РКИБ</t>
  </si>
  <si>
    <t>Обособленное структурное подразделение ГБУЗ РКИБ, ранее именуемое ГБУЗ РБ Городская инфекционная больница г.Стерлитамак</t>
  </si>
  <si>
    <t>ООО "МЦ "Агидель"</t>
  </si>
  <si>
    <t>ООО "Сфера-Эстейт"</t>
  </si>
  <si>
    <t>ООО "ДиаЛайф"</t>
  </si>
  <si>
    <t xml:space="preserve">Амбулаторно-поликлиническая помощь в части профилактических посещений с  иными целями на 2020 год </t>
  </si>
  <si>
    <t>ВСЕГО посещений</t>
  </si>
  <si>
    <t xml:space="preserve"> Посещения для проведения диспансеризации определенных групп населения (2 этап)</t>
  </si>
  <si>
    <t xml:space="preserve">Посещения для проведения диспансерного наблюдения 
</t>
  </si>
  <si>
    <t>Посещения по центрам  здоровья</t>
  </si>
  <si>
    <t xml:space="preserve"> Разовые посещения в связи с заболеванием</t>
  </si>
  <si>
    <t xml:space="preserve"> Посещения медицинских работников, имеющих среднее медицинское образование, ведущих самостоятельный прием</t>
  </si>
  <si>
    <t xml:space="preserve"> Посещения с другими целями (патронаж, выдача справок и иных медицинских документов и др.)</t>
  </si>
  <si>
    <t>Посещения МО, имеющих прикрепленное население</t>
  </si>
  <si>
    <t>Посещения МО, не имеющих прикрепленного населения</t>
  </si>
  <si>
    <t>Гериатрия</t>
  </si>
  <si>
    <t>Консультативные посещения</t>
  </si>
  <si>
    <t>первичный прием</t>
  </si>
  <si>
    <t>повторная консуль-тация</t>
  </si>
  <si>
    <t xml:space="preserve"> Посещения для проведения диспансеризации определенных групп взрослого населения (2 этап)</t>
  </si>
  <si>
    <t>Профилактический медосмотр взрослых, в том числе при первом посещении по поводу диспансерного наблюдения</t>
  </si>
  <si>
    <t>Диспансеризация взрослого населения</t>
  </si>
  <si>
    <t xml:space="preserve">(1 этап)  </t>
  </si>
  <si>
    <t xml:space="preserve">финансируемые по реестрам  </t>
  </si>
  <si>
    <t>ВСЕГО</t>
  </si>
  <si>
    <t> 5</t>
  </si>
  <si>
    <t>7 </t>
  </si>
  <si>
    <t>8 </t>
  </si>
  <si>
    <t>10 </t>
  </si>
  <si>
    <t>11 </t>
  </si>
  <si>
    <t xml:space="preserve">Объемы отдельных диагностических исследований, оказываемых в амбулаторно-поликлинических условиях, на 2020 год.                                                                                                                                                 </t>
  </si>
  <si>
    <t>Медицинская помощь, оказываемая в круглосуточных стационарах на 2020 год.</t>
  </si>
  <si>
    <t>Случаи госпитализации</t>
  </si>
  <si>
    <t>Всего в рамках программы ОМС</t>
  </si>
  <si>
    <t>ВМП</t>
  </si>
  <si>
    <t xml:space="preserve">В рамках базовой программы ОМС </t>
  </si>
  <si>
    <t>В рамках  сверхбазовой программы ОМС (долечивание)</t>
  </si>
  <si>
    <t>профиль "онкология"</t>
  </si>
  <si>
    <t>медицинская реабилитация</t>
  </si>
  <si>
    <t xml:space="preserve">Подуровень 1А                                                                                                                                                                    </t>
  </si>
  <si>
    <r>
      <t xml:space="preserve">Обособленное структурное подразделение ГБУЗ РБ ГКБ №13 г.Уфа , ранее именуемое </t>
    </r>
    <r>
      <rPr>
        <b/>
        <sz val="9"/>
        <rFont val="Times New Roman"/>
        <family val="1"/>
        <charset val="204"/>
      </rPr>
      <t>ГБУЗ РБ ГБ №12 г.Уфа</t>
    </r>
  </si>
  <si>
    <r>
      <t xml:space="preserve">Обособленное структурное подразделение ГБУЗ РБ ГБ г.Нефтекамск, ранее именуемое </t>
    </r>
    <r>
      <rPr>
        <b/>
        <sz val="9"/>
        <rFont val="Times New Roman"/>
        <family val="1"/>
        <charset val="204"/>
      </rPr>
      <t>ГБУЗ РБ Агидельская ГБ</t>
    </r>
  </si>
  <si>
    <r>
      <t xml:space="preserve">Обособленное структурное подразделение ГБУЗ РБ ЦГБ города Кумертау, ранее именуемое </t>
    </r>
    <r>
      <rPr>
        <b/>
        <sz val="9"/>
        <rFont val="Times New Roman"/>
        <family val="1"/>
        <charset val="204"/>
      </rPr>
      <t>ГБУЗ РБ Ермолаевская ЦРБ</t>
    </r>
  </si>
  <si>
    <r>
      <t xml:space="preserve">Обособленное структурное подразделение ГБУЗ РБ ГБ №4 города Стерлитамак ранее именуемое </t>
    </r>
    <r>
      <rPr>
        <b/>
        <sz val="9"/>
        <rFont val="Times New Roman"/>
        <family val="1"/>
        <charset val="204"/>
      </rPr>
      <t>ГБУЗ РБ Стерлитамакская ЦРП</t>
    </r>
  </si>
  <si>
    <r>
      <t xml:space="preserve">Обособленное структурное подразделение ГБУЗ РБ Городская больница №2 города Стерлитамак ранее именуемое </t>
    </r>
    <r>
      <rPr>
        <b/>
        <sz val="9"/>
        <rFont val="Times New Roman"/>
        <family val="1"/>
        <charset val="204"/>
      </rPr>
      <t>ГБУЗ РБ Стерлитамакская ЦРП</t>
    </r>
  </si>
  <si>
    <r>
      <t xml:space="preserve">Обособленное структурное подразделение ГБУЗ РБ ГКБ №21 г.Уфа , ранее именуемое </t>
    </r>
    <r>
      <rPr>
        <b/>
        <sz val="9"/>
        <rFont val="Times New Roman"/>
        <family val="1"/>
        <charset val="204"/>
      </rPr>
      <t>ГБУЗ РБ Уфимская ЦРП</t>
    </r>
  </si>
  <si>
    <t xml:space="preserve">Подуровень 1Б                                                                                                                                                                </t>
  </si>
  <si>
    <t xml:space="preserve">Подуровень 2А                                                                                                                                                              </t>
  </si>
  <si>
    <t>ГБУЗ РБ Городская больница №2 г.Стерлитамак (16008)</t>
  </si>
  <si>
    <r>
      <t xml:space="preserve">Обособленное структурное подразделение ГБУЗ РБ ГКБ № 1 города Стерлитамак, ранее именуемого </t>
    </r>
    <r>
      <rPr>
        <b/>
        <sz val="9"/>
        <rFont val="Times New Roman"/>
        <family val="1"/>
        <charset val="204"/>
      </rPr>
      <t>ГБУЗ РБ Городская больница № 2 г.Стерлитамак</t>
    </r>
  </si>
  <si>
    <r>
      <t xml:space="preserve">Обособленное структурное подразделение ГБУЗ РБ ГБ города Салават, ранее именуемое </t>
    </r>
    <r>
      <rPr>
        <b/>
        <sz val="9"/>
        <rFont val="Times New Roman"/>
        <family val="1"/>
        <charset val="204"/>
      </rPr>
      <t>ГБУЗ РБ Детская ГБ города Салават</t>
    </r>
  </si>
  <si>
    <r>
      <t xml:space="preserve">Обособленное структурное подразделение </t>
    </r>
    <r>
      <rPr>
        <b/>
        <sz val="9"/>
        <rFont val="Times New Roman"/>
        <family val="1"/>
        <charset val="204"/>
      </rPr>
      <t>Родильный дом</t>
    </r>
    <r>
      <rPr>
        <sz val="9"/>
        <rFont val="Times New Roman"/>
        <family val="1"/>
        <charset val="204"/>
      </rPr>
      <t xml:space="preserve"> ГБУЗ РБ ГБ г.Салават</t>
    </r>
  </si>
  <si>
    <r>
      <t xml:space="preserve">Обособленное структурное подразделение ГБУЗ Республиканская клиническая инфекционная больница, ранее именуемого </t>
    </r>
    <r>
      <rPr>
        <b/>
        <sz val="9"/>
        <rFont val="Times New Roman"/>
        <family val="1"/>
        <charset val="204"/>
      </rPr>
      <t>ГБУЗ РБ Городская инфекционная больница г.Стерлитамак</t>
    </r>
  </si>
  <si>
    <t xml:space="preserve">Подуровень 2Б                                                                                                                                                                                </t>
  </si>
  <si>
    <t xml:space="preserve">Подуровень 3А                                                                                                                                                   </t>
  </si>
  <si>
    <t xml:space="preserve">Подуровень 3Б                                                                                                                                                                          </t>
  </si>
  <si>
    <t xml:space="preserve">Подуровень 3В                                                                                                                                                        </t>
  </si>
  <si>
    <t xml:space="preserve">Подуровень 3Г                                                                                                                                                                                </t>
  </si>
  <si>
    <t>ФГБУЗ "МСЧ №142 ФМБА"</t>
  </si>
  <si>
    <t>ООО "Клиника глазных болезней" (г.Уфа)</t>
  </si>
  <si>
    <t>ООО "ММЦ "Клиника аллергологии и педиатрии" (г.Уфа)</t>
  </si>
  <si>
    <t>ООО РКСР "Здоровье нации" (г.Уфа)</t>
  </si>
  <si>
    <t>ООО "Санаторий "Зеленая роща" (г.Уфа)</t>
  </si>
  <si>
    <t xml:space="preserve">ООО санаторий "Юматово" </t>
  </si>
  <si>
    <t>ФБУН "Уфимский НИИ медицины труда и экологии человека"</t>
  </si>
  <si>
    <t>ГБУЗ РБ ГКБ Дёмского района г.Уфы</t>
  </si>
  <si>
    <t>ООО "ММЦ "Профилактическая медицина" (г.Уфа)</t>
  </si>
  <si>
    <t>ЧУЗ "КБ"РЖД - Медицина" г.Уфа"</t>
  </si>
  <si>
    <t>ГБУЗ Республиканская клиническая инфекционная больница</t>
  </si>
  <si>
    <t>ООО "МД Проект 2010" (г.Уфа)</t>
  </si>
  <si>
    <t>НСЗ</t>
  </si>
  <si>
    <t>Объем, перечень видов ВМП, финансовое обеспечение которых осуществляется за счет средств ОМС, установленные Комиссией на 2020 год</t>
  </si>
  <si>
    <t>№ группы ВМП</t>
  </si>
  <si>
    <t>Норматив финансовых затрат на единицу объема ВМП (руб.)</t>
  </si>
  <si>
    <t>ГАУЗ РКВД №1</t>
  </si>
  <si>
    <t>ГБУЗ РБ ГКБ №21 г. Уфа</t>
  </si>
  <si>
    <t>ГБУ  "УфНИИ ГБ АН РБ"</t>
  </si>
  <si>
    <t>ГБУЗ РБ ГБ №10 г. Уфа</t>
  </si>
  <si>
    <t>ГБУЗ РБ ГБ №13 г. Уфа</t>
  </si>
  <si>
    <t>ГБУЗ РБ ГДКБ № 17 г. Уфа</t>
  </si>
  <si>
    <t>ГАУЗ РБ ГКБ №18 г. Уфа</t>
  </si>
  <si>
    <t>ГБУЗ РБ РД №3 г. Уфа</t>
  </si>
  <si>
    <t>ГБУЗ ГБ г.Кумертау</t>
  </si>
  <si>
    <t>ГБУЗ РБ ГБ г.Нефтекакмск</t>
  </si>
  <si>
    <t>ГБУЗ РБ ГБ Салават</t>
  </si>
  <si>
    <t>ГБУЗ РБ КБ №1 г. Стерлитамак</t>
  </si>
  <si>
    <t>ООО "Медсервис" г.Салават</t>
  </si>
  <si>
    <t>ООО МД-Проект 2010</t>
  </si>
  <si>
    <t>ФГБОУ ВО БГМУ МЗ РФ</t>
  </si>
  <si>
    <t>ИТОГО без резерва</t>
  </si>
  <si>
    <t>ИТОГО с резервом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</si>
  <si>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</si>
  <si>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</si>
  <si>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</si>
  <si>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</si>
  <si>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</si>
  <si>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</si>
  <si>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</si>
  <si>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</si>
  <si>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</si>
  <si>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</si>
  <si>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</si>
  <si>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</si>
  <si>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</si>
  <si>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</si>
  <si>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</si>
  <si>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</si>
  <si>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</si>
  <si>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</si>
  <si>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</si>
  <si>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</si>
  <si>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Объемы оказания медицинской помощи в условиях дневных стационаров на 2020 год.</t>
  </si>
  <si>
    <t>(случаи госпитализации)</t>
  </si>
  <si>
    <t>Наименование учреждения здравоохранения</t>
  </si>
  <si>
    <t>В том числе</t>
  </si>
  <si>
    <t>ВМП  профиль "онкология"</t>
  </si>
  <si>
    <t>В рамках  сверхбазовой программы ОМС</t>
  </si>
  <si>
    <t>объем МП на лечение детей в ДС при АПУ не менее:</t>
  </si>
  <si>
    <t xml:space="preserve">ЭКО </t>
  </si>
  <si>
    <t>Онкология</t>
  </si>
  <si>
    <t>Медицинская реабилитация</t>
  </si>
  <si>
    <t>Иммуни-зация недоно-шенных</t>
  </si>
  <si>
    <t>гемо-диализ*</t>
  </si>
  <si>
    <t>взрослые</t>
  </si>
  <si>
    <t>дети</t>
  </si>
  <si>
    <t>ГАУЗ РБ Санаторий для детей Нур</t>
  </si>
  <si>
    <t>ГБУЗ РБ ГБ г.Нефтекамск</t>
  </si>
  <si>
    <t>Обособленное структурное подразделение ГБУЗ РБ ГКБ №1 г. Стерлитамак, ранее именуемое ГБУЗ РБ ГБ №2 г.Стерлитамак</t>
  </si>
  <si>
    <t>ГБУЗ РБ ГБ №2 г.Стерлитамак</t>
  </si>
  <si>
    <t>ГБУЗ РБ ГБ №4 г.Стерлитамак</t>
  </si>
  <si>
    <t>ГБУЗ РБ ГБ №1 г.Октябрьский</t>
  </si>
  <si>
    <t>ГБУЗ РБ ГИБ г.Стерлитамак</t>
  </si>
  <si>
    <t>ГБУЗ РБ ДБ г. Стерлитамак</t>
  </si>
  <si>
    <t>ОСП ГБУЗ РБ ГБ г.Нефтекамск, ранее именуемое ГБУЗ РБ Агидельская ГБ</t>
  </si>
  <si>
    <t>ОСП ГБУЗ РБ ЦГБ города Кумертау, ранее именуемое ГБУЗ РБ Ермолаевская ЦРБ</t>
  </si>
  <si>
    <t>ОСП ГБУЗ РБ ГБ города Салават, ранее именуемое ГБУЗ РБ Детская ГБ города Салават</t>
  </si>
  <si>
    <t>ОСП Родильный дом ГБУЗ РБ ГБ г.Салават</t>
  </si>
  <si>
    <t>ОСП ГБУЗ РБ ГБ №4 города Стерлитамак ранее именуемое ГБУЗ РБ Стерлитамакская ЦРП</t>
  </si>
  <si>
    <t>ОСП ГБУЗ РБ ГКБ №21 г.Уфа , ранее именуемое ГБУЗ РБ Уфимская ЦРП</t>
  </si>
  <si>
    <t>ООО «АНЭКО»</t>
  </si>
  <si>
    <t>ООО Еромед-Уфа</t>
  </si>
  <si>
    <t>ООО  "Клиника глазных болезней"</t>
  </si>
  <si>
    <t>ООО "Клиника современной флебологии"</t>
  </si>
  <si>
    <t xml:space="preserve">ООО "Лаборатория гемодиализа" </t>
  </si>
  <si>
    <t>ООО "Медсервис"</t>
  </si>
  <si>
    <t>ООО Медсервис (Верхнеяркеево)</t>
  </si>
  <si>
    <t xml:space="preserve">ООО "МД Проект 2010" </t>
  </si>
  <si>
    <t>ООО "ММЦ "Клиника аллергологии и педиатрии"</t>
  </si>
  <si>
    <t>ООО «МЦ МЕГИ»</t>
  </si>
  <si>
    <t xml:space="preserve">ООО МЦ "Семейный доктор" </t>
  </si>
  <si>
    <t>ООО РКСР Здоровье нации</t>
  </si>
  <si>
    <t>ООО «ЦМТ»</t>
  </si>
  <si>
    <t>ООО "Юхелф"</t>
  </si>
  <si>
    <t>Поликлиника УФИЦ РАН</t>
  </si>
  <si>
    <t>ФГБУЗ "Медико-санитарная часть № 142 Федерального медико-биологического агентства"</t>
  </si>
  <si>
    <t>ЧУЗ "РЖД-Медицина" г.Стерлитамак"</t>
  </si>
  <si>
    <t>ГБУЗ РБ ДП № 2 г.Уфа</t>
  </si>
  <si>
    <t>ГБУЗ РБ ДП № 3 г.Уфа</t>
  </si>
  <si>
    <t>ГБУЗ РБ Детская поликлиника № 4</t>
  </si>
  <si>
    <t>ГБУЗ РБ ДП № 5 г.Уфа</t>
  </si>
  <si>
    <t>ГБУЗ РБ ДП № 6 г.Уфа</t>
  </si>
  <si>
    <t>ГБУЗ РБ Поликлиника № 1 г Уфа</t>
  </si>
  <si>
    <t>ГБУЗ РБ Поликлиника № 2 г.Уфа</t>
  </si>
  <si>
    <t>ГБУЗ РБ Поликлиника № 32 г.Уфа</t>
  </si>
  <si>
    <t>ГБУЗ РБ Поликлиника № 38 г.Уфа</t>
  </si>
  <si>
    <t>ГБУЗ РБ Поликлиника № 43 г.Уфа</t>
  </si>
  <si>
    <t>ГБУЗ РБ Поликлиника № 44 г.Уфа</t>
  </si>
  <si>
    <t>ГБУЗ РБ Поликлиника № 46 г.Уфа</t>
  </si>
  <si>
    <t>ГБУЗ РБ Поликлиника № 48 г.Уфа</t>
  </si>
  <si>
    <t>ГБУЗ РБ Поликлиника № 50 г.Уфа</t>
  </si>
  <si>
    <t>ГБУЗ РБ Поликлиника № 51 г.Уфа</t>
  </si>
  <si>
    <t>ГБУЗ РБ Поликлиника № 52 г.Уфа</t>
  </si>
  <si>
    <t>ГБУЗ РБ ГКБ Демского района г.Уфа</t>
  </si>
  <si>
    <t>ГБУЗ РБ ГКБ № 5 г.Уфа</t>
  </si>
  <si>
    <t>ГБУЗ РБ ГКБ № 8 г.Уфа</t>
  </si>
  <si>
    <t>ГБУЗ РБ ГБ № 9 г.Уфа</t>
  </si>
  <si>
    <t>ГБУЗ РБ ГКБ № 10 г.Уфа</t>
  </si>
  <si>
    <t>ГБУЗ РБ ГБ № 12 г. Уфа</t>
  </si>
  <si>
    <t>ГБУЗ РБ ГКБ № 13 г. Уфа</t>
  </si>
  <si>
    <t>ГБУЗ РБ ГДКБ № 17 г.Уфа</t>
  </si>
  <si>
    <t>ГБУЗ РБ ГКБ № 18 г.Уфа</t>
  </si>
  <si>
    <t>ГБУЗ РБ РД № 3 г.Уфа</t>
  </si>
  <si>
    <t>ГБУЗ РКОД МЗ РБ</t>
  </si>
  <si>
    <t>ГБУЗ РБ ГКБ № 21 г. Уфа</t>
  </si>
  <si>
    <t>ГБУЗ РБ РКИБ</t>
  </si>
  <si>
    <t>ООО "ПЭТ-Технолоджи", в том числе:</t>
  </si>
  <si>
    <t>количество случаев</t>
  </si>
  <si>
    <t>-операции без имплантации референсных маркеров</t>
  </si>
  <si>
    <t>-операции с имплантацией референсных маркеров</t>
  </si>
  <si>
    <t>ООО "Центр ПЭТ-Технолоджи", в том числе:</t>
  </si>
  <si>
    <t>ООО "ММЦ Медикал Он Груп-Уфа"</t>
  </si>
  <si>
    <t>Обособленное структурное подразделение ГБУЗ РБ ГБ №2 города Стерлитамак (реорганизованное), ранее именуемое ГБУЗ РБ Стерлитамакская ЦРП</t>
  </si>
  <si>
    <t>Обособленное структурное подразделение ГБУЗ Республиканская клиническая инфекционная больница, ранее именуемое ГБУЗ РБ ГИБ г.Стерлитамак</t>
  </si>
  <si>
    <t>Объем, перечень видов ВМП, финансовое обеспечение которых осуществляется за счет средств ОМС, установленные Комиссией по дневному стационару на 2020 год.</t>
  </si>
  <si>
    <t>ООО "ПЭТ-Технолоджи"</t>
  </si>
  <si>
    <t>ООО "Центр ПЭТ-Технолоджи"</t>
  </si>
  <si>
    <t xml:space="preserve">Количество случаев  госпитализации </t>
  </si>
  <si>
    <t>Стоимость ВМП (руб.)</t>
  </si>
  <si>
    <t>Объемы сеансов (услуг) заместительной почечной терапии методами гемодиализа и перитонеального диализа на 2020 год</t>
  </si>
  <si>
    <t>Наименование МО</t>
  </si>
  <si>
    <t xml:space="preserve">Объемы 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</si>
  <si>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</si>
  <si>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</si>
  <si>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Медицинская помощь, оказываемая в амбулаторных условиях</t>
  </si>
  <si>
    <t>Круглосуточный стационар</t>
  </si>
  <si>
    <t xml:space="preserve"> В период госпитализации пациентов: </t>
  </si>
  <si>
    <t>Дневной стационар</t>
  </si>
  <si>
    <t>гемодиализ интермиттирующий высокопоточный (А18.05.002.001)</t>
  </si>
  <si>
    <t>перитонеальный диализ при нарушении ультрафильтации  (А18.30.001.003)</t>
  </si>
  <si>
    <t xml:space="preserve">Услуги диализа, оказываемые в отделениях фильтрации </t>
  </si>
  <si>
    <t>гемодиализ интермиттирующий низкопоточный (А18.05.002,
А18.05.002.002)</t>
  </si>
  <si>
    <t>гемодиафильтрация (А18.05.011)</t>
  </si>
  <si>
    <t>гемофильтрация крови продленная (А18.05.003.001)</t>
  </si>
  <si>
    <t>селективная гемосорбция липополисахаридов (А18.05.006.001)</t>
  </si>
  <si>
    <t>ООО "Лаборатория Гемодиализа"</t>
  </si>
  <si>
    <t>ООО "Сфера Эстейт"</t>
  </si>
  <si>
    <t>Прирост регистра пациентов (на 10%)</t>
  </si>
  <si>
    <t>ИТОГО с учетом прироста регистра пациентов на 10%</t>
  </si>
  <si>
    <t>Скорая медицинская помощь на 2020 год</t>
  </si>
  <si>
    <t>Объемы скорой медицинской помощи в рамках базовой программы ОМС по состоянию на 01.06.2020</t>
  </si>
  <si>
    <t>Фельдшерские</t>
  </si>
  <si>
    <t>из них с применением тромболи-тических препаратов</t>
  </si>
  <si>
    <t xml:space="preserve">Врачебные </t>
  </si>
  <si>
    <t>Специализи-рованные</t>
  </si>
  <si>
    <t>ГАУЗ РБ Учалинская ЦГБ</t>
  </si>
  <si>
    <t>ГБУЗ РБ ГБ № 1 города Октябрьский</t>
  </si>
  <si>
    <t>ГБУЗ РБ ГБ г. Кумертау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Ермолаевская ЦРБ)</t>
  </si>
  <si>
    <t>Обособленное структурное подразделение ГБУЗ РБ ГБ г. Кумертау, реорганизованное в соответствии с распоряжением Правительства Республики Башкортостан от 31.10.2014 № 1157-р, ранее именуемое ГБУЗ РБ Ермолаевская ЦРБ</t>
  </si>
  <si>
    <t>ГБУЗ РБ ГБ города Нефтекамск</t>
  </si>
  <si>
    <t>ГБУЗ РБ ГБ города Салават</t>
  </si>
  <si>
    <t>ГБУЗ РБ ССМП г.Стерлитамак</t>
  </si>
  <si>
    <t>ГБУЗ РБ ЦГБ города Сибай</t>
  </si>
  <si>
    <t>ГБУЗ РБ Чекмагушевкая ЦРБ</t>
  </si>
  <si>
    <t>ГБУЗ  РССМП и ЦМК</t>
  </si>
  <si>
    <t>ФГУЗ "МСЧ № 142 ФМБА" России</t>
  </si>
  <si>
    <t>Объемы медицинской помощи за пределами РБ</t>
  </si>
  <si>
    <t xml:space="preserve">ИТОГО </t>
  </si>
  <si>
    <t>Объемы всего на 2020 год</t>
  </si>
  <si>
    <t>План январь - март 2020 г.</t>
  </si>
  <si>
    <t>План апрель - декабрь 2020 г.</t>
  </si>
  <si>
    <t xml:space="preserve">Объемы всего </t>
  </si>
  <si>
    <t xml:space="preserve">в том числе:          </t>
  </si>
  <si>
    <t>Объемы всего</t>
  </si>
  <si>
    <t xml:space="preserve">в том числе:                                   </t>
  </si>
  <si>
    <t>посещения, финансируемые по реестрм</t>
  </si>
  <si>
    <t>объемы на травмпункты</t>
  </si>
  <si>
    <t>посещения финансируемые по реестрам</t>
  </si>
  <si>
    <t>посещения МО, имеющие прикрепленное население</t>
  </si>
  <si>
    <t>посещения МО, имеющие прикрепленное население по специальности "стоматология"</t>
  </si>
  <si>
    <t>приемное отделение
(для МО г. Уфы)</t>
  </si>
  <si>
    <t>посещения МО, не имеющих прикрепленное население</t>
  </si>
  <si>
    <t>финансируемые по реестрам по специальности "стоматология"</t>
  </si>
  <si>
    <t>по профилю "травматология и ортопедия"</t>
  </si>
  <si>
    <t>по профилю
"офтальмология"</t>
  </si>
  <si>
    <t>ООО "Академия здоровья" с. Киргиз-Мияки</t>
  </si>
  <si>
    <t xml:space="preserve">ООО "Дентал Стандарт " с. Бижбуляк </t>
  </si>
  <si>
    <t>ГБУЗ РБ Бирская СП</t>
  </si>
  <si>
    <t xml:space="preserve">ООО Дантист, г. Благовещенск    </t>
  </si>
  <si>
    <t>ГБУЗ РБ ГБ г.Кумертау - Ермолаевская ЦРБ</t>
  </si>
  <si>
    <t xml:space="preserve">ООО "Радуга"  с.Киргиз-Мияки                                             </t>
  </si>
  <si>
    <t>ГБУЗ РБ ГБ №4 г.Стерлитамак - Стерлитамакская ЦРП</t>
  </si>
  <si>
    <t>ГБУЗ РБ ГБ №2 г.Стерлитамак - Стерлитамакская ЦРП</t>
  </si>
  <si>
    <t>ГБУЗ РБ ГКБ №21 г.Уфа - Уфимская ЦРП</t>
  </si>
  <si>
    <t>ООО Ваша стоматология, 
г. Нефтекамск</t>
  </si>
  <si>
    <t>ООО ВИП, г. Нефтекамск</t>
  </si>
  <si>
    <t>ООО СтомЭл г. Нефтекамск</t>
  </si>
  <si>
    <t>ООО Корона,  г. Нефтекамск</t>
  </si>
  <si>
    <t>ООО Корона+,  г. Нефтекамск</t>
  </si>
  <si>
    <t>ООО Дантист+,  г. Нефтекамск</t>
  </si>
  <si>
    <t>ГБУЗ РБ ГБ г.Нефтекамск - Агидельская ГБ</t>
  </si>
  <si>
    <t>ГБУЗ РБ Стоматологическая поликлиника г.Октябрьский</t>
  </si>
  <si>
    <t>ООО Медсервис, г. Салават</t>
  </si>
  <si>
    <t>ГБУЗ РБ ГБ г.Салават - ДБ г.Салават</t>
  </si>
  <si>
    <t>ГБУЗ РБ Городская больница №2 г.Стерлитамак (закрыто)</t>
  </si>
  <si>
    <t xml:space="preserve">Обособленное структурное подразделение ГБУЗ РБ ГКБ №1 г. Стерлитамак, ранее именуемое ГБУЗ РБ ГБ №2 г.Стерлитамак </t>
  </si>
  <si>
    <t>ГБУЗ РБ ДБ г.Стерлитамак</t>
  </si>
  <si>
    <t>ГБУЗ РБ СП г.Стерлитамак</t>
  </si>
  <si>
    <t>ГБУЗ РБ ГКБ Демского района г.Уфы</t>
  </si>
  <si>
    <t>Обособленное структурное подразделение ГБУЗ РБ ГКБ №13 г.Уфа ранее именуемое ГБУЗ РБ ГБ №12 г.Уфа</t>
  </si>
  <si>
    <t>ГАУЗ РБ ГКБ №18 г.Уфа</t>
  </si>
  <si>
    <t>ООО Центр здоровья и красоты, с. Буздяк</t>
  </si>
  <si>
    <t xml:space="preserve">ООО Эмидент Люкс г. Уфа, ул. Айская, 16 </t>
  </si>
  <si>
    <t xml:space="preserve">ООО Эмидент Люкс г. Уфа, ул. Революционная, 99 </t>
  </si>
  <si>
    <t>ООО Эмидент Люкс г. Уфа, ул. Революционная, 57</t>
  </si>
  <si>
    <t xml:space="preserve">ООО Бомонд </t>
  </si>
  <si>
    <t>ГБУ УфНИИ ГБ АН РБ</t>
  </si>
  <si>
    <t>ГБУЗ РБ ГКБ №21 г.Уфа</t>
  </si>
  <si>
    <t xml:space="preserve">ГБУЗ РКИБ </t>
  </si>
  <si>
    <t>Объемы медицинской помощи в амбулаторно-поликлинических условиях  в неотложной форме на 2020 год.</t>
  </si>
  <si>
    <t>Объемы медицинской помощи на изоляторы в 2020г.</t>
  </si>
  <si>
    <t>Мероприятия по изоляции лиц, имеющих эпидемиологические и медицинские показания, связанные с новой коронавирусной инфекцией (COVID-19) (законченные случаи)</t>
  </si>
  <si>
    <t>ГБУЗ РБ ГБ № 2 г. Стерлитамак</t>
  </si>
  <si>
    <t>ГБУЗ РБ ГБ г. Салават</t>
  </si>
  <si>
    <t>ГБУЗ РБ ГБ г. Кумертау</t>
  </si>
  <si>
    <t>ГБУЗ РБ ЦГБ г. Сибай</t>
  </si>
  <si>
    <t>ГБУЗ РБ Баймакская ЦРБ</t>
  </si>
  <si>
    <t>ГБУЗ РБ ГБ № 1 г. Октябрьский</t>
  </si>
  <si>
    <t>ГБУЗ РБ ГКБ № 5 г. Уфа</t>
  </si>
  <si>
    <t>ГБУЗ РКВД № 1</t>
  </si>
  <si>
    <t>ФГБУ "Всероссийский Центр глазной и пластической хирургии" МЗ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</si>
</sst>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(\$* #,##0_);_(\$* \(#,##0\);_(\$* &quot;-&quot;_);_(@_)"/>
  </numFmts>
  <fonts count="10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9263">
    <xf numFmtId="0" fontId="0" fillId="0" borderId="0"/>
    <xf numFmtId="0" fontId="8" fillId="28" borderId="0" applyNumberFormat="0" applyBorder="0" applyAlignment="0" applyProtection="0"/>
    <xf numFmtId="0" fontId="8" fillId="29" borderId="0"/>
    <xf numFmtId="0" fontId="8" fillId="30" borderId="0" applyNumberFormat="0" applyBorder="0" applyAlignment="0" applyProtection="0"/>
    <xf numFmtId="0" fontId="8" fillId="31" borderId="0"/>
    <xf numFmtId="0" fontId="8" fillId="32" borderId="0" applyNumberFormat="0" applyBorder="0" applyAlignment="0" applyProtection="0"/>
    <xf numFmtId="0" fontId="8" fillId="33" borderId="0"/>
    <xf numFmtId="0" fontId="8" fillId="34" borderId="0" applyNumberFormat="0" applyBorder="0" applyAlignment="0" applyProtection="0"/>
    <xf numFmtId="0" fontId="8" fillId="35" borderId="0"/>
    <xf numFmtId="0" fontId="8" fillId="36" borderId="0" applyNumberFormat="0" applyBorder="0" applyAlignment="0" applyProtection="0"/>
    <xf numFmtId="0" fontId="8" fillId="37" borderId="0"/>
    <xf numFmtId="0" fontId="8" fillId="38" borderId="0" applyNumberFormat="0" applyBorder="0" applyAlignment="0" applyProtection="0"/>
    <xf numFmtId="0" fontId="8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/>
    <xf numFmtId="0" fontId="8" fillId="44" borderId="0" applyNumberFormat="0" applyBorder="0" applyAlignment="0" applyProtection="0"/>
    <xf numFmtId="0" fontId="8" fillId="45" borderId="0"/>
    <xf numFmtId="0" fontId="8" fillId="46" borderId="0" applyNumberFormat="0" applyBorder="0" applyAlignment="0" applyProtection="0"/>
    <xf numFmtId="0" fontId="8" fillId="47" borderId="0"/>
    <xf numFmtId="0" fontId="8" fillId="34" borderId="0" applyNumberFormat="0" applyBorder="0" applyAlignment="0" applyProtection="0"/>
    <xf numFmtId="0" fontId="8" fillId="35" borderId="0"/>
    <xf numFmtId="0" fontId="8" fillId="42" borderId="0" applyNumberFormat="0" applyBorder="0" applyAlignment="0" applyProtection="0"/>
    <xf numFmtId="0" fontId="8" fillId="43" borderId="0"/>
    <xf numFmtId="0" fontId="8" fillId="48" borderId="0" applyNumberFormat="0" applyBorder="0" applyAlignment="0" applyProtection="0"/>
    <xf numFmtId="0" fontId="8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58" borderId="0" applyNumberFormat="0" applyBorder="0" applyAlignment="0" applyProtection="0"/>
    <xf numFmtId="0" fontId="9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/>
    <xf numFmtId="0" fontId="9" fillId="62" borderId="0" applyNumberFormat="0" applyBorder="0" applyAlignment="0" applyProtection="0"/>
    <xf numFmtId="0" fontId="9" fillId="63" borderId="0"/>
    <xf numFmtId="0" fontId="9" fillId="64" borderId="0" applyNumberFormat="0" applyBorder="0" applyAlignment="0" applyProtection="0"/>
    <xf numFmtId="0" fontId="9" fillId="65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66" borderId="0" applyNumberFormat="0" applyBorder="0" applyAlignment="0" applyProtection="0"/>
    <xf numFmtId="0" fontId="9" fillId="67" borderId="0"/>
    <xf numFmtId="0" fontId="10" fillId="30" borderId="0" applyNumberFormat="0" applyBorder="0" applyAlignment="0" applyProtection="0"/>
    <xf numFmtId="0" fontId="10" fillId="31" borderId="0"/>
    <xf numFmtId="0" fontId="11" fillId="50" borderId="11" applyNumberFormat="0" applyAlignment="0" applyProtection="0"/>
    <xf numFmtId="0" fontId="11" fillId="68" borderId="11"/>
    <xf numFmtId="0" fontId="12" fillId="69" borderId="12" applyNumberFormat="0" applyAlignment="0" applyProtection="0"/>
    <xf numFmtId="0" fontId="12" fillId="70" borderId="0"/>
    <xf numFmtId="166" fontId="13" fillId="0" borderId="0"/>
    <xf numFmtId="167" fontId="13" fillId="0" borderId="0" applyBorder="0" applyProtection="0"/>
    <xf numFmtId="166" fontId="13" fillId="0" borderId="0" applyBorder="0" applyProtection="0"/>
    <xf numFmtId="166" fontId="13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3" borderId="0"/>
    <xf numFmtId="0" fontId="17" fillId="0" borderId="0" applyNumberFormat="0" applyBorder="0" applyProtection="0">
      <alignment horizontal="center"/>
    </xf>
    <xf numFmtId="0" fontId="18" fillId="0" borderId="13" applyNumberFormat="0" applyFill="0" applyAlignment="0" applyProtection="0"/>
    <xf numFmtId="0" fontId="18" fillId="0" borderId="13"/>
    <xf numFmtId="0" fontId="19" fillId="0" borderId="14" applyNumberFormat="0" applyFill="0" applyAlignment="0" applyProtection="0"/>
    <xf numFmtId="0" fontId="19" fillId="0" borderId="14"/>
    <xf numFmtId="0" fontId="20" fillId="0" borderId="15" applyNumberFormat="0" applyFill="0" applyAlignment="0" applyProtection="0"/>
    <xf numFmtId="0" fontId="20" fillId="0" borderId="15"/>
    <xf numFmtId="0" fontId="20" fillId="0" borderId="0" applyNumberFormat="0" applyFill="0" applyBorder="0" applyAlignment="0" applyProtection="0"/>
    <xf numFmtId="0" fontId="20" fillId="0" borderId="0"/>
    <xf numFmtId="0" fontId="17" fillId="0" borderId="0" applyNumberFormat="0" applyBorder="0" applyProtection="0">
      <alignment horizontal="center" textRotation="90"/>
    </xf>
    <xf numFmtId="0" fontId="21" fillId="38" borderId="11" applyNumberFormat="0" applyAlignment="0" applyProtection="0"/>
    <xf numFmtId="0" fontId="21" fillId="39" borderId="11"/>
    <xf numFmtId="0" fontId="22" fillId="0" borderId="16" applyNumberFormat="0" applyFill="0" applyAlignment="0" applyProtection="0"/>
    <xf numFmtId="0" fontId="22" fillId="0" borderId="0"/>
    <xf numFmtId="0" fontId="23" fillId="51" borderId="0" applyNumberFormat="0" applyBorder="0" applyAlignment="0" applyProtection="0"/>
    <xf numFmtId="0" fontId="23" fillId="71" borderId="0"/>
    <xf numFmtId="0" fontId="24" fillId="0" borderId="0"/>
    <xf numFmtId="0" fontId="25" fillId="41" borderId="17" applyNumberFormat="0" applyFont="0" applyAlignment="0" applyProtection="0"/>
    <xf numFmtId="0" fontId="26" fillId="72" borderId="17"/>
    <xf numFmtId="0" fontId="27" fillId="50" borderId="18" applyNumberFormat="0" applyAlignment="0" applyProtection="0"/>
    <xf numFmtId="0" fontId="27" fillId="68" borderId="18"/>
    <xf numFmtId="0" fontId="28" fillId="0" borderId="0" applyNumberFormat="0" applyBorder="0" applyProtection="0"/>
    <xf numFmtId="168" fontId="28" fillId="0" borderId="0" applyBorder="0" applyProtection="0"/>
    <xf numFmtId="0" fontId="29" fillId="0" borderId="0" applyNumberFormat="0" applyFill="0" applyBorder="0" applyAlignment="0" applyProtection="0"/>
    <xf numFmtId="0" fontId="29" fillId="0" borderId="0"/>
    <xf numFmtId="0" fontId="30" fillId="0" borderId="19" applyNumberFormat="0" applyFill="0" applyAlignment="0" applyProtection="0"/>
    <xf numFmtId="0" fontId="30" fillId="0" borderId="20"/>
    <xf numFmtId="0" fontId="31" fillId="0" borderId="0" applyNumberFormat="0" applyFill="0" applyBorder="0" applyAlignment="0" applyProtection="0"/>
    <xf numFmtId="0" fontId="31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9" borderId="11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4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68" borderId="18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4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68" borderId="11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2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15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22" applyNumberFormat="0" applyFill="0" applyAlignment="0" applyProtection="0"/>
    <xf numFmtId="0" fontId="20" fillId="0" borderId="15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0" fillId="0" borderId="1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0" fillId="0" borderId="23" applyNumberFormat="0" applyFill="0" applyAlignment="0" applyProtection="0"/>
    <xf numFmtId="0" fontId="30" fillId="0" borderId="2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69" borderId="12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2" fillId="69" borderId="12" applyNumberFormat="0" applyAlignment="0" applyProtection="0"/>
    <xf numFmtId="0" fontId="12" fillId="7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71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43" fillId="0" borderId="0"/>
    <xf numFmtId="0" fontId="4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1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41" borderId="17" applyNumberFormat="0" applyFont="0" applyAlignment="0" applyProtection="0"/>
    <xf numFmtId="0" fontId="49" fillId="41" borderId="17" applyNumberFormat="0" applyFont="0" applyAlignment="0" applyProtection="0"/>
    <xf numFmtId="0" fontId="43" fillId="41" borderId="17" applyNumberFormat="0" applyFont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1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2" fillId="0" borderId="16" applyNumberFormat="0" applyFill="0" applyAlignment="0" applyProtection="0"/>
    <xf numFmtId="0" fontId="22" fillId="0" borderId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9" fontId="58" fillId="0" borderId="0"/>
    <xf numFmtId="165" fontId="8" fillId="0" borderId="0" applyFont="0" applyFill="0" applyBorder="0" applyAlignment="0" applyProtection="0"/>
    <xf numFmtId="167" fontId="51" fillId="0" borderId="0"/>
    <xf numFmtId="167" fontId="51" fillId="0" borderId="0" applyFill="0" applyBorder="0" applyAlignment="0" applyProtection="0"/>
    <xf numFmtId="167" fontId="51" fillId="0" borderId="0"/>
    <xf numFmtId="164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6" fillId="0" borderId="0"/>
    <xf numFmtId="0" fontId="49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8" fillId="0" borderId="0"/>
    <xf numFmtId="0" fontId="1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25" fillId="0" borderId="0"/>
    <xf numFmtId="0" fontId="25" fillId="0" borderId="0"/>
  </cellStyleXfs>
  <cellXfs count="493">
    <xf numFmtId="0" fontId="0" fillId="0" borderId="0" xfId="0"/>
    <xf numFmtId="3" fontId="61" fillId="0" borderId="10" xfId="0" applyNumberFormat="1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3" fontId="61" fillId="0" borderId="0" xfId="0" applyNumberFormat="1" applyFont="1" applyFill="1" applyAlignment="1">
      <alignment horizontal="center" vertical="center"/>
    </xf>
    <xf numFmtId="3" fontId="61" fillId="0" borderId="42" xfId="0" applyNumberFormat="1" applyFont="1" applyFill="1" applyBorder="1" applyAlignment="1">
      <alignment horizontal="center" vertical="center"/>
    </xf>
    <xf numFmtId="3" fontId="61" fillId="0" borderId="42" xfId="0" applyNumberFormat="1" applyFont="1" applyFill="1" applyBorder="1" applyAlignment="1">
      <alignment horizontal="center" vertical="center" wrapText="1"/>
    </xf>
    <xf numFmtId="3" fontId="61" fillId="0" borderId="43" xfId="0" applyNumberFormat="1" applyFont="1" applyFill="1" applyBorder="1" applyAlignment="1">
      <alignment horizontal="center" vertical="center" wrapText="1"/>
    </xf>
    <xf numFmtId="3" fontId="61" fillId="0" borderId="44" xfId="0" applyNumberFormat="1" applyFont="1" applyFill="1" applyBorder="1" applyAlignment="1">
      <alignment horizontal="center" vertical="center"/>
    </xf>
    <xf numFmtId="3" fontId="61" fillId="0" borderId="41" xfId="0" applyNumberFormat="1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/>
    </xf>
    <xf numFmtId="3" fontId="61" fillId="0" borderId="31" xfId="59261" applyNumberFormat="1" applyFont="1" applyFill="1" applyBorder="1" applyAlignment="1">
      <alignment horizontal="left" vertical="center" wrapText="1"/>
    </xf>
    <xf numFmtId="3" fontId="61" fillId="0" borderId="46" xfId="59261" applyNumberFormat="1" applyFont="1" applyFill="1" applyBorder="1" applyAlignment="1">
      <alignment horizontal="left" vertical="center" wrapText="1"/>
    </xf>
    <xf numFmtId="3" fontId="61" fillId="0" borderId="28" xfId="58105" applyNumberFormat="1" applyFont="1" applyFill="1" applyBorder="1" applyAlignment="1">
      <alignment horizontal="center" vertical="center" wrapText="1"/>
    </xf>
    <xf numFmtId="3" fontId="61" fillId="0" borderId="47" xfId="0" applyNumberFormat="1" applyFont="1" applyFill="1" applyBorder="1" applyAlignment="1">
      <alignment horizontal="center" vertical="center"/>
    </xf>
    <xf numFmtId="3" fontId="61" fillId="0" borderId="48" xfId="0" applyNumberFormat="1" applyFont="1" applyFill="1" applyBorder="1" applyAlignment="1">
      <alignment horizontal="center" vertical="center"/>
    </xf>
    <xf numFmtId="3" fontId="61" fillId="0" borderId="28" xfId="0" applyNumberFormat="1" applyFont="1" applyFill="1" applyBorder="1" applyAlignment="1">
      <alignment horizontal="center" vertical="center"/>
    </xf>
    <xf numFmtId="3" fontId="61" fillId="0" borderId="31" xfId="0" applyNumberFormat="1" applyFont="1" applyFill="1" applyBorder="1" applyAlignment="1">
      <alignment horizontal="center" vertical="center"/>
    </xf>
    <xf numFmtId="3" fontId="61" fillId="0" borderId="49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Alignment="1">
      <alignment vertical="center"/>
    </xf>
    <xf numFmtId="0" fontId="61" fillId="0" borderId="50" xfId="0" applyFont="1" applyFill="1" applyBorder="1" applyAlignment="1">
      <alignment horizontal="center" vertical="center"/>
    </xf>
    <xf numFmtId="3" fontId="61" fillId="0" borderId="26" xfId="59261" applyNumberFormat="1" applyFont="1" applyFill="1" applyBorder="1" applyAlignment="1">
      <alignment horizontal="left" vertical="center" wrapText="1"/>
    </xf>
    <xf numFmtId="3" fontId="61" fillId="0" borderId="50" xfId="59261" applyNumberFormat="1" applyFont="1" applyFill="1" applyBorder="1" applyAlignment="1">
      <alignment horizontal="left" vertical="center" wrapText="1"/>
    </xf>
    <xf numFmtId="3" fontId="61" fillId="0" borderId="10" xfId="58105" applyNumberFormat="1" applyFont="1" applyFill="1" applyBorder="1" applyAlignment="1">
      <alignment horizontal="center" vertical="center" wrapText="1"/>
    </xf>
    <xf numFmtId="3" fontId="61" fillId="0" borderId="27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/>
    </xf>
    <xf numFmtId="3" fontId="61" fillId="0" borderId="26" xfId="0" applyNumberFormat="1" applyFont="1" applyFill="1" applyBorder="1" applyAlignment="1">
      <alignment horizontal="center" vertical="center"/>
    </xf>
    <xf numFmtId="3" fontId="61" fillId="0" borderId="51" xfId="0" applyNumberFormat="1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vertical="center" wrapText="1"/>
    </xf>
    <xf numFmtId="0" fontId="61" fillId="0" borderId="50" xfId="0" applyFont="1" applyFill="1" applyBorder="1" applyAlignment="1">
      <alignment vertical="center" wrapText="1"/>
    </xf>
    <xf numFmtId="3" fontId="61" fillId="0" borderId="26" xfId="59251" applyNumberFormat="1" applyFont="1" applyFill="1" applyBorder="1" applyAlignment="1">
      <alignment horizontal="left" vertical="center" wrapText="1"/>
    </xf>
    <xf numFmtId="3" fontId="61" fillId="0" borderId="50" xfId="59251" applyNumberFormat="1" applyFont="1" applyFill="1" applyBorder="1" applyAlignment="1">
      <alignment horizontal="left" vertical="center" wrapText="1"/>
    </xf>
    <xf numFmtId="1" fontId="61" fillId="0" borderId="26" xfId="59261" applyNumberFormat="1" applyFont="1" applyFill="1" applyBorder="1" applyAlignment="1">
      <alignment horizontal="left" vertical="center" wrapText="1"/>
    </xf>
    <xf numFmtId="1" fontId="61" fillId="0" borderId="50" xfId="59261" applyNumberFormat="1" applyFont="1" applyFill="1" applyBorder="1" applyAlignment="1">
      <alignment horizontal="left" vertical="center" wrapText="1"/>
    </xf>
    <xf numFmtId="4" fontId="61" fillId="0" borderId="26" xfId="59261" applyNumberFormat="1" applyFont="1" applyFill="1" applyBorder="1" applyAlignment="1">
      <alignment horizontal="left" vertical="center" wrapText="1"/>
    </xf>
    <xf numFmtId="4" fontId="61" fillId="0" borderId="50" xfId="59261" applyNumberFormat="1" applyFont="1" applyFill="1" applyBorder="1" applyAlignment="1">
      <alignment horizontal="left"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50" xfId="0" applyNumberFormat="1" applyFont="1" applyFill="1" applyBorder="1" applyAlignment="1">
      <alignment vertical="center" wrapText="1"/>
    </xf>
    <xf numFmtId="3" fontId="61" fillId="0" borderId="53" xfId="59261" applyNumberFormat="1" applyFont="1" applyFill="1" applyBorder="1" applyAlignment="1">
      <alignment horizontal="left" vertical="center" wrapText="1"/>
    </xf>
    <xf numFmtId="3" fontId="61" fillId="0" borderId="27" xfId="59261" applyNumberFormat="1" applyFont="1" applyFill="1" applyBorder="1" applyAlignment="1">
      <alignment horizontal="left" vertical="center" wrapText="1"/>
    </xf>
    <xf numFmtId="3" fontId="61" fillId="0" borderId="53" xfId="0" applyNumberFormat="1" applyFont="1" applyFill="1" applyBorder="1" applyAlignment="1">
      <alignment horizontal="center" vertical="center"/>
    </xf>
    <xf numFmtId="3" fontId="61" fillId="0" borderId="54" xfId="0" applyNumberFormat="1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center" vertical="center"/>
    </xf>
    <xf numFmtId="3" fontId="61" fillId="0" borderId="56" xfId="59251" applyNumberFormat="1" applyFont="1" applyFill="1" applyBorder="1" applyAlignment="1">
      <alignment horizontal="left" vertical="center" wrapText="1"/>
    </xf>
    <xf numFmtId="3" fontId="61" fillId="0" borderId="55" xfId="59251" applyNumberFormat="1" applyFont="1" applyFill="1" applyBorder="1" applyAlignment="1">
      <alignment horizontal="left" vertical="center" wrapText="1"/>
    </xf>
    <xf numFmtId="3" fontId="61" fillId="0" borderId="25" xfId="58105" applyNumberFormat="1" applyFont="1" applyFill="1" applyBorder="1" applyAlignment="1">
      <alignment horizontal="center" vertical="center" wrapText="1"/>
    </xf>
    <xf numFmtId="3" fontId="61" fillId="0" borderId="25" xfId="0" applyNumberFormat="1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vertical="center"/>
    </xf>
    <xf numFmtId="3" fontId="60" fillId="0" borderId="60" xfId="0" applyNumberFormat="1" applyFont="1" applyFill="1" applyBorder="1" applyAlignment="1">
      <alignment horizontal="center" vertical="center"/>
    </xf>
    <xf numFmtId="3" fontId="60" fillId="0" borderId="62" xfId="0" applyNumberFormat="1" applyFont="1" applyFill="1" applyBorder="1" applyAlignment="1">
      <alignment horizontal="center" vertical="center"/>
    </xf>
    <xf numFmtId="3" fontId="60" fillId="0" borderId="63" xfId="0" applyNumberFormat="1" applyFont="1" applyFill="1" applyBorder="1" applyAlignment="1">
      <alignment horizontal="center" vertical="center"/>
    </xf>
    <xf numFmtId="3" fontId="60" fillId="0" borderId="64" xfId="0" applyNumberFormat="1" applyFont="1" applyFill="1" applyBorder="1" applyAlignment="1">
      <alignment horizontal="center" vertical="center"/>
    </xf>
    <xf numFmtId="3" fontId="60" fillId="0" borderId="61" xfId="0" applyNumberFormat="1" applyFont="1" applyFill="1" applyBorder="1" applyAlignment="1">
      <alignment horizontal="center" vertical="center"/>
    </xf>
    <xf numFmtId="3" fontId="60" fillId="0" borderId="65" xfId="0" applyNumberFormat="1" applyFont="1" applyFill="1" applyBorder="1" applyAlignment="1">
      <alignment horizontal="center" vertical="center"/>
    </xf>
    <xf numFmtId="3" fontId="61" fillId="0" borderId="27" xfId="58105" applyNumberFormat="1" applyFont="1" applyFill="1" applyBorder="1" applyAlignment="1">
      <alignment horizontal="center" vertical="center" wrapText="1"/>
    </xf>
    <xf numFmtId="3" fontId="61" fillId="0" borderId="57" xfId="0" applyNumberFormat="1" applyFont="1" applyFill="1" applyBorder="1" applyAlignment="1">
      <alignment horizontal="center" vertical="center"/>
    </xf>
    <xf numFmtId="3" fontId="61" fillId="0" borderId="58" xfId="0" applyNumberFormat="1" applyFont="1" applyFill="1" applyBorder="1" applyAlignment="1">
      <alignment horizontal="center" vertical="center"/>
    </xf>
    <xf numFmtId="3" fontId="61" fillId="0" borderId="59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3" fontId="63" fillId="0" borderId="0" xfId="0" applyNumberFormat="1" applyFont="1" applyFill="1" applyAlignment="1">
      <alignment horizontal="center" vertical="center"/>
    </xf>
    <xf numFmtId="3" fontId="63" fillId="0" borderId="40" xfId="0" applyNumberFormat="1" applyFont="1" applyFill="1" applyBorder="1" applyAlignment="1">
      <alignment horizontal="center" vertical="center" wrapText="1" shrinkToFit="1"/>
    </xf>
    <xf numFmtId="3" fontId="63" fillId="0" borderId="42" xfId="0" applyNumberFormat="1" applyFont="1" applyFill="1" applyBorder="1" applyAlignment="1">
      <alignment horizontal="center" vertical="center" wrapText="1" shrinkToFit="1"/>
    </xf>
    <xf numFmtId="0" fontId="63" fillId="0" borderId="46" xfId="0" applyFont="1" applyFill="1" applyBorder="1" applyAlignment="1">
      <alignment horizontal="center" vertical="center"/>
    </xf>
    <xf numFmtId="3" fontId="63" fillId="0" borderId="47" xfId="59261" applyNumberFormat="1" applyFont="1" applyFill="1" applyBorder="1" applyAlignment="1">
      <alignment horizontal="left" vertical="center" wrapText="1"/>
    </xf>
    <xf numFmtId="3" fontId="63" fillId="0" borderId="46" xfId="0" applyNumberFormat="1" applyFont="1" applyFill="1" applyBorder="1" applyAlignment="1">
      <alignment horizontal="center" vertical="center"/>
    </xf>
    <xf numFmtId="3" fontId="63" fillId="0" borderId="48" xfId="0" applyNumberFormat="1" applyFont="1" applyFill="1" applyBorder="1" applyAlignment="1">
      <alignment horizontal="center" vertical="center"/>
    </xf>
    <xf numFmtId="3" fontId="63" fillId="0" borderId="28" xfId="0" applyNumberFormat="1" applyFont="1" applyFill="1" applyBorder="1" applyAlignment="1">
      <alignment horizontal="center" vertical="center"/>
    </xf>
    <xf numFmtId="3" fontId="63" fillId="0" borderId="31" xfId="0" applyNumberFormat="1" applyFont="1" applyFill="1" applyBorder="1" applyAlignment="1">
      <alignment horizontal="center" vertical="center"/>
    </xf>
    <xf numFmtId="3" fontId="63" fillId="0" borderId="76" xfId="0" applyNumberFormat="1" applyFont="1" applyFill="1" applyBorder="1" applyAlignment="1">
      <alignment horizontal="center" vertical="center"/>
    </xf>
    <xf numFmtId="3" fontId="63" fillId="0" borderId="47" xfId="0" applyNumberFormat="1" applyFont="1" applyFill="1" applyBorder="1" applyAlignment="1">
      <alignment horizontal="center" vertical="center"/>
    </xf>
    <xf numFmtId="3" fontId="63" fillId="0" borderId="77" xfId="0" applyNumberFormat="1" applyFont="1" applyFill="1" applyBorder="1" applyAlignment="1">
      <alignment horizontal="center" vertical="center"/>
    </xf>
    <xf numFmtId="0" fontId="63" fillId="0" borderId="50" xfId="0" applyFont="1" applyFill="1" applyBorder="1" applyAlignment="1">
      <alignment horizontal="center" vertical="center"/>
    </xf>
    <xf numFmtId="3" fontId="63" fillId="0" borderId="53" xfId="59261" applyNumberFormat="1" applyFont="1" applyFill="1" applyBorder="1" applyAlignment="1">
      <alignment horizontal="left" vertical="center" wrapText="1"/>
    </xf>
    <xf numFmtId="3" fontId="63" fillId="0" borderId="50" xfId="0" applyNumberFormat="1" applyFont="1" applyFill="1" applyBorder="1" applyAlignment="1">
      <alignment horizontal="center" vertical="center"/>
    </xf>
    <xf numFmtId="3" fontId="63" fillId="0" borderId="27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/>
    </xf>
    <xf numFmtId="3" fontId="63" fillId="0" borderId="69" xfId="0" applyNumberFormat="1" applyFont="1" applyFill="1" applyBorder="1" applyAlignment="1">
      <alignment horizontal="center" vertical="center"/>
    </xf>
    <xf numFmtId="3" fontId="63" fillId="0" borderId="53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3" fontId="63" fillId="0" borderId="53" xfId="59251" applyNumberFormat="1" applyFont="1" applyFill="1" applyBorder="1" applyAlignment="1">
      <alignment horizontal="left" vertical="center" wrapText="1"/>
    </xf>
    <xf numFmtId="1" fontId="63" fillId="0" borderId="53" xfId="59261" applyNumberFormat="1" applyFont="1" applyFill="1" applyBorder="1" applyAlignment="1">
      <alignment horizontal="left" vertical="center" wrapText="1"/>
    </xf>
    <xf numFmtId="3" fontId="63" fillId="0" borderId="53" xfId="0" applyNumberFormat="1" applyFont="1" applyFill="1" applyBorder="1" applyAlignment="1">
      <alignment vertical="center" wrapText="1"/>
    </xf>
    <xf numFmtId="4" fontId="63" fillId="0" borderId="53" xfId="59261" applyNumberFormat="1" applyFont="1" applyFill="1" applyBorder="1" applyAlignment="1">
      <alignment horizontal="left" vertical="center" wrapText="1"/>
    </xf>
    <xf numFmtId="0" fontId="63" fillId="0" borderId="55" xfId="0" applyFont="1" applyFill="1" applyBorder="1" applyAlignment="1">
      <alignment horizontal="center" vertical="center"/>
    </xf>
    <xf numFmtId="3" fontId="63" fillId="0" borderId="58" xfId="0" applyNumberFormat="1" applyFont="1" applyFill="1" applyBorder="1" applyAlignment="1">
      <alignment vertical="center" wrapText="1"/>
    </xf>
    <xf numFmtId="3" fontId="63" fillId="0" borderId="55" xfId="0" applyNumberFormat="1" applyFont="1" applyFill="1" applyBorder="1" applyAlignment="1">
      <alignment horizontal="center" vertical="center"/>
    </xf>
    <xf numFmtId="3" fontId="63" fillId="0" borderId="57" xfId="0" applyNumberFormat="1" applyFont="1" applyFill="1" applyBorder="1" applyAlignment="1">
      <alignment horizontal="center" vertical="center"/>
    </xf>
    <xf numFmtId="3" fontId="63" fillId="0" borderId="25" xfId="0" applyNumberFormat="1" applyFont="1" applyFill="1" applyBorder="1" applyAlignment="1">
      <alignment horizontal="center" vertical="center"/>
    </xf>
    <xf numFmtId="3" fontId="63" fillId="0" borderId="52" xfId="0" applyNumberFormat="1" applyFont="1" applyFill="1" applyBorder="1" applyAlignment="1">
      <alignment horizontal="center" vertical="center"/>
    </xf>
    <xf numFmtId="3" fontId="63" fillId="0" borderId="58" xfId="0" applyNumberFormat="1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72" fillId="0" borderId="61" xfId="0" applyFont="1" applyFill="1" applyBorder="1" applyAlignment="1">
      <alignment vertical="center"/>
    </xf>
    <xf numFmtId="3" fontId="72" fillId="0" borderId="60" xfId="0" applyNumberFormat="1" applyFont="1" applyFill="1" applyBorder="1" applyAlignment="1">
      <alignment horizontal="center" vertical="center"/>
    </xf>
    <xf numFmtId="3" fontId="72" fillId="0" borderId="62" xfId="0" applyNumberFormat="1" applyFont="1" applyFill="1" applyBorder="1" applyAlignment="1">
      <alignment horizontal="center" vertical="center"/>
    </xf>
    <xf numFmtId="3" fontId="72" fillId="0" borderId="61" xfId="0" applyNumberFormat="1" applyFont="1" applyFill="1" applyBorder="1" applyAlignment="1">
      <alignment horizontal="center" vertical="center"/>
    </xf>
    <xf numFmtId="3" fontId="72" fillId="0" borderId="78" xfId="0" applyNumberFormat="1" applyFont="1" applyFill="1" applyBorder="1" applyAlignment="1">
      <alignment horizontal="center" vertical="center"/>
    </xf>
    <xf numFmtId="3" fontId="72" fillId="0" borderId="63" xfId="0" applyNumberFormat="1" applyFont="1" applyFill="1" applyBorder="1" applyAlignment="1">
      <alignment horizontal="center" vertical="center"/>
    </xf>
    <xf numFmtId="3" fontId="72" fillId="0" borderId="79" xfId="0" applyNumberFormat="1" applyFont="1" applyFill="1" applyBorder="1" applyAlignment="1">
      <alignment horizontal="center" vertical="center"/>
    </xf>
    <xf numFmtId="0" fontId="67" fillId="0" borderId="0" xfId="0" applyFont="1" applyFill="1"/>
    <xf numFmtId="0" fontId="67" fillId="0" borderId="0" xfId="0" applyFont="1" applyFill="1" applyAlignment="1">
      <alignment horizontal="justify" vertical="center"/>
    </xf>
    <xf numFmtId="4" fontId="61" fillId="0" borderId="10" xfId="0" applyNumberFormat="1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vertical="center" wrapText="1"/>
    </xf>
    <xf numFmtId="4" fontId="61" fillId="0" borderId="10" xfId="59262" applyNumberFormat="1" applyFont="1" applyFill="1" applyBorder="1" applyAlignment="1">
      <alignment vertical="center" wrapText="1"/>
    </xf>
    <xf numFmtId="4" fontId="75" fillId="0" borderId="10" xfId="59262" applyNumberFormat="1" applyFont="1" applyFill="1" applyBorder="1" applyAlignment="1">
      <alignment horizontal="left" vertical="center" wrapText="1"/>
    </xf>
    <xf numFmtId="4" fontId="61" fillId="0" borderId="10" xfId="59262" applyNumberFormat="1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center" wrapText="1"/>
    </xf>
    <xf numFmtId="3" fontId="61" fillId="0" borderId="27" xfId="59247" applyNumberFormat="1" applyFont="1" applyFill="1" applyBorder="1" applyAlignment="1">
      <alignment vertical="center" wrapText="1"/>
    </xf>
    <xf numFmtId="0" fontId="71" fillId="0" borderId="0" xfId="0" applyFont="1" applyFill="1" applyAlignment="1">
      <alignment horizontal="left" vertical="center" wrapText="1"/>
    </xf>
    <xf numFmtId="0" fontId="75" fillId="0" borderId="10" xfId="0" applyFont="1" applyFill="1" applyBorder="1" applyAlignment="1">
      <alignment wrapText="1"/>
    </xf>
    <xf numFmtId="4" fontId="75" fillId="0" borderId="10" xfId="0" applyNumberFormat="1" applyFont="1" applyFill="1" applyBorder="1" applyAlignment="1">
      <alignment vertical="center" wrapText="1"/>
    </xf>
    <xf numFmtId="3" fontId="6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9" fillId="0" borderId="10" xfId="0" applyNumberFormat="1" applyFont="1" applyFill="1" applyBorder="1" applyAlignment="1" applyProtection="1">
      <alignment horizontal="left" vertical="center"/>
      <protection locked="0"/>
    </xf>
    <xf numFmtId="4" fontId="69" fillId="0" borderId="57" xfId="59249" applyNumberFormat="1" applyFont="1" applyFill="1" applyBorder="1" applyAlignment="1">
      <alignment horizontal="left" vertical="center" wrapText="1"/>
    </xf>
    <xf numFmtId="3" fontId="60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3" fontId="77" fillId="0" borderId="10" xfId="57572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77" fillId="0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3" fontId="77" fillId="0" borderId="28" xfId="57572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2" fillId="0" borderId="10" xfId="0" applyFont="1" applyFill="1" applyBorder="1" applyAlignment="1">
      <alignment horizontal="center" vertical="center"/>
    </xf>
    <xf numFmtId="3" fontId="72" fillId="0" borderId="10" xfId="0" applyNumberFormat="1" applyFont="1" applyFill="1" applyBorder="1" applyAlignment="1">
      <alignment horizontal="left" vertical="center"/>
    </xf>
    <xf numFmtId="3" fontId="78" fillId="0" borderId="10" xfId="0" applyNumberFormat="1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 wrapText="1"/>
    </xf>
    <xf numFmtId="0" fontId="77" fillId="0" borderId="10" xfId="57572" applyFont="1" applyFill="1" applyBorder="1" applyAlignment="1">
      <alignment horizontal="center" vertical="center" wrapText="1"/>
    </xf>
    <xf numFmtId="0" fontId="77" fillId="0" borderId="28" xfId="57572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77" fillId="0" borderId="27" xfId="57572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vertical="center" wrapText="1"/>
    </xf>
    <xf numFmtId="3" fontId="70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vertical="center" wrapText="1"/>
    </xf>
    <xf numFmtId="3" fontId="70" fillId="74" borderId="10" xfId="0" applyNumberFormat="1" applyFont="1" applyFill="1" applyBorder="1" applyAlignment="1">
      <alignment horizontal="center" vertical="center"/>
    </xf>
    <xf numFmtId="0" fontId="70" fillId="74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3" fontId="73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3" fontId="70" fillId="0" borderId="10" xfId="0" applyNumberFormat="1" applyFont="1" applyFill="1" applyBorder="1" applyAlignment="1">
      <alignment horizontal="center" vertical="center"/>
    </xf>
    <xf numFmtId="0" fontId="74" fillId="0" borderId="0" xfId="0" applyFont="1" applyFill="1"/>
    <xf numFmtId="0" fontId="69" fillId="0" borderId="0" xfId="0" applyFont="1" applyFill="1"/>
    <xf numFmtId="3" fontId="62" fillId="0" borderId="10" xfId="59248" applyNumberFormat="1" applyFont="1" applyFill="1" applyBorder="1" applyAlignment="1">
      <alignment horizontal="center" vertical="center" wrapText="1"/>
    </xf>
    <xf numFmtId="0" fontId="61" fillId="0" borderId="10" xfId="59247" applyFont="1" applyFill="1" applyBorder="1" applyAlignment="1">
      <alignment horizontal="center" vertical="center"/>
    </xf>
    <xf numFmtId="4" fontId="61" fillId="0" borderId="10" xfId="59247" applyNumberFormat="1" applyFont="1" applyFill="1" applyBorder="1" applyAlignment="1">
      <alignment horizontal="left" vertical="center" wrapText="1"/>
    </xf>
    <xf numFmtId="3" fontId="61" fillId="0" borderId="10" xfId="59247" applyNumberFormat="1" applyFont="1" applyFill="1" applyBorder="1" applyAlignment="1">
      <alignment horizontal="center" vertical="center" wrapText="1"/>
    </xf>
    <xf numFmtId="4" fontId="61" fillId="0" borderId="10" xfId="59247" applyNumberFormat="1" applyFont="1" applyFill="1" applyBorder="1" applyAlignment="1">
      <alignment vertical="center" wrapText="1"/>
    </xf>
    <xf numFmtId="3" fontId="75" fillId="0" borderId="10" xfId="59247" applyNumberFormat="1" applyFont="1" applyFill="1" applyBorder="1" applyAlignment="1">
      <alignment horizontal="center" vertical="center" wrapText="1"/>
    </xf>
    <xf numFmtId="0" fontId="61" fillId="0" borderId="28" xfId="59247" applyFont="1" applyFill="1" applyBorder="1" applyAlignment="1">
      <alignment horizontal="center" vertical="center"/>
    </xf>
    <xf numFmtId="4" fontId="61" fillId="0" borderId="10" xfId="57748" applyNumberFormat="1" applyFont="1" applyFill="1" applyBorder="1" applyAlignment="1">
      <alignment horizontal="left" vertical="center" wrapText="1"/>
    </xf>
    <xf numFmtId="3" fontId="61" fillId="0" borderId="10" xfId="59247" applyNumberFormat="1" applyFont="1" applyFill="1" applyBorder="1" applyAlignment="1">
      <alignment vertical="center" wrapText="1"/>
    </xf>
    <xf numFmtId="3" fontId="75" fillId="0" borderId="10" xfId="59247" applyNumberFormat="1" applyFont="1" applyFill="1" applyBorder="1" applyAlignment="1">
      <alignment vertical="center" wrapText="1"/>
    </xf>
    <xf numFmtId="3" fontId="71" fillId="0" borderId="10" xfId="59247" applyNumberFormat="1" applyFont="1" applyFill="1" applyBorder="1" applyAlignment="1">
      <alignment horizontal="center" vertical="center" wrapText="1"/>
    </xf>
    <xf numFmtId="4" fontId="61" fillId="0" borderId="10" xfId="59248" applyNumberFormat="1" applyFont="1" applyFill="1" applyBorder="1" applyAlignment="1">
      <alignment vertical="center" wrapText="1"/>
    </xf>
    <xf numFmtId="3" fontId="60" fillId="0" borderId="10" xfId="59247" applyNumberFormat="1" applyFont="1" applyFill="1" applyBorder="1" applyAlignment="1">
      <alignment horizontal="left" vertical="center"/>
    </xf>
    <xf numFmtId="3" fontId="60" fillId="0" borderId="10" xfId="59247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Alignment="1">
      <alignment horizontal="center" vertical="center"/>
    </xf>
    <xf numFmtId="3" fontId="67" fillId="0" borderId="10" xfId="58105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 vertical="center"/>
    </xf>
    <xf numFmtId="3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horizontal="center" vertical="center"/>
    </xf>
    <xf numFmtId="3" fontId="61" fillId="74" borderId="0" xfId="0" applyNumberFormat="1" applyFont="1" applyFill="1"/>
    <xf numFmtId="0" fontId="61" fillId="74" borderId="0" xfId="0" applyFont="1" applyFill="1"/>
    <xf numFmtId="0" fontId="60" fillId="74" borderId="0" xfId="0" applyFont="1" applyFill="1" applyAlignment="1">
      <alignment horizontal="center" vertical="center"/>
    </xf>
    <xf numFmtId="3" fontId="61" fillId="74" borderId="0" xfId="0" applyNumberFormat="1" applyFont="1" applyFill="1" applyBorder="1" applyAlignment="1">
      <alignment horizontal="right" vertical="center"/>
    </xf>
    <xf numFmtId="0" fontId="63" fillId="74" borderId="0" xfId="0" applyFont="1" applyFill="1"/>
    <xf numFmtId="0" fontId="63" fillId="74" borderId="0" xfId="0" applyFont="1" applyFill="1" applyAlignment="1">
      <alignment horizontal="center" vertical="center"/>
    </xf>
    <xf numFmtId="0" fontId="61" fillId="74" borderId="10" xfId="0" applyFont="1" applyFill="1" applyBorder="1" applyAlignment="1">
      <alignment horizontal="center" vertical="center" wrapText="1"/>
    </xf>
    <xf numFmtId="3" fontId="61" fillId="74" borderId="10" xfId="0" applyNumberFormat="1" applyFont="1" applyFill="1" applyBorder="1"/>
    <xf numFmtId="0" fontId="82" fillId="75" borderId="10" xfId="0" applyFont="1" applyFill="1" applyBorder="1" applyAlignment="1">
      <alignment horizontal="left" vertical="center"/>
    </xf>
    <xf numFmtId="3" fontId="61" fillId="75" borderId="10" xfId="0" applyNumberFormat="1" applyFont="1" applyFill="1" applyBorder="1" applyAlignment="1">
      <alignment horizontal="center" vertical="center"/>
    </xf>
    <xf numFmtId="0" fontId="62" fillId="74" borderId="10" xfId="0" applyFont="1" applyFill="1" applyBorder="1" applyAlignment="1">
      <alignment horizontal="center" vertical="center"/>
    </xf>
    <xf numFmtId="3" fontId="61" fillId="74" borderId="10" xfId="0" applyNumberFormat="1" applyFont="1" applyFill="1" applyBorder="1" applyAlignment="1">
      <alignment horizontal="center" vertical="center"/>
    </xf>
    <xf numFmtId="0" fontId="62" fillId="74" borderId="10" xfId="0" applyFont="1" applyFill="1" applyBorder="1" applyAlignment="1">
      <alignment wrapText="1"/>
    </xf>
    <xf numFmtId="0" fontId="82" fillId="75" borderId="10" xfId="0" applyFont="1" applyFill="1" applyBorder="1" applyAlignment="1">
      <alignment vertical="center" wrapText="1"/>
    </xf>
    <xf numFmtId="3" fontId="61" fillId="75" borderId="10" xfId="0" applyNumberFormat="1" applyFont="1" applyFill="1" applyBorder="1" applyAlignment="1">
      <alignment horizontal="center"/>
    </xf>
    <xf numFmtId="3" fontId="60" fillId="75" borderId="10" xfId="0" applyNumberFormat="1" applyFont="1" applyFill="1" applyBorder="1" applyAlignment="1">
      <alignment horizontal="center" vertical="center"/>
    </xf>
    <xf numFmtId="3" fontId="61" fillId="74" borderId="10" xfId="0" applyNumberFormat="1" applyFont="1" applyFill="1" applyBorder="1" applyAlignment="1">
      <alignment horizontal="center"/>
    </xf>
    <xf numFmtId="3" fontId="61" fillId="75" borderId="10" xfId="0" applyNumberFormat="1" applyFont="1" applyFill="1" applyBorder="1"/>
    <xf numFmtId="0" fontId="61" fillId="74" borderId="0" xfId="0" applyFont="1" applyFill="1" applyAlignment="1">
      <alignment vertical="center"/>
    </xf>
    <xf numFmtId="3" fontId="63" fillId="74" borderId="10" xfId="0" applyNumberFormat="1" applyFont="1" applyFill="1" applyBorder="1" applyAlignment="1">
      <alignment horizontal="center" vertical="center" wrapText="1"/>
    </xf>
    <xf numFmtId="0" fontId="62" fillId="74" borderId="10" xfId="0" applyFont="1" applyFill="1" applyBorder="1" applyAlignment="1">
      <alignment vertical="center" wrapText="1"/>
    </xf>
    <xf numFmtId="0" fontId="82" fillId="76" borderId="10" xfId="0" applyFont="1" applyFill="1" applyBorder="1" applyAlignment="1">
      <alignment horizontal="center" vertical="center"/>
    </xf>
    <xf numFmtId="0" fontId="82" fillId="76" borderId="10" xfId="0" applyFont="1" applyFill="1" applyBorder="1" applyAlignment="1">
      <alignment horizontal="right" wrapText="1"/>
    </xf>
    <xf numFmtId="3" fontId="60" fillId="76" borderId="10" xfId="0" applyNumberFormat="1" applyFont="1" applyFill="1" applyBorder="1" applyAlignment="1">
      <alignment horizontal="center"/>
    </xf>
    <xf numFmtId="0" fontId="60" fillId="74" borderId="0" xfId="0" applyFont="1" applyFill="1"/>
    <xf numFmtId="0" fontId="82" fillId="74" borderId="10" xfId="0" applyFont="1" applyFill="1" applyBorder="1" applyAlignment="1">
      <alignment horizontal="center" vertical="center"/>
    </xf>
    <xf numFmtId="4" fontId="82" fillId="74" borderId="10" xfId="0" applyNumberFormat="1" applyFont="1" applyFill="1" applyBorder="1" applyAlignment="1">
      <alignment vertical="center" wrapText="1"/>
    </xf>
    <xf numFmtId="3" fontId="61" fillId="74" borderId="10" xfId="57736" applyNumberFormat="1" applyFont="1" applyFill="1" applyBorder="1" applyAlignment="1" applyProtection="1">
      <alignment horizontal="center" vertical="center" wrapText="1"/>
      <protection locked="0" hidden="1"/>
    </xf>
    <xf numFmtId="0" fontId="69" fillId="74" borderId="0" xfId="57846" applyFont="1" applyFill="1" applyProtection="1">
      <protection locked="0"/>
    </xf>
    <xf numFmtId="0" fontId="70" fillId="74" borderId="10" xfId="57846" applyFont="1" applyFill="1" applyBorder="1" applyAlignment="1" applyProtection="1">
      <alignment horizontal="center" vertical="center" wrapText="1"/>
      <protection locked="0"/>
    </xf>
    <xf numFmtId="0" fontId="85" fillId="74" borderId="25" xfId="57846" applyFont="1" applyFill="1" applyBorder="1" applyAlignment="1" applyProtection="1">
      <alignment vertical="center" wrapText="1"/>
      <protection locked="0"/>
    </xf>
    <xf numFmtId="3" fontId="69" fillId="74" borderId="25" xfId="57846" applyNumberFormat="1" applyFont="1" applyFill="1" applyBorder="1" applyAlignment="1" applyProtection="1">
      <alignment horizontal="center" vertical="center"/>
      <protection locked="0"/>
    </xf>
    <xf numFmtId="3" fontId="86" fillId="74" borderId="25" xfId="57846" applyNumberFormat="1" applyFont="1" applyFill="1" applyBorder="1" applyAlignment="1" applyProtection="1">
      <alignment horizontal="center" vertical="center"/>
      <protection locked="0"/>
    </xf>
    <xf numFmtId="3" fontId="69" fillId="74" borderId="10" xfId="57846" applyNumberFormat="1" applyFont="1" applyFill="1" applyBorder="1" applyAlignment="1" applyProtection="1">
      <alignment horizontal="center" vertical="center"/>
      <protection locked="0"/>
    </xf>
    <xf numFmtId="3" fontId="86" fillId="74" borderId="10" xfId="57846" applyNumberFormat="1" applyFont="1" applyFill="1" applyBorder="1" applyAlignment="1" applyProtection="1">
      <alignment horizontal="center" vertical="center"/>
      <protection locked="0"/>
    </xf>
    <xf numFmtId="0" fontId="85" fillId="74" borderId="10" xfId="57846" applyFont="1" applyFill="1" applyBorder="1" applyAlignment="1" applyProtection="1">
      <alignment vertical="center" wrapText="1"/>
      <protection locked="0"/>
    </xf>
    <xf numFmtId="3" fontId="69" fillId="74" borderId="10" xfId="57846" applyNumberFormat="1" applyFont="1" applyFill="1" applyBorder="1" applyAlignment="1" applyProtection="1">
      <alignment vertical="center"/>
      <protection locked="0"/>
    </xf>
    <xf numFmtId="3" fontId="86" fillId="74" borderId="10" xfId="57846" applyNumberFormat="1" applyFont="1" applyFill="1" applyBorder="1" applyAlignment="1" applyProtection="1">
      <alignment vertical="center"/>
      <protection locked="0"/>
    </xf>
    <xf numFmtId="3" fontId="69" fillId="74" borderId="29" xfId="57846" applyNumberFormat="1" applyFont="1" applyFill="1" applyBorder="1" applyAlignment="1" applyProtection="1">
      <alignment horizontal="center" vertical="center"/>
      <protection locked="0"/>
    </xf>
    <xf numFmtId="3" fontId="86" fillId="74" borderId="29" xfId="57846" applyNumberFormat="1" applyFont="1" applyFill="1" applyBorder="1" applyAlignment="1" applyProtection="1">
      <alignment horizontal="center" vertical="center"/>
      <protection locked="0"/>
    </xf>
    <xf numFmtId="3" fontId="69" fillId="74" borderId="29" xfId="57846" applyNumberFormat="1" applyFont="1" applyFill="1" applyBorder="1" applyAlignment="1" applyProtection="1">
      <alignment vertical="center"/>
      <protection locked="0"/>
    </xf>
    <xf numFmtId="3" fontId="69" fillId="74" borderId="25" xfId="57846" applyNumberFormat="1" applyFont="1" applyFill="1" applyBorder="1" applyAlignment="1" applyProtection="1">
      <alignment vertical="center"/>
      <protection locked="0"/>
    </xf>
    <xf numFmtId="3" fontId="85" fillId="74" borderId="10" xfId="57846" applyNumberFormat="1" applyFont="1" applyFill="1" applyBorder="1" applyAlignment="1" applyProtection="1">
      <alignment vertical="center" wrapText="1"/>
      <protection locked="0"/>
    </xf>
    <xf numFmtId="0" fontId="85" fillId="74" borderId="28" xfId="57846" applyFont="1" applyFill="1" applyBorder="1" applyAlignment="1" applyProtection="1">
      <alignment vertical="center" wrapText="1"/>
      <protection locked="0"/>
    </xf>
    <xf numFmtId="3" fontId="69" fillId="74" borderId="28" xfId="57846" applyNumberFormat="1" applyFont="1" applyFill="1" applyBorder="1" applyAlignment="1" applyProtection="1">
      <alignment horizontal="center" vertical="center"/>
      <protection locked="0"/>
    </xf>
    <xf numFmtId="3" fontId="69" fillId="74" borderId="28" xfId="57846" applyNumberFormat="1" applyFont="1" applyFill="1" applyBorder="1" applyAlignment="1" applyProtection="1">
      <alignment vertical="center"/>
      <protection locked="0"/>
    </xf>
    <xf numFmtId="0" fontId="83" fillId="74" borderId="0" xfId="57846" applyFont="1" applyFill="1"/>
    <xf numFmtId="0" fontId="67" fillId="74" borderId="0" xfId="57846" applyFont="1" applyFill="1" applyAlignment="1">
      <alignment horizontal="center"/>
    </xf>
    <xf numFmtId="0" fontId="67" fillId="74" borderId="0" xfId="57846" applyFont="1" applyFill="1"/>
    <xf numFmtId="0" fontId="70" fillId="74" borderId="10" xfId="57846" applyFont="1" applyFill="1" applyBorder="1" applyAlignment="1" applyProtection="1">
      <alignment horizontal="center" vertical="center" textRotation="90" wrapText="1"/>
      <protection locked="0"/>
    </xf>
    <xf numFmtId="0" fontId="70" fillId="74" borderId="28" xfId="57846" applyFont="1" applyFill="1" applyBorder="1" applyAlignment="1" applyProtection="1">
      <alignment horizontal="center" vertical="center" wrapText="1"/>
      <protection locked="0"/>
    </xf>
    <xf numFmtId="3" fontId="68" fillId="74" borderId="10" xfId="57846" applyNumberFormat="1" applyFont="1" applyFill="1" applyBorder="1" applyAlignment="1" applyProtection="1">
      <alignment horizontal="center" vertical="center"/>
      <protection locked="0"/>
    </xf>
    <xf numFmtId="0" fontId="68" fillId="74" borderId="0" xfId="57846" applyFont="1" applyFill="1" applyProtection="1">
      <protection locked="0"/>
    </xf>
    <xf numFmtId="3" fontId="85" fillId="74" borderId="25" xfId="57846" applyNumberFormat="1" applyFont="1" applyFill="1" applyBorder="1" applyAlignment="1" applyProtection="1">
      <alignment vertical="center" wrapText="1"/>
      <protection locked="0"/>
    </xf>
    <xf numFmtId="0" fontId="69" fillId="74" borderId="10" xfId="57846" applyFont="1" applyFill="1" applyBorder="1" applyProtection="1">
      <protection locked="0"/>
    </xf>
    <xf numFmtId="3" fontId="69" fillId="74" borderId="10" xfId="57846" applyNumberFormat="1" applyFont="1" applyFill="1" applyBorder="1" applyAlignment="1" applyProtection="1">
      <alignment horizontal="center"/>
      <protection locked="0"/>
    </xf>
    <xf numFmtId="3" fontId="85" fillId="74" borderId="28" xfId="57846" applyNumberFormat="1" applyFont="1" applyFill="1" applyBorder="1" applyAlignment="1" applyProtection="1">
      <alignment vertical="center" wrapText="1"/>
      <protection locked="0"/>
    </xf>
    <xf numFmtId="0" fontId="69" fillId="74" borderId="10" xfId="57846" applyFont="1" applyFill="1" applyBorder="1" applyAlignment="1" applyProtection="1">
      <alignment horizontal="center"/>
      <protection locked="0"/>
    </xf>
    <xf numFmtId="3" fontId="67" fillId="74" borderId="0" xfId="57846" applyNumberFormat="1" applyFont="1" applyFill="1"/>
    <xf numFmtId="0" fontId="70" fillId="74" borderId="25" xfId="57846" applyFont="1" applyFill="1" applyBorder="1" applyAlignment="1" applyProtection="1">
      <alignment horizontal="center" vertical="center" wrapText="1"/>
      <protection locked="0"/>
    </xf>
    <xf numFmtId="0" fontId="61" fillId="74" borderId="0" xfId="57788" applyFont="1" applyFill="1" applyAlignment="1">
      <alignment horizontal="center" vertical="center"/>
    </xf>
    <xf numFmtId="3" fontId="61" fillId="74" borderId="24" xfId="57788" applyNumberFormat="1" applyFont="1" applyFill="1" applyBorder="1" applyAlignment="1">
      <alignment horizontal="center" vertical="center" wrapText="1"/>
    </xf>
    <xf numFmtId="3" fontId="60" fillId="74" borderId="24" xfId="57788" applyNumberFormat="1" applyFont="1" applyFill="1" applyBorder="1" applyAlignment="1">
      <alignment horizontal="center" vertical="center" wrapText="1"/>
    </xf>
    <xf numFmtId="0" fontId="61" fillId="74" borderId="30" xfId="57788" applyFont="1" applyFill="1" applyBorder="1" applyAlignment="1">
      <alignment horizontal="center" vertical="center" wrapText="1"/>
    </xf>
    <xf numFmtId="0" fontId="61" fillId="74" borderId="10" xfId="57788" applyFont="1" applyFill="1" applyBorder="1" applyAlignment="1">
      <alignment horizontal="center" vertical="center" wrapText="1"/>
    </xf>
    <xf numFmtId="0" fontId="61" fillId="74" borderId="10" xfId="57580" applyFont="1" applyFill="1" applyBorder="1" applyAlignment="1">
      <alignment horizontal="center" vertical="center"/>
    </xf>
    <xf numFmtId="0" fontId="61" fillId="74" borderId="31" xfId="57788" applyFont="1" applyFill="1" applyBorder="1" applyAlignment="1">
      <alignment horizontal="left" vertical="center" wrapText="1"/>
    </xf>
    <xf numFmtId="3" fontId="61" fillId="74" borderId="10" xfId="57788" applyNumberFormat="1" applyFont="1" applyFill="1" applyBorder="1" applyAlignment="1">
      <alignment horizontal="center" vertical="center" wrapText="1"/>
    </xf>
    <xf numFmtId="0" fontId="61" fillId="74" borderId="10" xfId="57788" applyFont="1" applyFill="1" applyBorder="1" applyAlignment="1">
      <alignment horizontal="center" vertical="center"/>
    </xf>
    <xf numFmtId="0" fontId="61" fillId="74" borderId="26" xfId="57788" applyFont="1" applyFill="1" applyBorder="1" applyAlignment="1">
      <alignment horizontal="left" vertical="center" wrapText="1"/>
    </xf>
    <xf numFmtId="0" fontId="61" fillId="74" borderId="10" xfId="57788" applyFont="1" applyFill="1" applyBorder="1" applyAlignment="1">
      <alignment horizontal="left" vertical="center" wrapText="1"/>
    </xf>
    <xf numFmtId="0" fontId="60" fillId="74" borderId="10" xfId="57788" applyFont="1" applyFill="1" applyBorder="1" applyAlignment="1">
      <alignment horizontal="center" vertical="center"/>
    </xf>
    <xf numFmtId="0" fontId="60" fillId="74" borderId="0" xfId="57788" applyFont="1" applyFill="1" applyAlignment="1">
      <alignment horizontal="center" vertical="center"/>
    </xf>
    <xf numFmtId="4" fontId="61" fillId="74" borderId="27" xfId="59247" applyNumberFormat="1" applyFont="1" applyFill="1" applyBorder="1" applyAlignment="1">
      <alignment vertical="center" wrapText="1"/>
    </xf>
    <xf numFmtId="0" fontId="61" fillId="74" borderId="10" xfId="57580" applyFont="1" applyFill="1" applyBorder="1" applyAlignment="1">
      <alignment vertical="center" wrapText="1"/>
    </xf>
    <xf numFmtId="3" fontId="61" fillId="74" borderId="10" xfId="57788" applyNumberFormat="1" applyFont="1" applyFill="1" applyBorder="1" applyAlignment="1">
      <alignment horizontal="left" vertical="center" wrapText="1"/>
    </xf>
    <xf numFmtId="3" fontId="60" fillId="74" borderId="10" xfId="57788" applyNumberFormat="1" applyFont="1" applyFill="1" applyBorder="1" applyAlignment="1">
      <alignment horizontal="center" vertical="center" wrapText="1"/>
    </xf>
    <xf numFmtId="0" fontId="61" fillId="74" borderId="10" xfId="59250" applyFont="1" applyFill="1" applyBorder="1" applyAlignment="1">
      <alignment vertical="center" wrapText="1"/>
    </xf>
    <xf numFmtId="0" fontId="61" fillId="74" borderId="0" xfId="59253" applyFont="1" applyFill="1" applyAlignment="1">
      <alignment horizontal="center" vertical="center"/>
    </xf>
    <xf numFmtId="0" fontId="60" fillId="74" borderId="10" xfId="57788" applyFont="1" applyFill="1" applyBorder="1" applyAlignment="1">
      <alignment horizontal="left" vertical="center" wrapText="1"/>
    </xf>
    <xf numFmtId="49" fontId="61" fillId="74" borderId="10" xfId="57580" applyNumberFormat="1" applyFont="1" applyFill="1" applyBorder="1" applyAlignment="1">
      <alignment vertical="center" wrapText="1"/>
    </xf>
    <xf numFmtId="3" fontId="61" fillId="74" borderId="10" xfId="57580" applyNumberFormat="1" applyFont="1" applyFill="1" applyBorder="1" applyAlignment="1">
      <alignment vertical="center" wrapText="1"/>
    </xf>
    <xf numFmtId="3" fontId="61" fillId="74" borderId="27" xfId="57788" applyNumberFormat="1" applyFont="1" applyFill="1" applyBorder="1" applyAlignment="1">
      <alignment horizontal="center" vertical="center" wrapText="1"/>
    </xf>
    <xf numFmtId="3" fontId="61" fillId="74" borderId="0" xfId="57788" applyNumberFormat="1" applyFont="1" applyFill="1" applyAlignment="1">
      <alignment horizontal="center" vertical="center"/>
    </xf>
    <xf numFmtId="3" fontId="61" fillId="74" borderId="0" xfId="57788" applyNumberFormat="1" applyFont="1" applyFill="1" applyAlignment="1">
      <alignment horizontal="right" vertical="center"/>
    </xf>
    <xf numFmtId="3" fontId="60" fillId="74" borderId="0" xfId="57788" applyNumberFormat="1" applyFont="1" applyFill="1" applyAlignment="1">
      <alignment horizontal="center" vertical="center"/>
    </xf>
    <xf numFmtId="3" fontId="88" fillId="74" borderId="0" xfId="57788" applyNumberFormat="1" applyFont="1" applyFill="1" applyAlignment="1">
      <alignment horizontal="center" vertical="center"/>
    </xf>
    <xf numFmtId="0" fontId="61" fillId="74" borderId="0" xfId="57788" applyFont="1" applyFill="1" applyAlignment="1">
      <alignment horizontal="left" vertical="center"/>
    </xf>
    <xf numFmtId="0" fontId="73" fillId="74" borderId="10" xfId="57846" applyFont="1" applyFill="1" applyBorder="1" applyAlignment="1" applyProtection="1">
      <alignment horizontal="center" vertical="center" textRotation="90" wrapText="1"/>
      <protection locked="0"/>
    </xf>
    <xf numFmtId="0" fontId="69" fillId="74" borderId="0" xfId="57846" applyFont="1" applyFill="1" applyAlignment="1" applyProtection="1">
      <alignment vertical="center"/>
      <protection locked="0"/>
    </xf>
    <xf numFmtId="0" fontId="83" fillId="74" borderId="0" xfId="57846" applyFont="1" applyFill="1" applyAlignment="1">
      <alignment vertical="center"/>
    </xf>
    <xf numFmtId="0" fontId="67" fillId="74" borderId="0" xfId="57846" applyFont="1" applyFill="1" applyAlignment="1">
      <alignment horizontal="center" vertical="center"/>
    </xf>
    <xf numFmtId="0" fontId="67" fillId="74" borderId="0" xfId="57846" applyFont="1" applyFill="1" applyAlignment="1">
      <alignment vertical="center"/>
    </xf>
    <xf numFmtId="0" fontId="90" fillId="74" borderId="0" xfId="57846" applyFont="1" applyFill="1" applyBorder="1" applyAlignment="1">
      <alignment horizontal="center" vertical="center" wrapText="1"/>
    </xf>
    <xf numFmtId="0" fontId="90" fillId="74" borderId="24" xfId="57846" applyFont="1" applyFill="1" applyBorder="1" applyAlignment="1">
      <alignment horizontal="center" vertical="center" wrapText="1"/>
    </xf>
    <xf numFmtId="0" fontId="91" fillId="74" borderId="24" xfId="0" applyFont="1" applyFill="1" applyBorder="1" applyAlignment="1">
      <alignment horizontal="center" vertical="center" wrapText="1"/>
    </xf>
    <xf numFmtId="0" fontId="85" fillId="74" borderId="10" xfId="57846" applyFont="1" applyFill="1" applyBorder="1" applyAlignment="1" applyProtection="1">
      <alignment horizontal="center" vertical="center" wrapText="1"/>
      <protection locked="0"/>
    </xf>
    <xf numFmtId="4" fontId="69" fillId="74" borderId="25" xfId="57846" applyNumberFormat="1" applyFont="1" applyFill="1" applyBorder="1" applyAlignment="1" applyProtection="1">
      <alignment horizontal="center" vertical="center"/>
      <protection locked="0"/>
    </xf>
    <xf numFmtId="0" fontId="67" fillId="74" borderId="0" xfId="0" applyFont="1" applyFill="1"/>
    <xf numFmtId="0" fontId="90" fillId="74" borderId="0" xfId="0" applyFont="1" applyFill="1"/>
    <xf numFmtId="0" fontId="90" fillId="74" borderId="0" xfId="0" applyFont="1" applyFill="1" applyAlignment="1">
      <alignment horizontal="center" vertical="center"/>
    </xf>
    <xf numFmtId="3" fontId="83" fillId="74" borderId="0" xfId="0" applyNumberFormat="1" applyFont="1" applyFill="1" applyAlignment="1">
      <alignment horizontal="center" vertical="center"/>
    </xf>
    <xf numFmtId="0" fontId="69" fillId="74" borderId="0" xfId="0" applyFont="1" applyFill="1" applyAlignment="1">
      <alignment horizontal="center"/>
    </xf>
    <xf numFmtId="3" fontId="69" fillId="74" borderId="10" xfId="0" applyNumberFormat="1" applyFont="1" applyFill="1" applyBorder="1" applyAlignment="1">
      <alignment horizontal="center" vertical="center" wrapText="1"/>
    </xf>
    <xf numFmtId="0" fontId="69" fillId="74" borderId="0" xfId="0" applyFont="1" applyFill="1" applyAlignment="1">
      <alignment horizontal="center" vertical="center"/>
    </xf>
    <xf numFmtId="3" fontId="69" fillId="74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74" borderId="10" xfId="0" applyFont="1" applyFill="1" applyBorder="1" applyAlignment="1" applyProtection="1">
      <alignment horizontal="center" vertical="center"/>
      <protection locked="0"/>
    </xf>
    <xf numFmtId="0" fontId="67" fillId="74" borderId="10" xfId="0" applyFont="1" applyFill="1" applyBorder="1" applyAlignment="1" applyProtection="1">
      <alignment horizontal="left" vertical="center" wrapText="1"/>
      <protection locked="0"/>
    </xf>
    <xf numFmtId="3" fontId="83" fillId="74" borderId="10" xfId="0" applyNumberFormat="1" applyFont="1" applyFill="1" applyBorder="1" applyAlignment="1" applyProtection="1">
      <alignment horizontal="center" vertical="center" wrapText="1"/>
      <protection locked="0"/>
    </xf>
    <xf numFmtId="3" fontId="67" fillId="74" borderId="10" xfId="0" applyNumberFormat="1" applyFont="1" applyFill="1" applyBorder="1" applyAlignment="1">
      <alignment horizontal="center" vertical="center"/>
    </xf>
    <xf numFmtId="3" fontId="67" fillId="74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74" borderId="10" xfId="0" applyFont="1" applyFill="1" applyBorder="1" applyAlignment="1" applyProtection="1">
      <alignment horizontal="left" vertical="center"/>
      <protection locked="0"/>
    </xf>
    <xf numFmtId="0" fontId="83" fillId="74" borderId="10" xfId="0" applyFont="1" applyFill="1" applyBorder="1" applyAlignment="1" applyProtection="1">
      <alignment horizontal="center" vertical="center"/>
      <protection locked="0"/>
    </xf>
    <xf numFmtId="0" fontId="83" fillId="74" borderId="10" xfId="0" applyFont="1" applyFill="1" applyBorder="1" applyAlignment="1" applyProtection="1">
      <alignment horizontal="left" vertical="center"/>
      <protection locked="0"/>
    </xf>
    <xf numFmtId="3" fontId="83" fillId="74" borderId="10" xfId="0" applyNumberFormat="1" applyFont="1" applyFill="1" applyBorder="1" applyAlignment="1" applyProtection="1">
      <alignment horizontal="center" vertical="center"/>
      <protection locked="0"/>
    </xf>
    <xf numFmtId="0" fontId="83" fillId="74" borderId="10" xfId="0" applyFont="1" applyFill="1" applyBorder="1" applyAlignment="1" applyProtection="1">
      <alignment horizontal="left" vertical="center" wrapText="1"/>
      <protection locked="0"/>
    </xf>
    <xf numFmtId="0" fontId="67" fillId="74" borderId="0" xfId="0" applyFont="1" applyFill="1" applyAlignment="1">
      <alignment horizontal="right"/>
    </xf>
    <xf numFmtId="3" fontId="67" fillId="74" borderId="0" xfId="0" applyNumberFormat="1" applyFont="1" applyFill="1" applyAlignment="1">
      <alignment horizontal="center"/>
    </xf>
    <xf numFmtId="3" fontId="82" fillId="74" borderId="26" xfId="0" applyNumberFormat="1" applyFont="1" applyFill="1" applyBorder="1" applyAlignment="1">
      <alignment horizontal="center" vertical="center" wrapText="1"/>
    </xf>
    <xf numFmtId="0" fontId="67" fillId="74" borderId="0" xfId="0" applyFont="1" applyFill="1" applyAlignment="1">
      <alignment vertical="center"/>
    </xf>
    <xf numFmtId="0" fontId="69" fillId="74" borderId="10" xfId="0" applyFont="1" applyFill="1" applyBorder="1" applyAlignment="1">
      <alignment horizontal="center" vertical="center" wrapText="1"/>
    </xf>
    <xf numFmtId="0" fontId="69" fillId="74" borderId="0" xfId="0" applyFont="1" applyFill="1" applyAlignment="1">
      <alignment vertical="center"/>
    </xf>
    <xf numFmtId="0" fontId="70" fillId="74" borderId="25" xfId="0" applyFont="1" applyFill="1" applyBorder="1" applyAlignment="1">
      <alignment horizontal="center" vertical="center" wrapText="1"/>
    </xf>
    <xf numFmtId="0" fontId="71" fillId="74" borderId="10" xfId="0" applyFont="1" applyFill="1" applyBorder="1" applyAlignment="1">
      <alignment horizontal="center" vertical="center" wrapText="1"/>
    </xf>
    <xf numFmtId="0" fontId="71" fillId="74" borderId="10" xfId="0" applyFont="1" applyFill="1" applyBorder="1" applyAlignment="1">
      <alignment vertical="center"/>
    </xf>
    <xf numFmtId="0" fontId="67" fillId="74" borderId="10" xfId="0" applyFont="1" applyFill="1" applyBorder="1" applyAlignment="1">
      <alignment vertical="center"/>
    </xf>
    <xf numFmtId="3" fontId="67" fillId="74" borderId="10" xfId="0" applyNumberFormat="1" applyFont="1" applyFill="1" applyBorder="1" applyAlignment="1">
      <alignment vertical="center"/>
    </xf>
    <xf numFmtId="0" fontId="71" fillId="74" borderId="10" xfId="0" applyFont="1" applyFill="1" applyBorder="1" applyAlignment="1">
      <alignment vertical="center" wrapText="1"/>
    </xf>
    <xf numFmtId="0" fontId="92" fillId="74" borderId="10" xfId="0" applyFont="1" applyFill="1" applyBorder="1" applyAlignment="1">
      <alignment horizontal="center" vertical="center" wrapText="1"/>
    </xf>
    <xf numFmtId="0" fontId="67" fillId="74" borderId="10" xfId="0" applyFont="1" applyFill="1" applyBorder="1" applyAlignment="1">
      <alignment vertical="center" wrapText="1"/>
    </xf>
    <xf numFmtId="0" fontId="93" fillId="74" borderId="10" xfId="0" applyFont="1" applyFill="1" applyBorder="1" applyAlignment="1">
      <alignment horizontal="center" vertical="center" wrapText="1"/>
    </xf>
    <xf numFmtId="0" fontId="93" fillId="74" borderId="10" xfId="0" applyFont="1" applyFill="1" applyBorder="1" applyAlignment="1">
      <alignment vertical="center" wrapText="1"/>
    </xf>
    <xf numFmtId="0" fontId="83" fillId="74" borderId="10" xfId="0" applyFont="1" applyFill="1" applyBorder="1" applyAlignment="1">
      <alignment vertical="center"/>
    </xf>
    <xf numFmtId="0" fontId="83" fillId="74" borderId="0" xfId="0" applyFont="1" applyFill="1" applyAlignment="1">
      <alignment vertical="center"/>
    </xf>
    <xf numFmtId="3" fontId="67" fillId="74" borderId="0" xfId="0" applyNumberFormat="1" applyFont="1" applyFill="1" applyAlignment="1">
      <alignment vertical="center"/>
    </xf>
    <xf numFmtId="3" fontId="94" fillId="74" borderId="0" xfId="0" applyNumberFormat="1" applyFont="1" applyFill="1" applyAlignment="1">
      <alignment horizontal="center" vertical="center" wrapText="1"/>
    </xf>
    <xf numFmtId="3" fontId="81" fillId="74" borderId="0" xfId="0" applyNumberFormat="1" applyFont="1" applyFill="1" applyAlignment="1">
      <alignment horizontal="left" vertical="center" wrapText="1"/>
    </xf>
    <xf numFmtId="3" fontId="81" fillId="74" borderId="0" xfId="0" applyNumberFormat="1" applyFont="1" applyFill="1" applyAlignment="1">
      <alignment horizontal="center" vertical="center" wrapText="1"/>
    </xf>
    <xf numFmtId="3" fontId="94" fillId="74" borderId="0" xfId="0" applyNumberFormat="1" applyFont="1" applyFill="1" applyAlignment="1">
      <alignment horizontal="center" vertical="center"/>
    </xf>
    <xf numFmtId="3" fontId="96" fillId="74" borderId="0" xfId="0" applyNumberFormat="1" applyFont="1" applyFill="1" applyAlignment="1">
      <alignment horizontal="center" vertical="center"/>
    </xf>
    <xf numFmtId="3" fontId="81" fillId="74" borderId="0" xfId="0" applyNumberFormat="1" applyFont="1" applyFill="1" applyAlignment="1">
      <alignment horizontal="left" vertical="center"/>
    </xf>
    <xf numFmtId="3" fontId="81" fillId="74" borderId="0" xfId="0" applyNumberFormat="1" applyFont="1" applyFill="1" applyAlignment="1">
      <alignment horizontal="center" vertical="center"/>
    </xf>
    <xf numFmtId="3" fontId="97" fillId="74" borderId="10" xfId="0" applyNumberFormat="1" applyFont="1" applyFill="1" applyBorder="1" applyAlignment="1">
      <alignment horizontal="center" vertical="center" wrapText="1"/>
    </xf>
    <xf numFmtId="3" fontId="97" fillId="74" borderId="10" xfId="0" applyNumberFormat="1" applyFont="1" applyFill="1" applyBorder="1" applyAlignment="1">
      <alignment horizontal="left" vertical="center" wrapText="1"/>
    </xf>
    <xf numFmtId="3" fontId="98" fillId="74" borderId="10" xfId="0" applyNumberFormat="1" applyFont="1" applyFill="1" applyBorder="1" applyAlignment="1">
      <alignment horizontal="center" vertical="center"/>
    </xf>
    <xf numFmtId="3" fontId="98" fillId="74" borderId="0" xfId="0" applyNumberFormat="1" applyFont="1" applyFill="1" applyAlignment="1">
      <alignment horizontal="center" vertical="center"/>
    </xf>
    <xf numFmtId="3" fontId="99" fillId="74" borderId="10" xfId="0" applyNumberFormat="1" applyFont="1" applyFill="1" applyBorder="1" applyAlignment="1">
      <alignment horizontal="center" vertical="center"/>
    </xf>
    <xf numFmtId="3" fontId="97" fillId="74" borderId="10" xfId="0" applyNumberFormat="1" applyFont="1" applyFill="1" applyBorder="1" applyAlignment="1">
      <alignment horizontal="center" vertical="center"/>
    </xf>
    <xf numFmtId="3" fontId="98" fillId="74" borderId="0" xfId="0" applyNumberFormat="1" applyFont="1" applyFill="1" applyAlignment="1">
      <alignment horizontal="left" vertical="center"/>
    </xf>
    <xf numFmtId="3" fontId="97" fillId="74" borderId="0" xfId="0" applyNumberFormat="1" applyFont="1" applyFill="1" applyAlignment="1">
      <alignment horizontal="center" vertical="center"/>
    </xf>
    <xf numFmtId="3" fontId="100" fillId="74" borderId="10" xfId="0" applyNumberFormat="1" applyFont="1" applyFill="1" applyBorder="1" applyAlignment="1">
      <alignment horizontal="center" vertical="center" wrapText="1"/>
    </xf>
    <xf numFmtId="3" fontId="101" fillId="74" borderId="10" xfId="0" applyNumberFormat="1" applyFont="1" applyFill="1" applyBorder="1" applyAlignment="1">
      <alignment horizontal="left" vertical="center" wrapText="1"/>
    </xf>
    <xf numFmtId="3" fontId="101" fillId="74" borderId="10" xfId="0" applyNumberFormat="1" applyFont="1" applyFill="1" applyBorder="1" applyAlignment="1">
      <alignment horizontal="center" vertical="center" wrapText="1"/>
    </xf>
    <xf numFmtId="3" fontId="102" fillId="74" borderId="0" xfId="0" applyNumberFormat="1" applyFont="1" applyFill="1" applyAlignment="1">
      <alignment horizontal="center" vertical="center"/>
    </xf>
    <xf numFmtId="0" fontId="76" fillId="74" borderId="0" xfId="0" applyFont="1" applyFill="1" applyAlignment="1">
      <alignment horizontal="center" vertical="center" wrapText="1"/>
    </xf>
    <xf numFmtId="0" fontId="0" fillId="74" borderId="0" xfId="0" applyFill="1" applyAlignment="1">
      <alignment vertical="center" wrapText="1"/>
    </xf>
    <xf numFmtId="0" fontId="70" fillId="74" borderId="25" xfId="0" applyFont="1" applyFill="1" applyBorder="1" applyAlignment="1">
      <alignment horizontal="center" vertical="center" wrapText="1"/>
    </xf>
    <xf numFmtId="0" fontId="70" fillId="74" borderId="28" xfId="0" applyFont="1" applyFill="1" applyBorder="1" applyAlignment="1">
      <alignment horizontal="center" vertical="center" wrapText="1"/>
    </xf>
    <xf numFmtId="0" fontId="70" fillId="74" borderId="10" xfId="0" applyFont="1" applyFill="1" applyBorder="1" applyAlignment="1">
      <alignment horizontal="center" vertical="center" wrapText="1"/>
    </xf>
    <xf numFmtId="0" fontId="62" fillId="74" borderId="25" xfId="0" applyFont="1" applyFill="1" applyBorder="1" applyAlignment="1">
      <alignment horizontal="center" vertical="center"/>
    </xf>
    <xf numFmtId="0" fontId="62" fillId="74" borderId="28" xfId="0" applyFont="1" applyFill="1" applyBorder="1" applyAlignment="1">
      <alignment horizontal="center" vertical="center"/>
    </xf>
    <xf numFmtId="0" fontId="82" fillId="76" borderId="10" xfId="0" applyFont="1" applyFill="1" applyBorder="1" applyAlignment="1">
      <alignment horizontal="center" vertical="center"/>
    </xf>
    <xf numFmtId="2" fontId="64" fillId="74" borderId="0" xfId="0" applyNumberFormat="1" applyFont="1" applyFill="1" applyAlignment="1">
      <alignment horizontal="center" vertical="center" wrapText="1"/>
    </xf>
    <xf numFmtId="0" fontId="81" fillId="74" borderId="0" xfId="0" applyFont="1" applyFill="1" applyAlignment="1">
      <alignment horizontal="center" vertical="center" wrapText="1"/>
    </xf>
    <xf numFmtId="0" fontId="63" fillId="74" borderId="10" xfId="0" applyFont="1" applyFill="1" applyBorder="1" applyAlignment="1">
      <alignment horizontal="center" vertical="center" wrapText="1"/>
    </xf>
    <xf numFmtId="0" fontId="63" fillId="74" borderId="10" xfId="0" applyFont="1" applyFill="1" applyBorder="1" applyAlignment="1">
      <alignment horizontal="center"/>
    </xf>
    <xf numFmtId="3" fontId="63" fillId="74" borderId="10" xfId="0" applyNumberFormat="1" applyFont="1" applyFill="1" applyBorder="1" applyAlignment="1">
      <alignment horizontal="center" vertical="center" wrapText="1"/>
    </xf>
    <xf numFmtId="0" fontId="65" fillId="74" borderId="10" xfId="0" applyFont="1" applyFill="1" applyBorder="1" applyAlignment="1">
      <alignment horizontal="center" vertical="center"/>
    </xf>
    <xf numFmtId="0" fontId="65" fillId="74" borderId="10" xfId="0" applyFont="1" applyFill="1" applyBorder="1" applyAlignment="1">
      <alignment horizontal="center" vertical="center" wrapText="1"/>
    </xf>
    <xf numFmtId="0" fontId="84" fillId="74" borderId="26" xfId="57846" applyFont="1" applyFill="1" applyBorder="1" applyAlignment="1" applyProtection="1">
      <alignment horizontal="center" vertical="center" wrapText="1"/>
      <protection locked="0"/>
    </xf>
    <xf numFmtId="0" fontId="84" fillId="74" borderId="27" xfId="57846" applyFont="1" applyFill="1" applyBorder="1" applyAlignment="1" applyProtection="1">
      <alignment horizontal="center" vertical="center" wrapText="1"/>
      <protection locked="0"/>
    </xf>
    <xf numFmtId="0" fontId="84" fillId="74" borderId="10" xfId="57846" applyFont="1" applyFill="1" applyBorder="1" applyAlignment="1" applyProtection="1">
      <alignment horizontal="center" vertical="center" wrapText="1"/>
      <protection locked="0"/>
    </xf>
    <xf numFmtId="0" fontId="83" fillId="74" borderId="24" xfId="57846" applyFont="1" applyFill="1" applyBorder="1" applyAlignment="1">
      <alignment horizontal="center" vertical="center" wrapText="1"/>
    </xf>
    <xf numFmtId="0" fontId="61" fillId="74" borderId="10" xfId="57788" applyFont="1" applyFill="1" applyBorder="1" applyAlignment="1">
      <alignment horizontal="center" vertical="center" wrapText="1"/>
    </xf>
    <xf numFmtId="3" fontId="64" fillId="74" borderId="0" xfId="57788" applyNumberFormat="1" applyFont="1" applyFill="1" applyBorder="1" applyAlignment="1">
      <alignment horizontal="center" vertical="center" wrapText="1"/>
    </xf>
    <xf numFmtId="0" fontId="81" fillId="74" borderId="0" xfId="57580" applyFont="1" applyFill="1" applyAlignment="1">
      <alignment horizontal="center" vertical="center" wrapText="1"/>
    </xf>
    <xf numFmtId="3" fontId="61" fillId="74" borderId="24" xfId="57788" applyNumberFormat="1" applyFont="1" applyFill="1" applyBorder="1" applyAlignment="1">
      <alignment horizontal="right" vertical="center" wrapText="1"/>
    </xf>
    <xf numFmtId="0" fontId="44" fillId="74" borderId="24" xfId="57580" applyFill="1" applyBorder="1" applyAlignment="1">
      <alignment vertical="center" wrapText="1"/>
    </xf>
    <xf numFmtId="0" fontId="61" fillId="74" borderId="30" xfId="57580" applyFont="1" applyFill="1" applyBorder="1" applyAlignment="1">
      <alignment horizontal="center" vertical="center" wrapText="1"/>
    </xf>
    <xf numFmtId="0" fontId="61" fillId="74" borderId="27" xfId="57580" applyFont="1" applyFill="1" applyBorder="1" applyAlignment="1">
      <alignment horizontal="center" vertical="center" wrapText="1"/>
    </xf>
    <xf numFmtId="3" fontId="61" fillId="74" borderId="25" xfId="57580" applyNumberFormat="1" applyFont="1" applyFill="1" applyBorder="1" applyAlignment="1">
      <alignment horizontal="center" vertical="center" wrapText="1"/>
    </xf>
    <xf numFmtId="0" fontId="61" fillId="74" borderId="29" xfId="57580" applyFont="1" applyFill="1" applyBorder="1" applyAlignment="1">
      <alignment horizontal="center" vertical="center" wrapText="1"/>
    </xf>
    <xf numFmtId="0" fontId="61" fillId="74" borderId="28" xfId="57580" applyFont="1" applyFill="1" applyBorder="1" applyAlignment="1">
      <alignment horizontal="center" vertical="center" wrapText="1"/>
    </xf>
    <xf numFmtId="0" fontId="61" fillId="74" borderId="25" xfId="57788" applyFont="1" applyFill="1" applyBorder="1" applyAlignment="1">
      <alignment horizontal="center" vertical="center" wrapText="1"/>
    </xf>
    <xf numFmtId="0" fontId="61" fillId="74" borderId="25" xfId="57580" applyFont="1" applyFill="1" applyBorder="1" applyAlignment="1">
      <alignment horizontal="center" vertical="center"/>
    </xf>
    <xf numFmtId="0" fontId="87" fillId="74" borderId="28" xfId="57580" applyFont="1" applyFill="1" applyBorder="1" applyAlignment="1">
      <alignment horizontal="center" vertical="center"/>
    </xf>
    <xf numFmtId="3" fontId="88" fillId="74" borderId="0" xfId="57788" applyNumberFormat="1" applyFont="1" applyFill="1" applyAlignment="1">
      <alignment horizontal="center" vertical="center" wrapText="1"/>
    </xf>
    <xf numFmtId="3" fontId="89" fillId="74" borderId="0" xfId="57580" applyNumberFormat="1" applyFont="1" applyFill="1" applyAlignment="1">
      <alignment horizontal="center" vertical="center" wrapText="1"/>
    </xf>
    <xf numFmtId="0" fontId="90" fillId="74" borderId="0" xfId="57846" applyFont="1" applyFill="1" applyBorder="1" applyAlignment="1">
      <alignment horizontal="center" vertical="center" wrapText="1"/>
    </xf>
    <xf numFmtId="0" fontId="91" fillId="74" borderId="0" xfId="0" applyFont="1" applyFill="1" applyBorder="1" applyAlignment="1">
      <alignment horizontal="center" vertical="center" wrapText="1"/>
    </xf>
    <xf numFmtId="0" fontId="73" fillId="74" borderId="25" xfId="57846" applyFont="1" applyFill="1" applyBorder="1" applyAlignment="1" applyProtection="1">
      <alignment horizontal="center" vertical="center" wrapText="1"/>
      <protection locked="0"/>
    </xf>
    <xf numFmtId="0" fontId="73" fillId="74" borderId="28" xfId="57846" applyFont="1" applyFill="1" applyBorder="1" applyAlignment="1" applyProtection="1">
      <alignment horizontal="center" vertical="center" wrapText="1"/>
      <protection locked="0"/>
    </xf>
    <xf numFmtId="0" fontId="68" fillId="74" borderId="26" xfId="57846" applyFont="1" applyFill="1" applyBorder="1" applyAlignment="1" applyProtection="1">
      <alignment horizontal="center" vertical="center" wrapText="1"/>
      <protection locked="0"/>
    </xf>
    <xf numFmtId="0" fontId="68" fillId="74" borderId="27" xfId="57846" applyFont="1" applyFill="1" applyBorder="1" applyAlignment="1" applyProtection="1">
      <alignment horizontal="center" vertical="center" wrapText="1"/>
      <protection locked="0"/>
    </xf>
    <xf numFmtId="0" fontId="68" fillId="74" borderId="26" xfId="57846" applyFont="1" applyFill="1" applyBorder="1" applyAlignment="1" applyProtection="1">
      <alignment horizontal="center" vertical="center"/>
      <protection locked="0"/>
    </xf>
    <xf numFmtId="0" fontId="68" fillId="74" borderId="27" xfId="57846" applyFont="1" applyFill="1" applyBorder="1" applyAlignment="1" applyProtection="1">
      <alignment horizontal="center" vertical="center"/>
      <protection locked="0"/>
    </xf>
    <xf numFmtId="0" fontId="69" fillId="74" borderId="26" xfId="0" applyFont="1" applyFill="1" applyBorder="1" applyAlignment="1" applyProtection="1">
      <alignment horizontal="center" vertical="center" wrapText="1"/>
      <protection locked="0"/>
    </xf>
    <xf numFmtId="0" fontId="69" fillId="74" borderId="25" xfId="0" applyFont="1" applyFill="1" applyBorder="1" applyAlignment="1" applyProtection="1">
      <alignment horizontal="center" vertical="center"/>
      <protection locked="0"/>
    </xf>
    <xf numFmtId="0" fontId="69" fillId="74" borderId="29" xfId="0" applyFont="1" applyFill="1" applyBorder="1" applyAlignment="1" applyProtection="1">
      <alignment horizontal="center" vertical="center"/>
      <protection locked="0"/>
    </xf>
    <xf numFmtId="0" fontId="69" fillId="74" borderId="28" xfId="0" applyFont="1" applyFill="1" applyBorder="1" applyAlignment="1" applyProtection="1">
      <alignment horizontal="center" vertical="center"/>
      <protection locked="0"/>
    </xf>
    <xf numFmtId="3" fontId="68" fillId="74" borderId="26" xfId="0" applyNumberFormat="1" applyFont="1" applyFill="1" applyBorder="1" applyAlignment="1" applyProtection="1">
      <alignment horizontal="center" vertical="center"/>
      <protection locked="0"/>
    </xf>
    <xf numFmtId="3" fontId="68" fillId="74" borderId="30" xfId="0" applyNumberFormat="1" applyFont="1" applyFill="1" applyBorder="1" applyAlignment="1" applyProtection="1">
      <alignment horizontal="center" vertical="center"/>
      <protection locked="0"/>
    </xf>
    <xf numFmtId="3" fontId="68" fillId="74" borderId="27" xfId="0" applyNumberFormat="1" applyFont="1" applyFill="1" applyBorder="1" applyAlignment="1" applyProtection="1">
      <alignment horizontal="center" vertical="center"/>
      <protection locked="0"/>
    </xf>
    <xf numFmtId="3" fontId="68" fillId="74" borderId="10" xfId="0" applyNumberFormat="1" applyFont="1" applyFill="1" applyBorder="1" applyAlignment="1">
      <alignment horizontal="center" vertical="center"/>
    </xf>
    <xf numFmtId="0" fontId="73" fillId="74" borderId="25" xfId="0" applyFont="1" applyFill="1" applyBorder="1" applyAlignment="1">
      <alignment horizontal="center" vertical="center" wrapText="1"/>
    </xf>
    <xf numFmtId="0" fontId="69" fillId="74" borderId="29" xfId="0" applyFont="1" applyFill="1" applyBorder="1" applyAlignment="1">
      <alignment horizontal="center" vertical="center" wrapText="1"/>
    </xf>
    <xf numFmtId="0" fontId="0" fillId="74" borderId="28" xfId="0" applyFill="1" applyBorder="1" applyAlignment="1">
      <alignment horizontal="center" vertical="center" wrapText="1"/>
    </xf>
    <xf numFmtId="3" fontId="69" fillId="74" borderId="10" xfId="0" applyNumberFormat="1" applyFont="1" applyFill="1" applyBorder="1" applyAlignment="1" applyProtection="1">
      <alignment horizontal="center" vertical="center" wrapText="1"/>
      <protection locked="0"/>
    </xf>
    <xf numFmtId="3" fontId="69" fillId="74" borderId="10" xfId="0" applyNumberFormat="1" applyFont="1" applyFill="1" applyBorder="1" applyAlignment="1" applyProtection="1">
      <alignment horizontal="center" vertical="center"/>
      <protection locked="0"/>
    </xf>
    <xf numFmtId="3" fontId="69" fillId="74" borderId="25" xfId="0" applyNumberFormat="1" applyFont="1" applyFill="1" applyBorder="1" applyAlignment="1">
      <alignment horizontal="center" vertical="center"/>
    </xf>
    <xf numFmtId="3" fontId="69" fillId="74" borderId="29" xfId="0" applyNumberFormat="1" applyFont="1" applyFill="1" applyBorder="1" applyAlignment="1">
      <alignment horizontal="center" vertical="center"/>
    </xf>
    <xf numFmtId="3" fontId="69" fillId="74" borderId="28" xfId="0" applyNumberFormat="1" applyFont="1" applyFill="1" applyBorder="1" applyAlignment="1">
      <alignment horizontal="center" vertical="center"/>
    </xf>
    <xf numFmtId="3" fontId="69" fillId="74" borderId="26" xfId="0" applyNumberFormat="1" applyFont="1" applyFill="1" applyBorder="1" applyAlignment="1">
      <alignment horizontal="center" vertical="center" wrapText="1"/>
    </xf>
    <xf numFmtId="3" fontId="69" fillId="74" borderId="27" xfId="0" applyNumberFormat="1" applyFont="1" applyFill="1" applyBorder="1" applyAlignment="1">
      <alignment horizontal="center" vertical="center" wrapText="1"/>
    </xf>
    <xf numFmtId="3" fontId="69" fillId="74" borderId="56" xfId="0" applyNumberFormat="1" applyFont="1" applyFill="1" applyBorder="1" applyAlignment="1">
      <alignment horizontal="center" vertical="center" wrapText="1"/>
    </xf>
    <xf numFmtId="3" fontId="69" fillId="74" borderId="80" xfId="0" applyNumberFormat="1" applyFont="1" applyFill="1" applyBorder="1" applyAlignment="1">
      <alignment horizontal="center" vertical="center" wrapText="1"/>
    </xf>
    <xf numFmtId="3" fontId="69" fillId="74" borderId="57" xfId="0" applyNumberFormat="1" applyFont="1" applyFill="1" applyBorder="1" applyAlignment="1">
      <alignment horizontal="center" vertical="center" wrapText="1"/>
    </xf>
    <xf numFmtId="3" fontId="69" fillId="74" borderId="31" xfId="0" applyNumberFormat="1" applyFont="1" applyFill="1" applyBorder="1" applyAlignment="1">
      <alignment horizontal="center" vertical="center" wrapText="1"/>
    </xf>
    <xf numFmtId="3" fontId="69" fillId="74" borderId="24" xfId="0" applyNumberFormat="1" applyFont="1" applyFill="1" applyBorder="1" applyAlignment="1">
      <alignment horizontal="center" vertical="center" wrapText="1"/>
    </xf>
    <xf numFmtId="3" fontId="69" fillId="74" borderId="48" xfId="0" applyNumberFormat="1" applyFont="1" applyFill="1" applyBorder="1" applyAlignment="1">
      <alignment horizontal="center" vertical="center" wrapText="1"/>
    </xf>
    <xf numFmtId="3" fontId="69" fillId="74" borderId="25" xfId="0" applyNumberFormat="1" applyFont="1" applyFill="1" applyBorder="1" applyAlignment="1" applyProtection="1">
      <alignment horizontal="center" vertical="center" wrapText="1"/>
      <protection locked="0"/>
    </xf>
    <xf numFmtId="3" fontId="69" fillId="74" borderId="28" xfId="0" applyNumberFormat="1" applyFont="1" applyFill="1" applyBorder="1" applyAlignment="1" applyProtection="1">
      <alignment horizontal="center" vertical="center" wrapText="1"/>
      <protection locked="0"/>
    </xf>
    <xf numFmtId="3" fontId="69" fillId="74" borderId="10" xfId="0" applyNumberFormat="1" applyFont="1" applyFill="1" applyBorder="1" applyAlignment="1">
      <alignment horizontal="center" vertical="center" wrapText="1"/>
    </xf>
    <xf numFmtId="3" fontId="69" fillId="74" borderId="10" xfId="0" applyNumberFormat="1" applyFont="1" applyFill="1" applyBorder="1" applyAlignment="1">
      <alignment horizontal="center" vertical="center"/>
    </xf>
    <xf numFmtId="0" fontId="61" fillId="0" borderId="25" xfId="59247" applyFont="1" applyFill="1" applyBorder="1" applyAlignment="1">
      <alignment horizontal="center" vertical="center"/>
    </xf>
    <xf numFmtId="0" fontId="61" fillId="0" borderId="29" xfId="59247" applyFont="1" applyFill="1" applyBorder="1" applyAlignment="1">
      <alignment horizontal="center" vertical="center"/>
    </xf>
    <xf numFmtId="0" fontId="61" fillId="0" borderId="28" xfId="59247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/>
    </xf>
    <xf numFmtId="0" fontId="62" fillId="0" borderId="10" xfId="59247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/>
    </xf>
    <xf numFmtId="3" fontId="62" fillId="0" borderId="10" xfId="59248" applyNumberFormat="1" applyFont="1" applyFill="1" applyBorder="1" applyAlignment="1">
      <alignment horizontal="center" vertical="center" wrapText="1"/>
    </xf>
    <xf numFmtId="0" fontId="61" fillId="0" borderId="10" xfId="59247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77" fillId="0" borderId="25" xfId="57572" applyFont="1" applyFill="1" applyBorder="1" applyAlignment="1">
      <alignment horizontal="center" vertical="center" wrapText="1"/>
    </xf>
    <xf numFmtId="0" fontId="77" fillId="0" borderId="29" xfId="57572" applyFont="1" applyFill="1" applyBorder="1" applyAlignment="1">
      <alignment horizontal="center" vertical="center" wrapText="1"/>
    </xf>
    <xf numFmtId="0" fontId="77" fillId="0" borderId="28" xfId="57572" applyFont="1" applyFill="1" applyBorder="1" applyAlignment="1">
      <alignment horizontal="center" vertical="center" wrapText="1"/>
    </xf>
    <xf numFmtId="0" fontId="77" fillId="0" borderId="10" xfId="57572" applyFont="1" applyFill="1" applyBorder="1" applyAlignment="1">
      <alignment horizontal="center" vertical="center" wrapText="1"/>
    </xf>
    <xf numFmtId="0" fontId="77" fillId="0" borderId="30" xfId="57572" applyFont="1" applyFill="1" applyBorder="1" applyAlignment="1">
      <alignment horizontal="center" vertical="center" wrapText="1"/>
    </xf>
    <xf numFmtId="0" fontId="77" fillId="0" borderId="27" xfId="57572" applyFont="1" applyFill="1" applyBorder="1" applyAlignment="1">
      <alignment horizontal="center" vertical="center" wrapText="1"/>
    </xf>
    <xf numFmtId="0" fontId="77" fillId="0" borderId="80" xfId="57572" applyFont="1" applyFill="1" applyBorder="1" applyAlignment="1">
      <alignment horizontal="center" vertical="center" wrapText="1"/>
    </xf>
    <xf numFmtId="0" fontId="77" fillId="0" borderId="57" xfId="57572" applyFont="1" applyFill="1" applyBorder="1" applyAlignment="1">
      <alignment horizontal="center" vertical="center" wrapText="1"/>
    </xf>
    <xf numFmtId="0" fontId="77" fillId="0" borderId="24" xfId="57572" applyFont="1" applyFill="1" applyBorder="1" applyAlignment="1">
      <alignment horizontal="center" vertical="center" wrapText="1"/>
    </xf>
    <xf numFmtId="0" fontId="77" fillId="0" borderId="48" xfId="57572" applyFont="1" applyFill="1" applyBorder="1" applyAlignment="1">
      <alignment horizontal="center" vertical="center" wrapText="1"/>
    </xf>
    <xf numFmtId="0" fontId="77" fillId="0" borderId="56" xfId="57572" applyFont="1" applyFill="1" applyBorder="1" applyAlignment="1">
      <alignment horizontal="center" vertical="center" wrapText="1"/>
    </xf>
    <xf numFmtId="0" fontId="77" fillId="0" borderId="31" xfId="57572" applyFont="1" applyFill="1" applyBorder="1" applyAlignment="1">
      <alignment horizontal="center" vertical="center" wrapText="1"/>
    </xf>
    <xf numFmtId="0" fontId="77" fillId="0" borderId="26" xfId="57572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77" fillId="0" borderId="68" xfId="57572" applyFont="1" applyFill="1" applyBorder="1" applyAlignment="1">
      <alignment horizontal="center" vertical="center" wrapText="1"/>
    </xf>
    <xf numFmtId="3" fontId="97" fillId="74" borderId="25" xfId="0" applyNumberFormat="1" applyFont="1" applyFill="1" applyBorder="1" applyAlignment="1">
      <alignment horizontal="center" vertical="center" wrapText="1"/>
    </xf>
    <xf numFmtId="3" fontId="97" fillId="74" borderId="28" xfId="0" applyNumberFormat="1" applyFont="1" applyFill="1" applyBorder="1" applyAlignment="1">
      <alignment horizontal="center" vertical="center" wrapText="1"/>
    </xf>
    <xf numFmtId="3" fontId="95" fillId="74" borderId="0" xfId="0" applyNumberFormat="1" applyFont="1" applyFill="1" applyAlignment="1">
      <alignment horizontal="left" vertical="center" wrapText="1"/>
    </xf>
    <xf numFmtId="3" fontId="97" fillId="74" borderId="10" xfId="0" applyNumberFormat="1" applyFont="1" applyFill="1" applyBorder="1" applyAlignment="1">
      <alignment horizontal="center" vertical="center" wrapText="1"/>
    </xf>
    <xf numFmtId="3" fontId="97" fillId="74" borderId="29" xfId="0" applyNumberFormat="1" applyFont="1" applyFill="1" applyBorder="1" applyAlignment="1">
      <alignment horizontal="center" vertical="center" wrapText="1"/>
    </xf>
    <xf numFmtId="3" fontId="98" fillId="74" borderId="10" xfId="0" applyNumberFormat="1" applyFont="1" applyFill="1" applyBorder="1" applyAlignment="1">
      <alignment horizontal="center" vertical="center" wrapText="1"/>
    </xf>
    <xf numFmtId="3" fontId="98" fillId="74" borderId="26" xfId="0" applyNumberFormat="1" applyFont="1" applyFill="1" applyBorder="1" applyAlignment="1">
      <alignment horizontal="center" vertical="center"/>
    </xf>
    <xf numFmtId="3" fontId="98" fillId="74" borderId="30" xfId="0" applyNumberFormat="1" applyFont="1" applyFill="1" applyBorder="1" applyAlignment="1">
      <alignment horizontal="center" vertical="center"/>
    </xf>
    <xf numFmtId="3" fontId="98" fillId="74" borderId="27" xfId="0" applyNumberFormat="1" applyFont="1" applyFill="1" applyBorder="1" applyAlignment="1">
      <alignment horizontal="center" vertical="center"/>
    </xf>
    <xf numFmtId="3" fontId="98" fillId="74" borderId="10" xfId="0" applyNumberFormat="1" applyFont="1" applyFill="1" applyBorder="1" applyAlignment="1">
      <alignment horizontal="center" vertical="center"/>
    </xf>
    <xf numFmtId="3" fontId="97" fillId="74" borderId="26" xfId="0" applyNumberFormat="1" applyFont="1" applyFill="1" applyBorder="1" applyAlignment="1">
      <alignment horizontal="center" vertical="center" wrapText="1"/>
    </xf>
    <xf numFmtId="3" fontId="97" fillId="74" borderId="30" xfId="0" applyNumberFormat="1" applyFont="1" applyFill="1" applyBorder="1" applyAlignment="1">
      <alignment horizontal="center" vertical="center" wrapText="1"/>
    </xf>
    <xf numFmtId="3" fontId="97" fillId="74" borderId="27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3" fontId="61" fillId="0" borderId="34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3" fontId="61" fillId="0" borderId="37" xfId="0" applyNumberFormat="1" applyFont="1" applyFill="1" applyBorder="1" applyAlignment="1">
      <alignment horizontal="center" vertical="center" wrapText="1"/>
    </xf>
    <xf numFmtId="3" fontId="61" fillId="0" borderId="38" xfId="0" applyNumberFormat="1" applyFont="1" applyFill="1" applyBorder="1" applyAlignment="1">
      <alignment horizontal="center" vertical="center" wrapText="1"/>
    </xf>
    <xf numFmtId="3" fontId="61" fillId="0" borderId="33" xfId="0" applyNumberFormat="1" applyFont="1" applyFill="1" applyBorder="1" applyAlignment="1">
      <alignment horizontal="center" vertical="center" wrapText="1"/>
    </xf>
    <xf numFmtId="3" fontId="61" fillId="0" borderId="39" xfId="0" applyNumberFormat="1" applyFont="1" applyFill="1" applyBorder="1" applyAlignment="1">
      <alignment horizontal="center" vertical="center" wrapText="1"/>
    </xf>
    <xf numFmtId="3" fontId="61" fillId="0" borderId="45" xfId="0" applyNumberFormat="1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67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68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3" fontId="63" fillId="0" borderId="32" xfId="0" applyNumberFormat="1" applyFont="1" applyFill="1" applyBorder="1" applyAlignment="1">
      <alignment horizontal="center" vertical="center" wrapText="1"/>
    </xf>
    <xf numFmtId="3" fontId="63" fillId="0" borderId="37" xfId="0" applyNumberFormat="1" applyFont="1" applyFill="1" applyBorder="1" applyAlignment="1">
      <alignment horizontal="center" vertical="center" wrapText="1"/>
    </xf>
    <xf numFmtId="3" fontId="63" fillId="0" borderId="38" xfId="0" applyNumberFormat="1" applyFont="1" applyFill="1" applyBorder="1" applyAlignment="1">
      <alignment horizontal="center" vertical="center" wrapText="1"/>
    </xf>
    <xf numFmtId="3" fontId="63" fillId="0" borderId="66" xfId="0" applyNumberFormat="1" applyFont="1" applyFill="1" applyBorder="1" applyAlignment="1">
      <alignment horizontal="center" vertical="center" wrapText="1"/>
    </xf>
    <xf numFmtId="3" fontId="63" fillId="0" borderId="34" xfId="0" applyNumberFormat="1" applyFont="1" applyFill="1" applyBorder="1" applyAlignment="1">
      <alignment horizontal="center" vertical="center" wrapText="1"/>
    </xf>
    <xf numFmtId="3" fontId="63" fillId="0" borderId="70" xfId="0" applyNumberFormat="1" applyFont="1" applyFill="1" applyBorder="1" applyAlignment="1">
      <alignment horizontal="center" vertical="center" wrapText="1"/>
    </xf>
    <xf numFmtId="3" fontId="63" fillId="0" borderId="74" xfId="0" applyNumberFormat="1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>
      <alignment horizontal="center" vertical="center" wrapText="1"/>
    </xf>
    <xf numFmtId="3" fontId="63" fillId="0" borderId="71" xfId="0" applyNumberFormat="1" applyFont="1" applyFill="1" applyBorder="1" applyAlignment="1">
      <alignment horizontal="center" vertical="center" wrapText="1"/>
    </xf>
    <xf numFmtId="3" fontId="63" fillId="0" borderId="75" xfId="0" applyNumberFormat="1" applyFont="1" applyFill="1" applyBorder="1" applyAlignment="1">
      <alignment horizontal="center" vertical="center" wrapText="1"/>
    </xf>
    <xf numFmtId="3" fontId="63" fillId="0" borderId="69" xfId="0" applyNumberFormat="1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3" fontId="63" fillId="0" borderId="25" xfId="0" applyNumberFormat="1" applyFont="1" applyFill="1" applyBorder="1" applyAlignment="1">
      <alignment horizontal="center" vertical="center" wrapText="1"/>
    </xf>
    <xf numFmtId="0" fontId="65" fillId="0" borderId="72" xfId="0" applyFont="1" applyFill="1" applyBorder="1" applyAlignment="1">
      <alignment horizontal="center" vertical="center" wrapText="1"/>
    </xf>
    <xf numFmtId="3" fontId="63" fillId="0" borderId="58" xfId="0" applyNumberFormat="1" applyFont="1" applyFill="1" applyBorder="1" applyAlignment="1">
      <alignment horizontal="center" vertical="center" wrapText="1"/>
    </xf>
    <xf numFmtId="0" fontId="65" fillId="0" borderId="73" xfId="0" applyFont="1" applyFill="1" applyBorder="1" applyAlignment="1">
      <alignment horizontal="center" vertical="center" wrapText="1"/>
    </xf>
    <xf numFmtId="3" fontId="63" fillId="0" borderId="50" xfId="0" applyNumberFormat="1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3" fillId="0" borderId="53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/>
    </xf>
    <xf numFmtId="0" fontId="61" fillId="0" borderId="26" xfId="0" applyFont="1" applyFill="1" applyBorder="1" applyAlignment="1">
      <alignment horizontal="left" vertical="center"/>
    </xf>
    <xf numFmtId="0" fontId="61" fillId="0" borderId="26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 horizontal="left" vertical="center"/>
    </xf>
    <xf numFmtId="3" fontId="60" fillId="0" borderId="10" xfId="0" applyNumberFormat="1" applyFont="1" applyFill="1" applyBorder="1" applyAlignment="1">
      <alignment horizontal="center" vertical="center"/>
    </xf>
  </cellXfs>
  <cellStyles count="5926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2 4" xfId="59252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8" xfId="57737"/>
    <cellStyle name="Обычный 18 2" xfId="57738"/>
    <cellStyle name="Обычный 18 2 2" xfId="57739"/>
    <cellStyle name="Обычный 18 3" xfId="57740"/>
    <cellStyle name="Обычный 19" xfId="57741"/>
    <cellStyle name="Обычный 19 2" xfId="57742"/>
    <cellStyle name="Обычный 19 2 2" xfId="57743"/>
    <cellStyle name="Обычный 19 3" xfId="57744"/>
    <cellStyle name="Обычный 19 4" xfId="57745"/>
    <cellStyle name="Обычный 19 5" xfId="57746"/>
    <cellStyle name="Обычный 2" xfId="57747"/>
    <cellStyle name="Обычный 2 10" xfId="57748"/>
    <cellStyle name="Обычный 2 100" xfId="57749"/>
    <cellStyle name="Обычный 2 101" xfId="57750"/>
    <cellStyle name="Обычный 2 102" xfId="57751"/>
    <cellStyle name="Обычный 2 103" xfId="57752"/>
    <cellStyle name="Обычный 2 104" xfId="57753"/>
    <cellStyle name="Обычный 2 105" xfId="57754"/>
    <cellStyle name="Обычный 2 106" xfId="57755"/>
    <cellStyle name="Обычный 2 107" xfId="57756"/>
    <cellStyle name="Обычный 2 108" xfId="57757"/>
    <cellStyle name="Обычный 2 109" xfId="57758"/>
    <cellStyle name="Обычный 2 11" xfId="57759"/>
    <cellStyle name="Обычный 2 110" xfId="57760"/>
    <cellStyle name="Обычный 2 111" xfId="57761"/>
    <cellStyle name="Обычный 2 112" xfId="57762"/>
    <cellStyle name="Обычный 2 113" xfId="57763"/>
    <cellStyle name="Обычный 2 114" xfId="57764"/>
    <cellStyle name="Обычный 2 115" xfId="57765"/>
    <cellStyle name="Обычный 2 116" xfId="57766"/>
    <cellStyle name="Обычный 2 117" xfId="57767"/>
    <cellStyle name="Обычный 2 118" xfId="57768"/>
    <cellStyle name="Обычный 2 119" xfId="57769"/>
    <cellStyle name="Обычный 2 12" xfId="57770"/>
    <cellStyle name="Обычный 2 120" xfId="57771"/>
    <cellStyle name="Обычный 2 121" xfId="57772"/>
    <cellStyle name="Обычный 2 122" xfId="57773"/>
    <cellStyle name="Обычный 2 123" xfId="57774"/>
    <cellStyle name="Обычный 2 124" xfId="57775"/>
    <cellStyle name="Обычный 2 125" xfId="57776"/>
    <cellStyle name="Обычный 2 126" xfId="57777"/>
    <cellStyle name="Обычный 2 127" xfId="57778"/>
    <cellStyle name="Обычный 2 128" xfId="57779"/>
    <cellStyle name="Обычный 2 129" xfId="57780"/>
    <cellStyle name="Обычный 2 13" xfId="57781"/>
    <cellStyle name="Обычный 2 130" xfId="57782"/>
    <cellStyle name="Обычный 2 131" xfId="57783"/>
    <cellStyle name="Обычный 2 132" xfId="57784"/>
    <cellStyle name="Обычный 2 133" xfId="57785"/>
    <cellStyle name="Обычный 2 134" xfId="57786"/>
    <cellStyle name="Обычный 2 135" xfId="57787"/>
    <cellStyle name="Обычный 2 136" xfId="57788"/>
    <cellStyle name="Обычный 2 137" xfId="57789"/>
    <cellStyle name="Обычный 2 138" xfId="57790"/>
    <cellStyle name="Обычный 2 14" xfId="57791"/>
    <cellStyle name="Обычный 2 15" xfId="57792"/>
    <cellStyle name="Обычный 2 16" xfId="57793"/>
    <cellStyle name="Обычный 2 17" xfId="57794"/>
    <cellStyle name="Обычный 2 18" xfId="57795"/>
    <cellStyle name="Обычный 2 19" xfId="57796"/>
    <cellStyle name="Обычный 2 2" xfId="57797"/>
    <cellStyle name="Обычный 2 2 2" xfId="57798"/>
    <cellStyle name="Обычный 2 2 2 2" xfId="57799"/>
    <cellStyle name="Обычный 2 2 2 2 2" xfId="59253"/>
    <cellStyle name="Обычный 2 2 2 3" xfId="59249"/>
    <cellStyle name="Обычный 2 2 3" xfId="57800"/>
    <cellStyle name="Обычный 2 2 4" xfId="57801"/>
    <cellStyle name="Обычный 2 20" xfId="57802"/>
    <cellStyle name="Обычный 2 21" xfId="57803"/>
    <cellStyle name="Обычный 2 22" xfId="57804"/>
    <cellStyle name="Обычный 2 23" xfId="57805"/>
    <cellStyle name="Обычный 2 24" xfId="57806"/>
    <cellStyle name="Обычный 2 25" xfId="57807"/>
    <cellStyle name="Обычный 2 26" xfId="57808"/>
    <cellStyle name="Обычный 2 27" xfId="57809"/>
    <cellStyle name="Обычный 2 28" xfId="57810"/>
    <cellStyle name="Обычный 2 29" xfId="57811"/>
    <cellStyle name="Обычный 2 3" xfId="57812"/>
    <cellStyle name="Обычный 2 3 2" xfId="59251"/>
    <cellStyle name="Обычный 2 3 3" xfId="59254"/>
    <cellStyle name="Обычный 2 30" xfId="57813"/>
    <cellStyle name="Обычный 2 31" xfId="57814"/>
    <cellStyle name="Обычный 2 32" xfId="57815"/>
    <cellStyle name="Обычный 2 33" xfId="57816"/>
    <cellStyle name="Обычный 2 34" xfId="57817"/>
    <cellStyle name="Обычный 2 35" xfId="57818"/>
    <cellStyle name="Обычный 2 36" xfId="57819"/>
    <cellStyle name="Обычный 2 37" xfId="57820"/>
    <cellStyle name="Обычный 2 38" xfId="57821"/>
    <cellStyle name="Обычный 2 39" xfId="57822"/>
    <cellStyle name="Обычный 2 4" xfId="57823"/>
    <cellStyle name="Обычный 2 40" xfId="57824"/>
    <cellStyle name="Обычный 2 41" xfId="57825"/>
    <cellStyle name="Обычный 2 42" xfId="57826"/>
    <cellStyle name="Обычный 2 43" xfId="57827"/>
    <cellStyle name="Обычный 2 44" xfId="57828"/>
    <cellStyle name="Обычный 2 45" xfId="57829"/>
    <cellStyle name="Обычный 2 46" xfId="57830"/>
    <cellStyle name="Обычный 2 47" xfId="57831"/>
    <cellStyle name="Обычный 2 48" xfId="57832"/>
    <cellStyle name="Обычный 2 49" xfId="57833"/>
    <cellStyle name="Обычный 2 5" xfId="57834"/>
    <cellStyle name="Обычный 2 5 2" xfId="59255"/>
    <cellStyle name="Обычный 2 50" xfId="57835"/>
    <cellStyle name="Обычный 2 51" xfId="57836"/>
    <cellStyle name="Обычный 2 52" xfId="57837"/>
    <cellStyle name="Обычный 2 53" xfId="57838"/>
    <cellStyle name="Обычный 2 54" xfId="57839"/>
    <cellStyle name="Обычный 2 55" xfId="57840"/>
    <cellStyle name="Обычный 2 56" xfId="57841"/>
    <cellStyle name="Обычный 2 57" xfId="57842"/>
    <cellStyle name="Обычный 2 58" xfId="57843"/>
    <cellStyle name="Обычный 2 59" xfId="57844"/>
    <cellStyle name="Обычный 2 6" xfId="57845"/>
    <cellStyle name="Обычный 2 6 2" xfId="57846"/>
    <cellStyle name="Обычный 2 60" xfId="57847"/>
    <cellStyle name="Обычный 2 61" xfId="57848"/>
    <cellStyle name="Обычный 2 62" xfId="57849"/>
    <cellStyle name="Обычный 2 63" xfId="57850"/>
    <cellStyle name="Обычный 2 64" xfId="57851"/>
    <cellStyle name="Обычный 2 65" xfId="57852"/>
    <cellStyle name="Обычный 2 66" xfId="57853"/>
    <cellStyle name="Обычный 2 67" xfId="57854"/>
    <cellStyle name="Обычный 2 68" xfId="57855"/>
    <cellStyle name="Обычный 2 69" xfId="57856"/>
    <cellStyle name="Обычный 2 7" xfId="57857"/>
    <cellStyle name="Обычный 2 70" xfId="57858"/>
    <cellStyle name="Обычный 2 71" xfId="57859"/>
    <cellStyle name="Обычный 2 72" xfId="57860"/>
    <cellStyle name="Обычный 2 73" xfId="57861"/>
    <cellStyle name="Обычный 2 74" xfId="57862"/>
    <cellStyle name="Обычный 2 75" xfId="57863"/>
    <cellStyle name="Обычный 2 76" xfId="57864"/>
    <cellStyle name="Обычный 2 77" xfId="57865"/>
    <cellStyle name="Обычный 2 78" xfId="57866"/>
    <cellStyle name="Обычный 2 79" xfId="57867"/>
    <cellStyle name="Обычный 2 8" xfId="57868"/>
    <cellStyle name="Обычный 2 80" xfId="57869"/>
    <cellStyle name="Обычный 2 81" xfId="57870"/>
    <cellStyle name="Обычный 2 82" xfId="57871"/>
    <cellStyle name="Обычный 2 83" xfId="57872"/>
    <cellStyle name="Обычный 2 84" xfId="57873"/>
    <cellStyle name="Обычный 2 85" xfId="57874"/>
    <cellStyle name="Обычный 2 86" xfId="57875"/>
    <cellStyle name="Обычный 2 87" xfId="57876"/>
    <cellStyle name="Обычный 2 88" xfId="57877"/>
    <cellStyle name="Обычный 2 89" xfId="57878"/>
    <cellStyle name="Обычный 2 9" xfId="57879"/>
    <cellStyle name="Обычный 2 90" xfId="57880"/>
    <cellStyle name="Обычный 2 91" xfId="57881"/>
    <cellStyle name="Обычный 2 92" xfId="57882"/>
    <cellStyle name="Обычный 2 93" xfId="57883"/>
    <cellStyle name="Обычный 2 94" xfId="57884"/>
    <cellStyle name="Обычный 2 95" xfId="57885"/>
    <cellStyle name="Обычный 2 96" xfId="57886"/>
    <cellStyle name="Обычный 2 97" xfId="57887"/>
    <cellStyle name="Обычный 2 98" xfId="57888"/>
    <cellStyle name="Обычный 2 99" xfId="57889"/>
    <cellStyle name="Обычный 2_npa105B" xfId="57890"/>
    <cellStyle name="Обычный 20" xfId="57891"/>
    <cellStyle name="Обычный 20 2" xfId="57892"/>
    <cellStyle name="Обычный 20 2 2" xfId="57893"/>
    <cellStyle name="Обычный 20 3" xfId="57894"/>
    <cellStyle name="Обычный 20 4" xfId="57895"/>
    <cellStyle name="Обычный 20 4 5" xfId="59248"/>
    <cellStyle name="Обычный 21" xfId="57896"/>
    <cellStyle name="Обычный 21 2" xfId="57897"/>
    <cellStyle name="Обычный 21 2 2" xfId="57898"/>
    <cellStyle name="Обычный 21 3" xfId="57899"/>
    <cellStyle name="Обычный 22" xfId="57900"/>
    <cellStyle name="Обычный 22 2" xfId="57901"/>
    <cellStyle name="Обычный 22 3" xfId="57902"/>
    <cellStyle name="Обычный 23" xfId="57903"/>
    <cellStyle name="Обычный 23 2" xfId="57904"/>
    <cellStyle name="Обычный 24" xfId="57905"/>
    <cellStyle name="Обычный 24 2" xfId="57906"/>
    <cellStyle name="Обычный 25" xfId="57907"/>
    <cellStyle name="Обычный 26" xfId="57908"/>
    <cellStyle name="Обычный 26 10" xfId="57909"/>
    <cellStyle name="Обычный 26 11" xfId="57910"/>
    <cellStyle name="Обычный 26 12" xfId="57911"/>
    <cellStyle name="Обычный 26 13" xfId="57912"/>
    <cellStyle name="Обычный 26 14" xfId="57913"/>
    <cellStyle name="Обычный 26 15" xfId="57914"/>
    <cellStyle name="Обычный 26 2" xfId="57915"/>
    <cellStyle name="Обычный 26 2 2" xfId="57916"/>
    <cellStyle name="Обычный 26 2 2 2" xfId="57917"/>
    <cellStyle name="Обычный 26 2 3" xfId="57918"/>
    <cellStyle name="Обычный 26 3" xfId="57919"/>
    <cellStyle name="Обычный 26 4" xfId="57920"/>
    <cellStyle name="Обычный 26 4 2" xfId="57921"/>
    <cellStyle name="Обычный 26 4 2 2" xfId="57922"/>
    <cellStyle name="Обычный 26 4 3" xfId="57923"/>
    <cellStyle name="Обычный 26 5" xfId="57924"/>
    <cellStyle name="Обычный 26 5 2" xfId="57925"/>
    <cellStyle name="Обычный 26 6" xfId="57926"/>
    <cellStyle name="Обычный 26 6 2" xfId="57927"/>
    <cellStyle name="Обычный 26 7" xfId="57928"/>
    <cellStyle name="Обычный 26 8" xfId="57929"/>
    <cellStyle name="Обычный 26 9" xfId="57930"/>
    <cellStyle name="Обычный 27" xfId="57931"/>
    <cellStyle name="Обычный 27 2" xfId="57932"/>
    <cellStyle name="Обычный 27 2 2" xfId="57933"/>
    <cellStyle name="Обычный 27 2 2 2" xfId="57934"/>
    <cellStyle name="Обычный 27 2 3" xfId="57935"/>
    <cellStyle name="Обычный 27 3" xfId="57936"/>
    <cellStyle name="Обычный 27 3 2" xfId="57937"/>
    <cellStyle name="Обычный 27 4" xfId="57938"/>
    <cellStyle name="Обычный 27 4 2" xfId="57939"/>
    <cellStyle name="Обычный 27 5" xfId="57940"/>
    <cellStyle name="Обычный 27 6" xfId="57941"/>
    <cellStyle name="Обычный 27 7" xfId="57942"/>
    <cellStyle name="Обычный 27 8" xfId="57943"/>
    <cellStyle name="Обычный 27 9" xfId="57944"/>
    <cellStyle name="Обычный 28" xfId="57945"/>
    <cellStyle name="Обычный 28 2" xfId="57946"/>
    <cellStyle name="Обычный 28 2 2" xfId="57947"/>
    <cellStyle name="Обычный 28 2 2 2" xfId="57948"/>
    <cellStyle name="Обычный 28 2 3" xfId="57949"/>
    <cellStyle name="Обычный 28 3" xfId="57950"/>
    <cellStyle name="Обычный 28 3 2" xfId="57951"/>
    <cellStyle name="Обычный 28 4" xfId="57952"/>
    <cellStyle name="Обычный 28 4 2" xfId="57953"/>
    <cellStyle name="Обычный 28 5" xfId="57954"/>
    <cellStyle name="Обычный 28 6" xfId="57955"/>
    <cellStyle name="Обычный 28 7" xfId="57956"/>
    <cellStyle name="Обычный 28 8" xfId="57957"/>
    <cellStyle name="Обычный 28 9" xfId="57958"/>
    <cellStyle name="Обычный 29" xfId="57959"/>
    <cellStyle name="Обычный 29 2" xfId="57960"/>
    <cellStyle name="Обычный 29 2 2" xfId="57961"/>
    <cellStyle name="Обычный 29 2 2 2" xfId="57962"/>
    <cellStyle name="Обычный 29 2 3" xfId="57963"/>
    <cellStyle name="Обычный 29 3" xfId="57964"/>
    <cellStyle name="Обычный 29 3 2" xfId="57965"/>
    <cellStyle name="Обычный 29 4" xfId="57966"/>
    <cellStyle name="Обычный 29 4 2" xfId="57967"/>
    <cellStyle name="Обычный 29 5" xfId="57968"/>
    <cellStyle name="Обычный 29 6" xfId="57969"/>
    <cellStyle name="Обычный 29 7" xfId="57970"/>
    <cellStyle name="Обычный 29 8" xfId="57971"/>
    <cellStyle name="Обычный 29 9" xfId="57972"/>
    <cellStyle name="Обычный 3" xfId="57973"/>
    <cellStyle name="Обычный 3 10" xfId="57974"/>
    <cellStyle name="Обычный 3 11" xfId="57975"/>
    <cellStyle name="Обычный 3 12" xfId="57976"/>
    <cellStyle name="Обычный 3 13" xfId="57977"/>
    <cellStyle name="Обычный 3 14" xfId="57978"/>
    <cellStyle name="Обычный 3 15" xfId="57979"/>
    <cellStyle name="Обычный 3 16" xfId="57980"/>
    <cellStyle name="Обычный 3 17" xfId="57981"/>
    <cellStyle name="Обычный 3 18" xfId="57982"/>
    <cellStyle name="Обычный 3 19" xfId="59250"/>
    <cellStyle name="Обычный 3 2" xfId="57983"/>
    <cellStyle name="Обычный 3 3" xfId="57984"/>
    <cellStyle name="Обычный 3 3 2" xfId="57985"/>
    <cellStyle name="Обычный 3 4" xfId="57986"/>
    <cellStyle name="Обычный 3 4 2" xfId="57987"/>
    <cellStyle name="Обычный 3 4 2 2" xfId="57988"/>
    <cellStyle name="Обычный 3 4 3" xfId="57989"/>
    <cellStyle name="Обычный 3 5" xfId="57990"/>
    <cellStyle name="Обычный 3 5 2" xfId="57991"/>
    <cellStyle name="Обычный 3 5 2 2" xfId="57992"/>
    <cellStyle name="Обычный 3 5 3" xfId="57993"/>
    <cellStyle name="Обычный 3 6" xfId="57994"/>
    <cellStyle name="Обычный 3 6 2" xfId="57995"/>
    <cellStyle name="Обычный 3 7" xfId="57996"/>
    <cellStyle name="Обычный 3 8" xfId="57997"/>
    <cellStyle name="Обычный 3 9" xfId="57998"/>
    <cellStyle name="Обычный 30" xfId="57999"/>
    <cellStyle name="Обычный 30 2" xfId="58000"/>
    <cellStyle name="Обычный 30 2 2" xfId="58001"/>
    <cellStyle name="Обычный 30 3" xfId="58002"/>
    <cellStyle name="Обычный 30 3 2" xfId="58003"/>
    <cellStyle name="Обычный 30 4" xfId="58004"/>
    <cellStyle name="Обычный 30 5" xfId="58005"/>
    <cellStyle name="Обычный 30 6" xfId="58006"/>
    <cellStyle name="Обычный 30 7" xfId="58007"/>
    <cellStyle name="Обычный 30 8" xfId="58008"/>
    <cellStyle name="Обычный 31" xfId="58009"/>
    <cellStyle name="Обычный 31 2" xfId="58010"/>
    <cellStyle name="Обычный 32" xfId="58011"/>
    <cellStyle name="Обычный 32 2" xfId="58012"/>
    <cellStyle name="Обычный 33" xfId="58013"/>
    <cellStyle name="Обычный 34" xfId="58014"/>
    <cellStyle name="Обычный 35" xfId="58015"/>
    <cellStyle name="Обычный 36" xfId="58016"/>
    <cellStyle name="Обычный 37" xfId="58017"/>
    <cellStyle name="Обычный 38" xfId="58018"/>
    <cellStyle name="Обычный 39" xfId="58019"/>
    <cellStyle name="Обычный 4" xfId="58020"/>
    <cellStyle name="Обычный 4 10" xfId="58021"/>
    <cellStyle name="Обычный 4 11" xfId="58022"/>
    <cellStyle name="Обычный 4 12" xfId="58023"/>
    <cellStyle name="Обычный 4 13" xfId="58024"/>
    <cellStyle name="Обычный 4 14" xfId="58025"/>
    <cellStyle name="Обычный 4 15" xfId="58026"/>
    <cellStyle name="Обычный 4 16" xfId="58027"/>
    <cellStyle name="Обычный 4 16 2" xfId="58028"/>
    <cellStyle name="Обычный 4 16 2 2" xfId="58029"/>
    <cellStyle name="Обычный 4 16 3" xfId="58030"/>
    <cellStyle name="Обычный 4 17" xfId="58031"/>
    <cellStyle name="Обычный 4 17 2" xfId="58032"/>
    <cellStyle name="Обычный 4 17 2 2" xfId="58033"/>
    <cellStyle name="Обычный 4 17 3" xfId="58034"/>
    <cellStyle name="Обычный 4 18" xfId="58035"/>
    <cellStyle name="Обычный 4 18 2" xfId="58036"/>
    <cellStyle name="Обычный 4 18 2 2" xfId="58037"/>
    <cellStyle name="Обычный 4 18 3" xfId="58038"/>
    <cellStyle name="Обычный 4 19" xfId="58039"/>
    <cellStyle name="Обычный 4 19 2" xfId="58040"/>
    <cellStyle name="Обычный 4 2" xfId="58041"/>
    <cellStyle name="Обычный 4 2 2" xfId="58042"/>
    <cellStyle name="Обычный 4 20" xfId="58043"/>
    <cellStyle name="Обычный 4 20 2" xfId="58044"/>
    <cellStyle name="Обычный 4 21" xfId="58045"/>
    <cellStyle name="Обычный 4 21 2" xfId="58046"/>
    <cellStyle name="Обычный 4 22" xfId="58047"/>
    <cellStyle name="Обычный 4 23" xfId="58048"/>
    <cellStyle name="Обычный 4 24" xfId="58049"/>
    <cellStyle name="Обычный 4 25" xfId="58050"/>
    <cellStyle name="Обычный 4 26" xfId="58051"/>
    <cellStyle name="Обычный 4 27" xfId="58052"/>
    <cellStyle name="Обычный 4 28" xfId="58053"/>
    <cellStyle name="Обычный 4 29" xfId="58054"/>
    <cellStyle name="Обычный 4 3" xfId="58055"/>
    <cellStyle name="Обычный 4 3 2" xfId="58056"/>
    <cellStyle name="Обычный 4 3 2 2" xfId="58057"/>
    <cellStyle name="Обычный 4 3 3" xfId="58058"/>
    <cellStyle name="Обычный 4 30" xfId="58059"/>
    <cellStyle name="Обычный 4 31" xfId="58060"/>
    <cellStyle name="Обычный 4 32" xfId="58061"/>
    <cellStyle name="Обычный 4 4" xfId="58062"/>
    <cellStyle name="Обычный 4 4 2" xfId="58063"/>
    <cellStyle name="Обычный 4 4 2 2" xfId="58064"/>
    <cellStyle name="Обычный 4 4 3" xfId="58065"/>
    <cellStyle name="Обычный 4 5" xfId="58066"/>
    <cellStyle name="Обычный 4 5 2" xfId="58067"/>
    <cellStyle name="Обычный 4 6" xfId="58068"/>
    <cellStyle name="Обычный 4 7" xfId="58069"/>
    <cellStyle name="Обычный 4 8" xfId="58070"/>
    <cellStyle name="Обычный 4 9" xfId="58071"/>
    <cellStyle name="Обычный 4_СМО" xfId="58072"/>
    <cellStyle name="Обычный 40" xfId="58073"/>
    <cellStyle name="Обычный 41" xfId="58074"/>
    <cellStyle name="Обычный 42" xfId="58075"/>
    <cellStyle name="Обычный 43" xfId="58076"/>
    <cellStyle name="Обычный 44" xfId="58077"/>
    <cellStyle name="Обычный 45" xfId="58078"/>
    <cellStyle name="Обычный 46" xfId="58079"/>
    <cellStyle name="Обычный 47" xfId="58080"/>
    <cellStyle name="Обычный 48" xfId="58081"/>
    <cellStyle name="Обычный 49" xfId="58082"/>
    <cellStyle name="Обычный 5" xfId="58083"/>
    <cellStyle name="Обычный 5 2" xfId="58084"/>
    <cellStyle name="Обычный 5 3" xfId="59256"/>
    <cellStyle name="Обычный 50" xfId="58085"/>
    <cellStyle name="Обычный 51" xfId="58086"/>
    <cellStyle name="Обычный 52" xfId="58087"/>
    <cellStyle name="Обычный 53" xfId="58088"/>
    <cellStyle name="Обычный 54" xfId="58089"/>
    <cellStyle name="Обычный 55" xfId="58090"/>
    <cellStyle name="Обычный 56" xfId="58091"/>
    <cellStyle name="Обычный 57" xfId="58092"/>
    <cellStyle name="Обычный 58" xfId="58093"/>
    <cellStyle name="Обычный 59" xfId="58094"/>
    <cellStyle name="Обычный 6" xfId="58095"/>
    <cellStyle name="Обычный 6 10" xfId="58096"/>
    <cellStyle name="Обычный 6 11" xfId="58097"/>
    <cellStyle name="Обычный 6 12" xfId="58098"/>
    <cellStyle name="Обычный 6 13" xfId="58099"/>
    <cellStyle name="Обычный 6 14" xfId="58100"/>
    <cellStyle name="Обычный 6 15" xfId="58101"/>
    <cellStyle name="Обычный 6 16" xfId="58102"/>
    <cellStyle name="Обычный 6 17" xfId="58103"/>
    <cellStyle name="Обычный 6 18" xfId="58104"/>
    <cellStyle name="Обычный 6 19" xfId="58105"/>
    <cellStyle name="Обычный 6 2" xfId="58106"/>
    <cellStyle name="Обычный 6 2 2" xfId="58107"/>
    <cellStyle name="Обычный 6 2 2 2" xfId="58108"/>
    <cellStyle name="Обычный 6 2 3" xfId="58109"/>
    <cellStyle name="Обычный 6 3" xfId="58110"/>
    <cellStyle name="Обычный 6 3 2" xfId="58111"/>
    <cellStyle name="Обычный 6 3 2 2" xfId="58112"/>
    <cellStyle name="Обычный 6 3 3" xfId="58113"/>
    <cellStyle name="Обычный 6 4" xfId="58114"/>
    <cellStyle name="Обычный 6 4 2" xfId="58115"/>
    <cellStyle name="Обычный 6 4 2 2" xfId="58116"/>
    <cellStyle name="Обычный 6 4 3" xfId="58117"/>
    <cellStyle name="Обычный 6 5" xfId="58118"/>
    <cellStyle name="Обычный 6 5 2" xfId="58119"/>
    <cellStyle name="Обычный 6 6" xfId="58120"/>
    <cellStyle name="Обычный 6 6 2" xfId="58121"/>
    <cellStyle name="Обычный 6 7" xfId="58122"/>
    <cellStyle name="Обычный 6 7 2" xfId="58123"/>
    <cellStyle name="Обычный 6 8" xfId="58124"/>
    <cellStyle name="Обычный 6 9" xfId="58125"/>
    <cellStyle name="Обычный 60" xfId="58126"/>
    <cellStyle name="Обычный 61" xfId="58127"/>
    <cellStyle name="Обычный 62" xfId="58128"/>
    <cellStyle name="Обычный 63" xfId="58129"/>
    <cellStyle name="Обычный 64" xfId="58130"/>
    <cellStyle name="Обычный 65" xfId="58131"/>
    <cellStyle name="Обычный 66" xfId="58132"/>
    <cellStyle name="Обычный 67" xfId="58133"/>
    <cellStyle name="Обычный 68" xfId="58134"/>
    <cellStyle name="Обычный 69" xfId="58135"/>
    <cellStyle name="Обычный 69 2" xfId="59257"/>
    <cellStyle name="Обычный 7" xfId="58136"/>
    <cellStyle name="Обычный 7 2" xfId="58137"/>
    <cellStyle name="Обычный 7 2 2" xfId="58138"/>
    <cellStyle name="Обычный 7 2 2 2" xfId="58139"/>
    <cellStyle name="Обычный 7 2 3" xfId="58140"/>
    <cellStyle name="Обычный 7 3" xfId="58141"/>
    <cellStyle name="Обычный 7 4" xfId="58142"/>
    <cellStyle name="Обычный 70" xfId="58143"/>
    <cellStyle name="Обычный 71" xfId="58144"/>
    <cellStyle name="Обычный 72" xfId="58145"/>
    <cellStyle name="Обычный 73" xfId="58146"/>
    <cellStyle name="Обычный 74" xfId="58147"/>
    <cellStyle name="Обычный 75" xfId="58148"/>
    <cellStyle name="Обычный 76" xfId="58149"/>
    <cellStyle name="Обычный 77" xfId="58150"/>
    <cellStyle name="Обычный 78" xfId="58151"/>
    <cellStyle name="Обычный 8" xfId="58152"/>
    <cellStyle name="Обычный 8 2" xfId="58153"/>
    <cellStyle name="Обычный 8 2 2" xfId="58154"/>
    <cellStyle name="Обычный 8 2 2 2" xfId="58155"/>
    <cellStyle name="Обычный 8 2 3" xfId="58156"/>
    <cellStyle name="Обычный 8 3" xfId="58157"/>
    <cellStyle name="Обычный 8 4" xfId="58158"/>
    <cellStyle name="Обычный 84" xfId="59247"/>
    <cellStyle name="Обычный 9" xfId="58159"/>
    <cellStyle name="Обычный 9 2" xfId="58160"/>
    <cellStyle name="Обычный 9 2 2" xfId="58161"/>
    <cellStyle name="Обычный 9 2 2 2" xfId="58162"/>
    <cellStyle name="Обычный 9 2 3" xfId="58163"/>
    <cellStyle name="Обычный 9 3" xfId="58164"/>
    <cellStyle name="Обычный 9 4" xfId="58165"/>
    <cellStyle name="Обычный 91" xfId="58166"/>
    <cellStyle name="Обычный 92" xfId="58167"/>
    <cellStyle name="Обычный 93" xfId="58168"/>
    <cellStyle name="Обычный 94" xfId="58169"/>
    <cellStyle name="Обычный 95" xfId="58170"/>
    <cellStyle name="Обычный 96" xfId="58171"/>
    <cellStyle name="Обычный 97" xfId="58172"/>
    <cellStyle name="Обычный 98" xfId="58173"/>
    <cellStyle name="Обычный 99" xfId="58174"/>
    <cellStyle name="Обычный_17.04.2007 Свод(общий)" xfId="59261"/>
    <cellStyle name="Обычный_Ежемесячный отчет 2004 г." xfId="59262"/>
    <cellStyle name="Плохой 10" xfId="58175"/>
    <cellStyle name="Плохой 100" xfId="58176"/>
    <cellStyle name="Плохой 101" xfId="58177"/>
    <cellStyle name="Плохой 102" xfId="58178"/>
    <cellStyle name="Плохой 103" xfId="58179"/>
    <cellStyle name="Плохой 104" xfId="58180"/>
    <cellStyle name="Плохой 105" xfId="58181"/>
    <cellStyle name="Плохой 106" xfId="58182"/>
    <cellStyle name="Плохой 107" xfId="58183"/>
    <cellStyle name="Плохой 108" xfId="58184"/>
    <cellStyle name="Плохой 109" xfId="58185"/>
    <cellStyle name="Плохой 11" xfId="58186"/>
    <cellStyle name="Плохой 110" xfId="58187"/>
    <cellStyle name="Плохой 111" xfId="58188"/>
    <cellStyle name="Плохой 112" xfId="58189"/>
    <cellStyle name="Плохой 113" xfId="58190"/>
    <cellStyle name="Плохой 114" xfId="58191"/>
    <cellStyle name="Плохой 115" xfId="58192"/>
    <cellStyle name="Плохой 116" xfId="58193"/>
    <cellStyle name="Плохой 117" xfId="58194"/>
    <cellStyle name="Плохой 118" xfId="58195"/>
    <cellStyle name="Плохой 119" xfId="58196"/>
    <cellStyle name="Плохой 12" xfId="58197"/>
    <cellStyle name="Плохой 120" xfId="58198"/>
    <cellStyle name="Плохой 121" xfId="58199"/>
    <cellStyle name="Плохой 122" xfId="58200"/>
    <cellStyle name="Плохой 123" xfId="58201"/>
    <cellStyle name="Плохой 124" xfId="58202"/>
    <cellStyle name="Плохой 125" xfId="58203"/>
    <cellStyle name="Плохой 126" xfId="58204"/>
    <cellStyle name="Плохой 127" xfId="58205"/>
    <cellStyle name="Плохой 128" xfId="58206"/>
    <cellStyle name="Плохой 129" xfId="58207"/>
    <cellStyle name="Плохой 13" xfId="58208"/>
    <cellStyle name="Плохой 130" xfId="58209"/>
    <cellStyle name="Плохой 131" xfId="58210"/>
    <cellStyle name="Плохой 132" xfId="58211"/>
    <cellStyle name="Плохой 133" xfId="58212"/>
    <cellStyle name="Плохой 134" xfId="58213"/>
    <cellStyle name="Плохой 135" xfId="58214"/>
    <cellStyle name="Плохой 136" xfId="58215"/>
    <cellStyle name="Плохой 137" xfId="58216"/>
    <cellStyle name="Плохой 138" xfId="58217"/>
    <cellStyle name="Плохой 139" xfId="58218"/>
    <cellStyle name="Плохой 14" xfId="58219"/>
    <cellStyle name="Плохой 140" xfId="58220"/>
    <cellStyle name="Плохой 141" xfId="58221"/>
    <cellStyle name="Плохой 142" xfId="58222"/>
    <cellStyle name="Плохой 143" xfId="58223"/>
    <cellStyle name="Плохой 144" xfId="58224"/>
    <cellStyle name="Плохой 145" xfId="58225"/>
    <cellStyle name="Плохой 146" xfId="58226"/>
    <cellStyle name="Плохой 147" xfId="58227"/>
    <cellStyle name="Плохой 148" xfId="58228"/>
    <cellStyle name="Плохой 149" xfId="58229"/>
    <cellStyle name="Плохой 15" xfId="58230"/>
    <cellStyle name="Плохой 150" xfId="58231"/>
    <cellStyle name="Плохой 151" xfId="58232"/>
    <cellStyle name="Плохой 152" xfId="58233"/>
    <cellStyle name="Плохой 153" xfId="58234"/>
    <cellStyle name="Плохой 16" xfId="58235"/>
    <cellStyle name="Плохой 17" xfId="58236"/>
    <cellStyle name="Плохой 18" xfId="58237"/>
    <cellStyle name="Плохой 19" xfId="58238"/>
    <cellStyle name="Плохой 2" xfId="58239"/>
    <cellStyle name="Плохой 2 2" xfId="58240"/>
    <cellStyle name="Плохой 2 2 10" xfId="58241"/>
    <cellStyle name="Плохой 2 2 11" xfId="58242"/>
    <cellStyle name="Плохой 2 2 12" xfId="58243"/>
    <cellStyle name="Плохой 2 2 13" xfId="58244"/>
    <cellStyle name="Плохой 2 2 2" xfId="58245"/>
    <cellStyle name="Плохой 2 2 3" xfId="58246"/>
    <cellStyle name="Плохой 2 2 4" xfId="58247"/>
    <cellStyle name="Плохой 2 2 5" xfId="58248"/>
    <cellStyle name="Плохой 2 2 6" xfId="58249"/>
    <cellStyle name="Плохой 2 2 7" xfId="58250"/>
    <cellStyle name="Плохой 2 2 8" xfId="58251"/>
    <cellStyle name="Плохой 2 2 9" xfId="58252"/>
    <cellStyle name="Плохой 2 3" xfId="58253"/>
    <cellStyle name="Плохой 20" xfId="58254"/>
    <cellStyle name="Плохой 21" xfId="58255"/>
    <cellStyle name="Плохой 22" xfId="58256"/>
    <cellStyle name="Плохой 23" xfId="58257"/>
    <cellStyle name="Плохой 24" xfId="58258"/>
    <cellStyle name="Плохой 25" xfId="58259"/>
    <cellStyle name="Плохой 26" xfId="58260"/>
    <cellStyle name="Плохой 27" xfId="58261"/>
    <cellStyle name="Плохой 28" xfId="58262"/>
    <cellStyle name="Плохой 29" xfId="58263"/>
    <cellStyle name="Плохой 3" xfId="58264"/>
    <cellStyle name="Плохой 30" xfId="58265"/>
    <cellStyle name="Плохой 31" xfId="58266"/>
    <cellStyle name="Плохой 32" xfId="58267"/>
    <cellStyle name="Плохой 33" xfId="58268"/>
    <cellStyle name="Плохой 34" xfId="58269"/>
    <cellStyle name="Плохой 35" xfId="58270"/>
    <cellStyle name="Плохой 36" xfId="58271"/>
    <cellStyle name="Плохой 37" xfId="58272"/>
    <cellStyle name="Плохой 38" xfId="58273"/>
    <cellStyle name="Плохой 39" xfId="58274"/>
    <cellStyle name="Плохой 4" xfId="58275"/>
    <cellStyle name="Плохой 40" xfId="58276"/>
    <cellStyle name="Плохой 41" xfId="58277"/>
    <cellStyle name="Плохой 42" xfId="58278"/>
    <cellStyle name="Плохой 43" xfId="58279"/>
    <cellStyle name="Плохой 44" xfId="58280"/>
    <cellStyle name="Плохой 45" xfId="58281"/>
    <cellStyle name="Плохой 46" xfId="58282"/>
    <cellStyle name="Плохой 47" xfId="58283"/>
    <cellStyle name="Плохой 48" xfId="58284"/>
    <cellStyle name="Плохой 49" xfId="58285"/>
    <cellStyle name="Плохой 5" xfId="58286"/>
    <cellStyle name="Плохой 50" xfId="58287"/>
    <cellStyle name="Плохой 51" xfId="58288"/>
    <cellStyle name="Плохой 52" xfId="58289"/>
    <cellStyle name="Плохой 53" xfId="58290"/>
    <cellStyle name="Плохой 54" xfId="58291"/>
    <cellStyle name="Плохой 55" xfId="58292"/>
    <cellStyle name="Плохой 56" xfId="58293"/>
    <cellStyle name="Плохой 57" xfId="58294"/>
    <cellStyle name="Плохой 58" xfId="58295"/>
    <cellStyle name="Плохой 59" xfId="58296"/>
    <cellStyle name="Плохой 6" xfId="58297"/>
    <cellStyle name="Плохой 60" xfId="58298"/>
    <cellStyle name="Плохой 61" xfId="58299"/>
    <cellStyle name="Плохой 62" xfId="58300"/>
    <cellStyle name="Плохой 63" xfId="58301"/>
    <cellStyle name="Плохой 64" xfId="58302"/>
    <cellStyle name="Плохой 65" xfId="58303"/>
    <cellStyle name="Плохой 66" xfId="58304"/>
    <cellStyle name="Плохой 67" xfId="58305"/>
    <cellStyle name="Плохой 68" xfId="58306"/>
    <cellStyle name="Плохой 69" xfId="58307"/>
    <cellStyle name="Плохой 7" xfId="58308"/>
    <cellStyle name="Плохой 70" xfId="58309"/>
    <cellStyle name="Плохой 71" xfId="58310"/>
    <cellStyle name="Плохой 72" xfId="58311"/>
    <cellStyle name="Плохой 73" xfId="58312"/>
    <cellStyle name="Плохой 74" xfId="58313"/>
    <cellStyle name="Плохой 75" xfId="58314"/>
    <cellStyle name="Плохой 76" xfId="58315"/>
    <cellStyle name="Плохой 77" xfId="58316"/>
    <cellStyle name="Плохой 78" xfId="58317"/>
    <cellStyle name="Плохой 79" xfId="58318"/>
    <cellStyle name="Плохой 8" xfId="58319"/>
    <cellStyle name="Плохой 80" xfId="58320"/>
    <cellStyle name="Плохой 81" xfId="58321"/>
    <cellStyle name="Плохой 82" xfId="58322"/>
    <cellStyle name="Плохой 83" xfId="58323"/>
    <cellStyle name="Плохой 84" xfId="58324"/>
    <cellStyle name="Плохой 85" xfId="58325"/>
    <cellStyle name="Плохой 86" xfId="58326"/>
    <cellStyle name="Плохой 87" xfId="58327"/>
    <cellStyle name="Плохой 88" xfId="58328"/>
    <cellStyle name="Плохой 89" xfId="58329"/>
    <cellStyle name="Плохой 9" xfId="58330"/>
    <cellStyle name="Плохой 90" xfId="58331"/>
    <cellStyle name="Плохой 91" xfId="58332"/>
    <cellStyle name="Плохой 92" xfId="58333"/>
    <cellStyle name="Плохой 93" xfId="58334"/>
    <cellStyle name="Плохой 94" xfId="58335"/>
    <cellStyle name="Плохой 95" xfId="58336"/>
    <cellStyle name="Плохой 96" xfId="58337"/>
    <cellStyle name="Плохой 97" xfId="58338"/>
    <cellStyle name="Плохой 98" xfId="58339"/>
    <cellStyle name="Плохой 99" xfId="58340"/>
    <cellStyle name="Пояснение 10" xfId="58341"/>
    <cellStyle name="Пояснение 100" xfId="58342"/>
    <cellStyle name="Пояснение 101" xfId="58343"/>
    <cellStyle name="Пояснение 102" xfId="58344"/>
    <cellStyle name="Пояснение 103" xfId="58345"/>
    <cellStyle name="Пояснение 104" xfId="58346"/>
    <cellStyle name="Пояснение 105" xfId="58347"/>
    <cellStyle name="Пояснение 106" xfId="58348"/>
    <cellStyle name="Пояснение 107" xfId="58349"/>
    <cellStyle name="Пояснение 108" xfId="58350"/>
    <cellStyle name="Пояснение 109" xfId="58351"/>
    <cellStyle name="Пояснение 11" xfId="58352"/>
    <cellStyle name="Пояснение 110" xfId="58353"/>
    <cellStyle name="Пояснение 111" xfId="58354"/>
    <cellStyle name="Пояснение 112" xfId="58355"/>
    <cellStyle name="Пояснение 113" xfId="58356"/>
    <cellStyle name="Пояснение 114" xfId="58357"/>
    <cellStyle name="Пояснение 115" xfId="58358"/>
    <cellStyle name="Пояснение 116" xfId="58359"/>
    <cellStyle name="Пояснение 117" xfId="58360"/>
    <cellStyle name="Пояснение 118" xfId="58361"/>
    <cellStyle name="Пояснение 119" xfId="58362"/>
    <cellStyle name="Пояснение 12" xfId="58363"/>
    <cellStyle name="Пояснение 120" xfId="58364"/>
    <cellStyle name="Пояснение 121" xfId="58365"/>
    <cellStyle name="Пояснение 122" xfId="58366"/>
    <cellStyle name="Пояснение 123" xfId="58367"/>
    <cellStyle name="Пояснение 124" xfId="58368"/>
    <cellStyle name="Пояснение 125" xfId="58369"/>
    <cellStyle name="Пояснение 126" xfId="58370"/>
    <cellStyle name="Пояснение 127" xfId="58371"/>
    <cellStyle name="Пояснение 128" xfId="58372"/>
    <cellStyle name="Пояснение 129" xfId="58373"/>
    <cellStyle name="Пояснение 13" xfId="58374"/>
    <cellStyle name="Пояснение 130" xfId="58375"/>
    <cellStyle name="Пояснение 131" xfId="58376"/>
    <cellStyle name="Пояснение 132" xfId="58377"/>
    <cellStyle name="Пояснение 133" xfId="58378"/>
    <cellStyle name="Пояснение 134" xfId="58379"/>
    <cellStyle name="Пояснение 135" xfId="58380"/>
    <cellStyle name="Пояснение 136" xfId="58381"/>
    <cellStyle name="Пояснение 137" xfId="58382"/>
    <cellStyle name="Пояснение 138" xfId="58383"/>
    <cellStyle name="Пояснение 139" xfId="58384"/>
    <cellStyle name="Пояснение 14" xfId="58385"/>
    <cellStyle name="Пояснение 140" xfId="58386"/>
    <cellStyle name="Пояснение 141" xfId="58387"/>
    <cellStyle name="Пояснение 142" xfId="58388"/>
    <cellStyle name="Пояснение 143" xfId="58389"/>
    <cellStyle name="Пояснение 144" xfId="58390"/>
    <cellStyle name="Пояснение 145" xfId="58391"/>
    <cellStyle name="Пояснение 146" xfId="58392"/>
    <cellStyle name="Пояснение 147" xfId="58393"/>
    <cellStyle name="Пояснение 148" xfId="58394"/>
    <cellStyle name="Пояснение 149" xfId="58395"/>
    <cellStyle name="Пояснение 15" xfId="58396"/>
    <cellStyle name="Пояснение 150" xfId="58397"/>
    <cellStyle name="Пояснение 151" xfId="58398"/>
    <cellStyle name="Пояснение 152" xfId="58399"/>
    <cellStyle name="Пояснение 153" xfId="58400"/>
    <cellStyle name="Пояснение 16" xfId="58401"/>
    <cellStyle name="Пояснение 17" xfId="58402"/>
    <cellStyle name="Пояснение 18" xfId="58403"/>
    <cellStyle name="Пояснение 19" xfId="58404"/>
    <cellStyle name="Пояснение 2" xfId="58405"/>
    <cellStyle name="Пояснение 2 2" xfId="58406"/>
    <cellStyle name="Пояснение 2 2 10" xfId="58407"/>
    <cellStyle name="Пояснение 2 2 11" xfId="58408"/>
    <cellStyle name="Пояснение 2 2 12" xfId="58409"/>
    <cellStyle name="Пояснение 2 2 13" xfId="58410"/>
    <cellStyle name="Пояснение 2 2 2" xfId="58411"/>
    <cellStyle name="Пояснение 2 2 3" xfId="58412"/>
    <cellStyle name="Пояснение 2 2 4" xfId="58413"/>
    <cellStyle name="Пояснение 2 2 5" xfId="58414"/>
    <cellStyle name="Пояснение 2 2 6" xfId="58415"/>
    <cellStyle name="Пояснение 2 2 7" xfId="58416"/>
    <cellStyle name="Пояснение 2 2 8" xfId="58417"/>
    <cellStyle name="Пояснение 2 2 9" xfId="58418"/>
    <cellStyle name="Пояснение 2 3" xfId="58419"/>
    <cellStyle name="Пояснение 20" xfId="58420"/>
    <cellStyle name="Пояснение 21" xfId="58421"/>
    <cellStyle name="Пояснение 22" xfId="58422"/>
    <cellStyle name="Пояснение 23" xfId="58423"/>
    <cellStyle name="Пояснение 24" xfId="58424"/>
    <cellStyle name="Пояснение 25" xfId="58425"/>
    <cellStyle name="Пояснение 26" xfId="58426"/>
    <cellStyle name="Пояснение 27" xfId="58427"/>
    <cellStyle name="Пояснение 28" xfId="58428"/>
    <cellStyle name="Пояснение 29" xfId="58429"/>
    <cellStyle name="Пояснение 3" xfId="58430"/>
    <cellStyle name="Пояснение 30" xfId="58431"/>
    <cellStyle name="Пояснение 31" xfId="58432"/>
    <cellStyle name="Пояснение 32" xfId="58433"/>
    <cellStyle name="Пояснение 33" xfId="58434"/>
    <cellStyle name="Пояснение 34" xfId="58435"/>
    <cellStyle name="Пояснение 35" xfId="58436"/>
    <cellStyle name="Пояснение 36" xfId="58437"/>
    <cellStyle name="Пояснение 37" xfId="58438"/>
    <cellStyle name="Пояснение 38" xfId="58439"/>
    <cellStyle name="Пояснение 39" xfId="58440"/>
    <cellStyle name="Пояснение 4" xfId="58441"/>
    <cellStyle name="Пояснение 40" xfId="58442"/>
    <cellStyle name="Пояснение 41" xfId="58443"/>
    <cellStyle name="Пояснение 42" xfId="58444"/>
    <cellStyle name="Пояснение 43" xfId="58445"/>
    <cellStyle name="Пояснение 44" xfId="58446"/>
    <cellStyle name="Пояснение 45" xfId="58447"/>
    <cellStyle name="Пояснение 46" xfId="58448"/>
    <cellStyle name="Пояснение 47" xfId="58449"/>
    <cellStyle name="Пояснение 48" xfId="58450"/>
    <cellStyle name="Пояснение 49" xfId="58451"/>
    <cellStyle name="Пояснение 5" xfId="58452"/>
    <cellStyle name="Пояснение 50" xfId="58453"/>
    <cellStyle name="Пояснение 51" xfId="58454"/>
    <cellStyle name="Пояснение 52" xfId="58455"/>
    <cellStyle name="Пояснение 53" xfId="58456"/>
    <cellStyle name="Пояснение 54" xfId="58457"/>
    <cellStyle name="Пояснение 55" xfId="58458"/>
    <cellStyle name="Пояснение 56" xfId="58459"/>
    <cellStyle name="Пояснение 57" xfId="58460"/>
    <cellStyle name="Пояснение 58" xfId="58461"/>
    <cellStyle name="Пояснение 59" xfId="58462"/>
    <cellStyle name="Пояснение 6" xfId="58463"/>
    <cellStyle name="Пояснение 60" xfId="58464"/>
    <cellStyle name="Пояснение 61" xfId="58465"/>
    <cellStyle name="Пояснение 62" xfId="58466"/>
    <cellStyle name="Пояснение 63" xfId="58467"/>
    <cellStyle name="Пояснение 64" xfId="58468"/>
    <cellStyle name="Пояснение 65" xfId="58469"/>
    <cellStyle name="Пояснение 66" xfId="58470"/>
    <cellStyle name="Пояснение 67" xfId="58471"/>
    <cellStyle name="Пояснение 68" xfId="58472"/>
    <cellStyle name="Пояснение 69" xfId="58473"/>
    <cellStyle name="Пояснение 7" xfId="58474"/>
    <cellStyle name="Пояснение 70" xfId="58475"/>
    <cellStyle name="Пояснение 71" xfId="58476"/>
    <cellStyle name="Пояснение 72" xfId="58477"/>
    <cellStyle name="Пояснение 73" xfId="58478"/>
    <cellStyle name="Пояснение 74" xfId="58479"/>
    <cellStyle name="Пояснение 75" xfId="58480"/>
    <cellStyle name="Пояснение 76" xfId="58481"/>
    <cellStyle name="Пояснение 77" xfId="58482"/>
    <cellStyle name="Пояснение 78" xfId="58483"/>
    <cellStyle name="Пояснение 79" xfId="58484"/>
    <cellStyle name="Пояснение 8" xfId="58485"/>
    <cellStyle name="Пояснение 80" xfId="58486"/>
    <cellStyle name="Пояснение 81" xfId="58487"/>
    <cellStyle name="Пояснение 82" xfId="58488"/>
    <cellStyle name="Пояснение 83" xfId="58489"/>
    <cellStyle name="Пояснение 84" xfId="58490"/>
    <cellStyle name="Пояснение 85" xfId="58491"/>
    <cellStyle name="Пояснение 86" xfId="58492"/>
    <cellStyle name="Пояснение 87" xfId="58493"/>
    <cellStyle name="Пояснение 88" xfId="58494"/>
    <cellStyle name="Пояснение 89" xfId="58495"/>
    <cellStyle name="Пояснение 9" xfId="58496"/>
    <cellStyle name="Пояснение 90" xfId="58497"/>
    <cellStyle name="Пояснение 91" xfId="58498"/>
    <cellStyle name="Пояснение 92" xfId="58499"/>
    <cellStyle name="Пояснение 93" xfId="58500"/>
    <cellStyle name="Пояснение 94" xfId="58501"/>
    <cellStyle name="Пояснение 95" xfId="58502"/>
    <cellStyle name="Пояснение 96" xfId="58503"/>
    <cellStyle name="Пояснение 97" xfId="58504"/>
    <cellStyle name="Пояснение 98" xfId="58505"/>
    <cellStyle name="Пояснение 99" xfId="58506"/>
    <cellStyle name="Примечание 10" xfId="58507"/>
    <cellStyle name="Примечание 10 2" xfId="58508"/>
    <cellStyle name="Примечание 10 3" xfId="58509"/>
    <cellStyle name="Примечание 100" xfId="58510"/>
    <cellStyle name="Примечание 101" xfId="58511"/>
    <cellStyle name="Примечание 102" xfId="58512"/>
    <cellStyle name="Примечание 103" xfId="58513"/>
    <cellStyle name="Примечание 104" xfId="58514"/>
    <cellStyle name="Примечание 105" xfId="58515"/>
    <cellStyle name="Примечание 106" xfId="58516"/>
    <cellStyle name="Примечание 107" xfId="58517"/>
    <cellStyle name="Примечание 108" xfId="58518"/>
    <cellStyle name="Примечание 109" xfId="58519"/>
    <cellStyle name="Примечание 11" xfId="58520"/>
    <cellStyle name="Примечание 11 2" xfId="58521"/>
    <cellStyle name="Примечание 11 3" xfId="58522"/>
    <cellStyle name="Примечание 110" xfId="58523"/>
    <cellStyle name="Примечание 111" xfId="58524"/>
    <cellStyle name="Примечание 112" xfId="58525"/>
    <cellStyle name="Примечание 113" xfId="58526"/>
    <cellStyle name="Примечание 114" xfId="58527"/>
    <cellStyle name="Примечание 115" xfId="58528"/>
    <cellStyle name="Примечание 116" xfId="58529"/>
    <cellStyle name="Примечание 117" xfId="58530"/>
    <cellStyle name="Примечание 118" xfId="58531"/>
    <cellStyle name="Примечание 119" xfId="58532"/>
    <cellStyle name="Примечание 12" xfId="58533"/>
    <cellStyle name="Примечание 12 2" xfId="58534"/>
    <cellStyle name="Примечание 12 3" xfId="58535"/>
    <cellStyle name="Примечание 120" xfId="58536"/>
    <cellStyle name="Примечание 121" xfId="58537"/>
    <cellStyle name="Примечание 122" xfId="58538"/>
    <cellStyle name="Примечание 123" xfId="58539"/>
    <cellStyle name="Примечание 124" xfId="58540"/>
    <cellStyle name="Примечание 125" xfId="58541"/>
    <cellStyle name="Примечание 126" xfId="58542"/>
    <cellStyle name="Примечание 127" xfId="58543"/>
    <cellStyle name="Примечание 128" xfId="58544"/>
    <cellStyle name="Примечание 129" xfId="58545"/>
    <cellStyle name="Примечание 13" xfId="58546"/>
    <cellStyle name="Примечание 13 2" xfId="58547"/>
    <cellStyle name="Примечание 13 3" xfId="58548"/>
    <cellStyle name="Примечание 130" xfId="58549"/>
    <cellStyle name="Примечание 131" xfId="58550"/>
    <cellStyle name="Примечание 132" xfId="58551"/>
    <cellStyle name="Примечание 133" xfId="58552"/>
    <cellStyle name="Примечание 134" xfId="58553"/>
    <cellStyle name="Примечание 135" xfId="58554"/>
    <cellStyle name="Примечание 136" xfId="58555"/>
    <cellStyle name="Примечание 137" xfId="58556"/>
    <cellStyle name="Примечание 138" xfId="58557"/>
    <cellStyle name="Примечание 139" xfId="58558"/>
    <cellStyle name="Примечание 14" xfId="58559"/>
    <cellStyle name="Примечание 140" xfId="58560"/>
    <cellStyle name="Примечание 141" xfId="58561"/>
    <cellStyle name="Примечание 142" xfId="58562"/>
    <cellStyle name="Примечание 143" xfId="58563"/>
    <cellStyle name="Примечание 144" xfId="58564"/>
    <cellStyle name="Примечание 145" xfId="58565"/>
    <cellStyle name="Примечание 146" xfId="58566"/>
    <cellStyle name="Примечание 147" xfId="58567"/>
    <cellStyle name="Примечание 148" xfId="58568"/>
    <cellStyle name="Примечание 149" xfId="58569"/>
    <cellStyle name="Примечание 15" xfId="58570"/>
    <cellStyle name="Примечание 150" xfId="58571"/>
    <cellStyle name="Примечание 151" xfId="58572"/>
    <cellStyle name="Примечание 152" xfId="58573"/>
    <cellStyle name="Примечание 153" xfId="58574"/>
    <cellStyle name="Примечание 154" xfId="58575"/>
    <cellStyle name="Примечание 155" xfId="58576"/>
    <cellStyle name="Примечание 156" xfId="58577"/>
    <cellStyle name="Примечание 157" xfId="58578"/>
    <cellStyle name="Примечание 158" xfId="58579"/>
    <cellStyle name="Примечание 159" xfId="58580"/>
    <cellStyle name="Примечание 16" xfId="58581"/>
    <cellStyle name="Примечание 160" xfId="58582"/>
    <cellStyle name="Примечание 161" xfId="58583"/>
    <cellStyle name="Примечание 162" xfId="58584"/>
    <cellStyle name="Примечание 163" xfId="58585"/>
    <cellStyle name="Примечание 164" xfId="58586"/>
    <cellStyle name="Примечание 17" xfId="58587"/>
    <cellStyle name="Примечание 18" xfId="58588"/>
    <cellStyle name="Примечание 19" xfId="58589"/>
    <cellStyle name="Примечание 2" xfId="58590"/>
    <cellStyle name="Примечание 2 2" xfId="58591"/>
    <cellStyle name="Примечание 2 3" xfId="58592"/>
    <cellStyle name="Примечание 2 4" xfId="58593"/>
    <cellStyle name="Примечание 20" xfId="58594"/>
    <cellStyle name="Примечание 21" xfId="58595"/>
    <cellStyle name="Примечание 22" xfId="58596"/>
    <cellStyle name="Примечание 23" xfId="58597"/>
    <cellStyle name="Примечание 24" xfId="58598"/>
    <cellStyle name="Примечание 25" xfId="58599"/>
    <cellStyle name="Примечание 26" xfId="58600"/>
    <cellStyle name="Примечание 27" xfId="58601"/>
    <cellStyle name="Примечание 28" xfId="58602"/>
    <cellStyle name="Примечание 29" xfId="58603"/>
    <cellStyle name="Примечание 3" xfId="58604"/>
    <cellStyle name="Примечание 3 2" xfId="58605"/>
    <cellStyle name="Примечание 3 3" xfId="58606"/>
    <cellStyle name="Примечание 30" xfId="58607"/>
    <cellStyle name="Примечание 31" xfId="58608"/>
    <cellStyle name="Примечание 32" xfId="58609"/>
    <cellStyle name="Примечание 33" xfId="58610"/>
    <cellStyle name="Примечание 34" xfId="58611"/>
    <cellStyle name="Примечание 35" xfId="58612"/>
    <cellStyle name="Примечание 36" xfId="58613"/>
    <cellStyle name="Примечание 37" xfId="58614"/>
    <cellStyle name="Примечание 38" xfId="58615"/>
    <cellStyle name="Примечание 39" xfId="58616"/>
    <cellStyle name="Примечание 4" xfId="58617"/>
    <cellStyle name="Примечание 4 2" xfId="58618"/>
    <cellStyle name="Примечание 4 3" xfId="58619"/>
    <cellStyle name="Примечание 40" xfId="58620"/>
    <cellStyle name="Примечание 41" xfId="58621"/>
    <cellStyle name="Примечание 42" xfId="58622"/>
    <cellStyle name="Примечание 43" xfId="58623"/>
    <cellStyle name="Примечание 44" xfId="58624"/>
    <cellStyle name="Примечание 45" xfId="58625"/>
    <cellStyle name="Примечание 46" xfId="58626"/>
    <cellStyle name="Примечание 47" xfId="58627"/>
    <cellStyle name="Примечание 48" xfId="58628"/>
    <cellStyle name="Примечание 49" xfId="58629"/>
    <cellStyle name="Примечание 5" xfId="58630"/>
    <cellStyle name="Примечание 5 2" xfId="58631"/>
    <cellStyle name="Примечание 5 3" xfId="58632"/>
    <cellStyle name="Примечание 50" xfId="58633"/>
    <cellStyle name="Примечание 51" xfId="58634"/>
    <cellStyle name="Примечание 52" xfId="58635"/>
    <cellStyle name="Примечание 53" xfId="58636"/>
    <cellStyle name="Примечание 54" xfId="58637"/>
    <cellStyle name="Примечание 55" xfId="58638"/>
    <cellStyle name="Примечание 56" xfId="58639"/>
    <cellStyle name="Примечание 57" xfId="58640"/>
    <cellStyle name="Примечание 58" xfId="58641"/>
    <cellStyle name="Примечание 59" xfId="58642"/>
    <cellStyle name="Примечание 6" xfId="58643"/>
    <cellStyle name="Примечание 6 2" xfId="58644"/>
    <cellStyle name="Примечание 6 3" xfId="58645"/>
    <cellStyle name="Примечание 60" xfId="58646"/>
    <cellStyle name="Примечание 61" xfId="58647"/>
    <cellStyle name="Примечание 62" xfId="58648"/>
    <cellStyle name="Примечание 63" xfId="58649"/>
    <cellStyle name="Примечание 64" xfId="58650"/>
    <cellStyle name="Примечание 65" xfId="58651"/>
    <cellStyle name="Примечание 66" xfId="58652"/>
    <cellStyle name="Примечание 67" xfId="58653"/>
    <cellStyle name="Примечание 68" xfId="58654"/>
    <cellStyle name="Примечание 69" xfId="58655"/>
    <cellStyle name="Примечание 7" xfId="58656"/>
    <cellStyle name="Примечание 7 2" xfId="58657"/>
    <cellStyle name="Примечание 7 3" xfId="58658"/>
    <cellStyle name="Примечание 70" xfId="58659"/>
    <cellStyle name="Примечание 71" xfId="58660"/>
    <cellStyle name="Примечание 72" xfId="58661"/>
    <cellStyle name="Примечание 73" xfId="58662"/>
    <cellStyle name="Примечание 74" xfId="58663"/>
    <cellStyle name="Примечание 75" xfId="58664"/>
    <cellStyle name="Примечание 76" xfId="58665"/>
    <cellStyle name="Примечание 77" xfId="58666"/>
    <cellStyle name="Примечание 78" xfId="58667"/>
    <cellStyle name="Примечание 79" xfId="58668"/>
    <cellStyle name="Примечание 8" xfId="58669"/>
    <cellStyle name="Примечание 8 2" xfId="58670"/>
    <cellStyle name="Примечание 8 3" xfId="58671"/>
    <cellStyle name="Примечание 80" xfId="58672"/>
    <cellStyle name="Примечание 81" xfId="58673"/>
    <cellStyle name="Примечание 82" xfId="58674"/>
    <cellStyle name="Примечание 83" xfId="58675"/>
    <cellStyle name="Примечание 84" xfId="58676"/>
    <cellStyle name="Примечание 85" xfId="58677"/>
    <cellStyle name="Примечание 86" xfId="58678"/>
    <cellStyle name="Примечание 87" xfId="58679"/>
    <cellStyle name="Примечание 88" xfId="58680"/>
    <cellStyle name="Примечание 89" xfId="58681"/>
    <cellStyle name="Примечание 9" xfId="58682"/>
    <cellStyle name="Примечание 9 2" xfId="58683"/>
    <cellStyle name="Примечание 9 3" xfId="58684"/>
    <cellStyle name="Примечание 90" xfId="58685"/>
    <cellStyle name="Примечание 91" xfId="58686"/>
    <cellStyle name="Примечание 92" xfId="58687"/>
    <cellStyle name="Примечание 93" xfId="58688"/>
    <cellStyle name="Примечание 94" xfId="58689"/>
    <cellStyle name="Примечание 95" xfId="58690"/>
    <cellStyle name="Примечание 96" xfId="58691"/>
    <cellStyle name="Примечание 97" xfId="58692"/>
    <cellStyle name="Примечание 98" xfId="58693"/>
    <cellStyle name="Примечание 99" xfId="58694"/>
    <cellStyle name="Процентный 2" xfId="58695"/>
    <cellStyle name="Процентный 2 2" xfId="59258"/>
    <cellStyle name="Процентный 3" xfId="58696"/>
    <cellStyle name="Процентный 4" xfId="58697"/>
    <cellStyle name="Процентный 5" xfId="59259"/>
    <cellStyle name="Процентный 6" xfId="59260"/>
    <cellStyle name="Связанная ячейка 10" xfId="58698"/>
    <cellStyle name="Связанная ячейка 100" xfId="58699"/>
    <cellStyle name="Связанная ячейка 101" xfId="58700"/>
    <cellStyle name="Связанная ячейка 102" xfId="58701"/>
    <cellStyle name="Связанная ячейка 103" xfId="58702"/>
    <cellStyle name="Связанная ячейка 104" xfId="58703"/>
    <cellStyle name="Связанная ячейка 105" xfId="58704"/>
    <cellStyle name="Связанная ячейка 106" xfId="58705"/>
    <cellStyle name="Связанная ячейка 107" xfId="58706"/>
    <cellStyle name="Связанная ячейка 108" xfId="58707"/>
    <cellStyle name="Связанная ячейка 109" xfId="58708"/>
    <cellStyle name="Связанная ячейка 11" xfId="58709"/>
    <cellStyle name="Связанная ячейка 110" xfId="58710"/>
    <cellStyle name="Связанная ячейка 111" xfId="58711"/>
    <cellStyle name="Связанная ячейка 112" xfId="58712"/>
    <cellStyle name="Связанная ячейка 113" xfId="58713"/>
    <cellStyle name="Связанная ячейка 114" xfId="58714"/>
    <cellStyle name="Связанная ячейка 115" xfId="58715"/>
    <cellStyle name="Связанная ячейка 116" xfId="58716"/>
    <cellStyle name="Связанная ячейка 117" xfId="58717"/>
    <cellStyle name="Связанная ячейка 118" xfId="58718"/>
    <cellStyle name="Связанная ячейка 119" xfId="58719"/>
    <cellStyle name="Связанная ячейка 12" xfId="58720"/>
    <cellStyle name="Связанная ячейка 120" xfId="58721"/>
    <cellStyle name="Связанная ячейка 121" xfId="58722"/>
    <cellStyle name="Связанная ячейка 122" xfId="58723"/>
    <cellStyle name="Связанная ячейка 123" xfId="58724"/>
    <cellStyle name="Связанная ячейка 124" xfId="58725"/>
    <cellStyle name="Связанная ячейка 125" xfId="58726"/>
    <cellStyle name="Связанная ячейка 126" xfId="58727"/>
    <cellStyle name="Связанная ячейка 127" xfId="58728"/>
    <cellStyle name="Связанная ячейка 128" xfId="58729"/>
    <cellStyle name="Связанная ячейка 129" xfId="58730"/>
    <cellStyle name="Связанная ячейка 13" xfId="58731"/>
    <cellStyle name="Связанная ячейка 130" xfId="58732"/>
    <cellStyle name="Связанная ячейка 131" xfId="58733"/>
    <cellStyle name="Связанная ячейка 132" xfId="58734"/>
    <cellStyle name="Связанная ячейка 133" xfId="58735"/>
    <cellStyle name="Связанная ячейка 134" xfId="58736"/>
    <cellStyle name="Связанная ячейка 135" xfId="58737"/>
    <cellStyle name="Связанная ячейка 136" xfId="58738"/>
    <cellStyle name="Связанная ячейка 137" xfId="58739"/>
    <cellStyle name="Связанная ячейка 138" xfId="58740"/>
    <cellStyle name="Связанная ячейка 139" xfId="58741"/>
    <cellStyle name="Связанная ячейка 14" xfId="58742"/>
    <cellStyle name="Связанная ячейка 140" xfId="58743"/>
    <cellStyle name="Связанная ячейка 141" xfId="58744"/>
    <cellStyle name="Связанная ячейка 142" xfId="58745"/>
    <cellStyle name="Связанная ячейка 143" xfId="58746"/>
    <cellStyle name="Связанная ячейка 144" xfId="58747"/>
    <cellStyle name="Связанная ячейка 145" xfId="58748"/>
    <cellStyle name="Связанная ячейка 146" xfId="58749"/>
    <cellStyle name="Связанная ячейка 147" xfId="58750"/>
    <cellStyle name="Связанная ячейка 148" xfId="58751"/>
    <cellStyle name="Связанная ячейка 149" xfId="58752"/>
    <cellStyle name="Связанная ячейка 15" xfId="58753"/>
    <cellStyle name="Связанная ячейка 150" xfId="58754"/>
    <cellStyle name="Связанная ячейка 151" xfId="58755"/>
    <cellStyle name="Связанная ячейка 152" xfId="58756"/>
    <cellStyle name="Связанная ячейка 153" xfId="58757"/>
    <cellStyle name="Связанная ячейка 16" xfId="58758"/>
    <cellStyle name="Связанная ячейка 17" xfId="58759"/>
    <cellStyle name="Связанная ячейка 18" xfId="58760"/>
    <cellStyle name="Связанная ячейка 19" xfId="58761"/>
    <cellStyle name="Связанная ячейка 2" xfId="58762"/>
    <cellStyle name="Связанная ячейка 2 2" xfId="58763"/>
    <cellStyle name="Связанная ячейка 2 2 10" xfId="58764"/>
    <cellStyle name="Связанная ячейка 2 2 11" xfId="58765"/>
    <cellStyle name="Связанная ячейка 2 2 12" xfId="58766"/>
    <cellStyle name="Связанная ячейка 2 2 13" xfId="58767"/>
    <cellStyle name="Связанная ячейка 2 2 2" xfId="58768"/>
    <cellStyle name="Связанная ячейка 2 2 3" xfId="58769"/>
    <cellStyle name="Связанная ячейка 2 2 4" xfId="58770"/>
    <cellStyle name="Связанная ячейка 2 2 5" xfId="58771"/>
    <cellStyle name="Связанная ячейка 2 2 6" xfId="58772"/>
    <cellStyle name="Связанная ячейка 2 2 7" xfId="58773"/>
    <cellStyle name="Связанная ячейка 2 2 8" xfId="58774"/>
    <cellStyle name="Связанная ячейка 2 2 9" xfId="58775"/>
    <cellStyle name="Связанная ячейка 2 3" xfId="58776"/>
    <cellStyle name="Связанная ячейка 20" xfId="58777"/>
    <cellStyle name="Связанная ячейка 21" xfId="58778"/>
    <cellStyle name="Связанная ячейка 22" xfId="58779"/>
    <cellStyle name="Связанная ячейка 23" xfId="58780"/>
    <cellStyle name="Связанная ячейка 24" xfId="58781"/>
    <cellStyle name="Связанная ячейка 25" xfId="58782"/>
    <cellStyle name="Связанная ячейка 26" xfId="58783"/>
    <cellStyle name="Связанная ячейка 27" xfId="58784"/>
    <cellStyle name="Связанная ячейка 28" xfId="58785"/>
    <cellStyle name="Связанная ячейка 29" xfId="58786"/>
    <cellStyle name="Связанная ячейка 3" xfId="58787"/>
    <cellStyle name="Связанная ячейка 30" xfId="58788"/>
    <cellStyle name="Связанная ячейка 31" xfId="58789"/>
    <cellStyle name="Связанная ячейка 32" xfId="58790"/>
    <cellStyle name="Связанная ячейка 33" xfId="58791"/>
    <cellStyle name="Связанная ячейка 34" xfId="58792"/>
    <cellStyle name="Связанная ячейка 35" xfId="58793"/>
    <cellStyle name="Связанная ячейка 36" xfId="58794"/>
    <cellStyle name="Связанная ячейка 37" xfId="58795"/>
    <cellStyle name="Связанная ячейка 38" xfId="58796"/>
    <cellStyle name="Связанная ячейка 39" xfId="58797"/>
    <cellStyle name="Связанная ячейка 4" xfId="58798"/>
    <cellStyle name="Связанная ячейка 40" xfId="58799"/>
    <cellStyle name="Связанная ячейка 41" xfId="58800"/>
    <cellStyle name="Связанная ячейка 42" xfId="58801"/>
    <cellStyle name="Связанная ячейка 43" xfId="58802"/>
    <cellStyle name="Связанная ячейка 44" xfId="58803"/>
    <cellStyle name="Связанная ячейка 45" xfId="58804"/>
    <cellStyle name="Связанная ячейка 46" xfId="58805"/>
    <cellStyle name="Связанная ячейка 47" xfId="58806"/>
    <cellStyle name="Связанная ячейка 48" xfId="58807"/>
    <cellStyle name="Связанная ячейка 49" xfId="58808"/>
    <cellStyle name="Связанная ячейка 5" xfId="58809"/>
    <cellStyle name="Связанная ячейка 50" xfId="58810"/>
    <cellStyle name="Связанная ячейка 51" xfId="58811"/>
    <cellStyle name="Связанная ячейка 52" xfId="58812"/>
    <cellStyle name="Связанная ячейка 53" xfId="58813"/>
    <cellStyle name="Связанная ячейка 54" xfId="58814"/>
    <cellStyle name="Связанная ячейка 55" xfId="58815"/>
    <cellStyle name="Связанная ячейка 56" xfId="58816"/>
    <cellStyle name="Связанная ячейка 57" xfId="58817"/>
    <cellStyle name="Связанная ячейка 58" xfId="58818"/>
    <cellStyle name="Связанная ячейка 59" xfId="58819"/>
    <cellStyle name="Связанная ячейка 6" xfId="58820"/>
    <cellStyle name="Связанная ячейка 60" xfId="58821"/>
    <cellStyle name="Связанная ячейка 61" xfId="58822"/>
    <cellStyle name="Связанная ячейка 62" xfId="58823"/>
    <cellStyle name="Связанная ячейка 63" xfId="58824"/>
    <cellStyle name="Связанная ячейка 64" xfId="58825"/>
    <cellStyle name="Связанная ячейка 65" xfId="58826"/>
    <cellStyle name="Связанная ячейка 66" xfId="58827"/>
    <cellStyle name="Связанная ячейка 67" xfId="58828"/>
    <cellStyle name="Связанная ячейка 68" xfId="58829"/>
    <cellStyle name="Связанная ячейка 69" xfId="58830"/>
    <cellStyle name="Связанная ячейка 7" xfId="58831"/>
    <cellStyle name="Связанная ячейка 70" xfId="58832"/>
    <cellStyle name="Связанная ячейка 71" xfId="58833"/>
    <cellStyle name="Связанная ячейка 72" xfId="58834"/>
    <cellStyle name="Связанная ячейка 73" xfId="58835"/>
    <cellStyle name="Связанная ячейка 74" xfId="58836"/>
    <cellStyle name="Связанная ячейка 75" xfId="58837"/>
    <cellStyle name="Связанная ячейка 76" xfId="58838"/>
    <cellStyle name="Связанная ячейка 77" xfId="58839"/>
    <cellStyle name="Связанная ячейка 78" xfId="58840"/>
    <cellStyle name="Связанная ячейка 79" xfId="58841"/>
    <cellStyle name="Связанная ячейка 8" xfId="58842"/>
    <cellStyle name="Связанная ячейка 80" xfId="58843"/>
    <cellStyle name="Связанная ячейка 81" xfId="58844"/>
    <cellStyle name="Связанная ячейка 82" xfId="58845"/>
    <cellStyle name="Связанная ячейка 83" xfId="58846"/>
    <cellStyle name="Связанная ячейка 84" xfId="58847"/>
    <cellStyle name="Связанная ячейка 85" xfId="58848"/>
    <cellStyle name="Связанная ячейка 86" xfId="58849"/>
    <cellStyle name="Связанная ячейка 87" xfId="58850"/>
    <cellStyle name="Связанная ячейка 88" xfId="58851"/>
    <cellStyle name="Связанная ячейка 89" xfId="58852"/>
    <cellStyle name="Связанная ячейка 9" xfId="58853"/>
    <cellStyle name="Связанная ячейка 90" xfId="58854"/>
    <cellStyle name="Связанная ячейка 91" xfId="58855"/>
    <cellStyle name="Связанная ячейка 92" xfId="58856"/>
    <cellStyle name="Связанная ячейка 93" xfId="58857"/>
    <cellStyle name="Связанная ячейка 94" xfId="58858"/>
    <cellStyle name="Связанная ячейка 95" xfId="58859"/>
    <cellStyle name="Связанная ячейка 96" xfId="58860"/>
    <cellStyle name="Связанная ячейка 97" xfId="58861"/>
    <cellStyle name="Связанная ячейка 98" xfId="58862"/>
    <cellStyle name="Связанная ячейка 99" xfId="58863"/>
    <cellStyle name="Стиль 1" xfId="58864"/>
    <cellStyle name="Текст предупреждения 10" xfId="58865"/>
    <cellStyle name="Текст предупреждения 100" xfId="58866"/>
    <cellStyle name="Текст предупреждения 101" xfId="58867"/>
    <cellStyle name="Текст предупреждения 102" xfId="58868"/>
    <cellStyle name="Текст предупреждения 103" xfId="58869"/>
    <cellStyle name="Текст предупреждения 104" xfId="58870"/>
    <cellStyle name="Текст предупреждения 105" xfId="58871"/>
    <cellStyle name="Текст предупреждения 106" xfId="58872"/>
    <cellStyle name="Текст предупреждения 107" xfId="58873"/>
    <cellStyle name="Текст предупреждения 108" xfId="58874"/>
    <cellStyle name="Текст предупреждения 109" xfId="58875"/>
    <cellStyle name="Текст предупреждения 11" xfId="58876"/>
    <cellStyle name="Текст предупреждения 110" xfId="58877"/>
    <cellStyle name="Текст предупреждения 111" xfId="58878"/>
    <cellStyle name="Текст предупреждения 112" xfId="58879"/>
    <cellStyle name="Текст предупреждения 113" xfId="58880"/>
    <cellStyle name="Текст предупреждения 114" xfId="58881"/>
    <cellStyle name="Текст предупреждения 115" xfId="58882"/>
    <cellStyle name="Текст предупреждения 116" xfId="58883"/>
    <cellStyle name="Текст предупреждения 117" xfId="58884"/>
    <cellStyle name="Текст предупреждения 118" xfId="58885"/>
    <cellStyle name="Текст предупреждения 119" xfId="58886"/>
    <cellStyle name="Текст предупреждения 12" xfId="58887"/>
    <cellStyle name="Текст предупреждения 120" xfId="58888"/>
    <cellStyle name="Текст предупреждения 121" xfId="58889"/>
    <cellStyle name="Текст предупреждения 122" xfId="58890"/>
    <cellStyle name="Текст предупреждения 123" xfId="58891"/>
    <cellStyle name="Текст предупреждения 124" xfId="58892"/>
    <cellStyle name="Текст предупреждения 125" xfId="58893"/>
    <cellStyle name="Текст предупреждения 126" xfId="58894"/>
    <cellStyle name="Текст предупреждения 127" xfId="58895"/>
    <cellStyle name="Текст предупреждения 128" xfId="58896"/>
    <cellStyle name="Текст предупреждения 129" xfId="58897"/>
    <cellStyle name="Текст предупреждения 13" xfId="58898"/>
    <cellStyle name="Текст предупреждения 130" xfId="58899"/>
    <cellStyle name="Текст предупреждения 131" xfId="58900"/>
    <cellStyle name="Текст предупреждения 132" xfId="58901"/>
    <cellStyle name="Текст предупреждения 133" xfId="58902"/>
    <cellStyle name="Текст предупреждения 134" xfId="58903"/>
    <cellStyle name="Текст предупреждения 135" xfId="58904"/>
    <cellStyle name="Текст предупреждения 136" xfId="58905"/>
    <cellStyle name="Текст предупреждения 137" xfId="58906"/>
    <cellStyle name="Текст предупреждения 138" xfId="58907"/>
    <cellStyle name="Текст предупреждения 139" xfId="58908"/>
    <cellStyle name="Текст предупреждения 14" xfId="58909"/>
    <cellStyle name="Текст предупреждения 140" xfId="58910"/>
    <cellStyle name="Текст предупреждения 141" xfId="58911"/>
    <cellStyle name="Текст предупреждения 142" xfId="58912"/>
    <cellStyle name="Текст предупреждения 143" xfId="58913"/>
    <cellStyle name="Текст предупреждения 144" xfId="58914"/>
    <cellStyle name="Текст предупреждения 145" xfId="58915"/>
    <cellStyle name="Текст предупреждения 146" xfId="58916"/>
    <cellStyle name="Текст предупреждения 147" xfId="58917"/>
    <cellStyle name="Текст предупреждения 148" xfId="58918"/>
    <cellStyle name="Текст предупреждения 149" xfId="58919"/>
    <cellStyle name="Текст предупреждения 15" xfId="58920"/>
    <cellStyle name="Текст предупреждения 150" xfId="58921"/>
    <cellStyle name="Текст предупреждения 151" xfId="58922"/>
    <cellStyle name="Текст предупреждения 152" xfId="58923"/>
    <cellStyle name="Текст предупреждения 153" xfId="58924"/>
    <cellStyle name="Текст предупреждения 16" xfId="58925"/>
    <cellStyle name="Текст предупреждения 17" xfId="58926"/>
    <cellStyle name="Текст предупреждения 18" xfId="58927"/>
    <cellStyle name="Текст предупреждения 19" xfId="58928"/>
    <cellStyle name="Текст предупреждения 2" xfId="58929"/>
    <cellStyle name="Текст предупреждения 2 2" xfId="58930"/>
    <cellStyle name="Текст предупреждения 2 2 10" xfId="58931"/>
    <cellStyle name="Текст предупреждения 2 2 11" xfId="58932"/>
    <cellStyle name="Текст предупреждения 2 2 12" xfId="58933"/>
    <cellStyle name="Текст предупреждения 2 2 13" xfId="58934"/>
    <cellStyle name="Текст предупреждения 2 2 2" xfId="58935"/>
    <cellStyle name="Текст предупреждения 2 2 3" xfId="58936"/>
    <cellStyle name="Текст предупреждения 2 2 4" xfId="58937"/>
    <cellStyle name="Текст предупреждения 2 2 5" xfId="58938"/>
    <cellStyle name="Текст предупреждения 2 2 6" xfId="58939"/>
    <cellStyle name="Текст предупреждения 2 2 7" xfId="58940"/>
    <cellStyle name="Текст предупреждения 2 2 8" xfId="58941"/>
    <cellStyle name="Текст предупреждения 2 2 9" xfId="58942"/>
    <cellStyle name="Текст предупреждения 2 3" xfId="58943"/>
    <cellStyle name="Текст предупреждения 20" xfId="58944"/>
    <cellStyle name="Текст предупреждения 21" xfId="58945"/>
    <cellStyle name="Текст предупреждения 22" xfId="58946"/>
    <cellStyle name="Текст предупреждения 23" xfId="58947"/>
    <cellStyle name="Текст предупреждения 24" xfId="58948"/>
    <cellStyle name="Текст предупреждения 25" xfId="58949"/>
    <cellStyle name="Текст предупреждения 26" xfId="58950"/>
    <cellStyle name="Текст предупреждения 27" xfId="58951"/>
    <cellStyle name="Текст предупреждения 28" xfId="58952"/>
    <cellStyle name="Текст предупреждения 29" xfId="58953"/>
    <cellStyle name="Текст предупреждения 3" xfId="58954"/>
    <cellStyle name="Текст предупреждения 30" xfId="58955"/>
    <cellStyle name="Текст предупреждения 31" xfId="58956"/>
    <cellStyle name="Текст предупреждения 32" xfId="58957"/>
    <cellStyle name="Текст предупреждения 33" xfId="58958"/>
    <cellStyle name="Текст предупреждения 34" xfId="58959"/>
    <cellStyle name="Текст предупреждения 35" xfId="58960"/>
    <cellStyle name="Текст предупреждения 36" xfId="58961"/>
    <cellStyle name="Текст предупреждения 37" xfId="58962"/>
    <cellStyle name="Текст предупреждения 38" xfId="58963"/>
    <cellStyle name="Текст предупреждения 39" xfId="58964"/>
    <cellStyle name="Текст предупреждения 4" xfId="58965"/>
    <cellStyle name="Текст предупреждения 40" xfId="58966"/>
    <cellStyle name="Текст предупреждения 41" xfId="58967"/>
    <cellStyle name="Текст предупреждения 42" xfId="58968"/>
    <cellStyle name="Текст предупреждения 43" xfId="58969"/>
    <cellStyle name="Текст предупреждения 44" xfId="58970"/>
    <cellStyle name="Текст предупреждения 45" xfId="58971"/>
    <cellStyle name="Текст предупреждения 46" xfId="58972"/>
    <cellStyle name="Текст предупреждения 47" xfId="58973"/>
    <cellStyle name="Текст предупреждения 48" xfId="58974"/>
    <cellStyle name="Текст предупреждения 49" xfId="58975"/>
    <cellStyle name="Текст предупреждения 5" xfId="58976"/>
    <cellStyle name="Текст предупреждения 50" xfId="58977"/>
    <cellStyle name="Текст предупреждения 51" xfId="58978"/>
    <cellStyle name="Текст предупреждения 52" xfId="58979"/>
    <cellStyle name="Текст предупреждения 53" xfId="58980"/>
    <cellStyle name="Текст предупреждения 54" xfId="58981"/>
    <cellStyle name="Текст предупреждения 55" xfId="58982"/>
    <cellStyle name="Текст предупреждения 56" xfId="58983"/>
    <cellStyle name="Текст предупреждения 57" xfId="58984"/>
    <cellStyle name="Текст предупреждения 58" xfId="58985"/>
    <cellStyle name="Текст предупреждения 59" xfId="58986"/>
    <cellStyle name="Текст предупреждения 6" xfId="58987"/>
    <cellStyle name="Текст предупреждения 60" xfId="58988"/>
    <cellStyle name="Текст предупреждения 61" xfId="58989"/>
    <cellStyle name="Текст предупреждения 62" xfId="58990"/>
    <cellStyle name="Текст предупреждения 63" xfId="58991"/>
    <cellStyle name="Текст предупреждения 64" xfId="58992"/>
    <cellStyle name="Текст предупреждения 65" xfId="58993"/>
    <cellStyle name="Текст предупреждения 66" xfId="58994"/>
    <cellStyle name="Текст предупреждения 67" xfId="58995"/>
    <cellStyle name="Текст предупреждения 68" xfId="58996"/>
    <cellStyle name="Текст предупреждения 69" xfId="58997"/>
    <cellStyle name="Текст предупреждения 7" xfId="58998"/>
    <cellStyle name="Текст предупреждения 70" xfId="58999"/>
    <cellStyle name="Текст предупреждения 71" xfId="59000"/>
    <cellStyle name="Текст предупреждения 72" xfId="59001"/>
    <cellStyle name="Текст предупреждения 73" xfId="59002"/>
    <cellStyle name="Текст предупреждения 74" xfId="59003"/>
    <cellStyle name="Текст предупреждения 75" xfId="59004"/>
    <cellStyle name="Текст предупреждения 76" xfId="59005"/>
    <cellStyle name="Текст предупреждения 77" xfId="59006"/>
    <cellStyle name="Текст предупреждения 78" xfId="59007"/>
    <cellStyle name="Текст предупреждения 79" xfId="59008"/>
    <cellStyle name="Текст предупреждения 8" xfId="59009"/>
    <cellStyle name="Текст предупреждения 80" xfId="59010"/>
    <cellStyle name="Текст предупреждения 81" xfId="59011"/>
    <cellStyle name="Текст предупреждения 82" xfId="59012"/>
    <cellStyle name="Текст предупреждения 83" xfId="59013"/>
    <cellStyle name="Текст предупреждения 84" xfId="59014"/>
    <cellStyle name="Текст предупреждения 85" xfId="59015"/>
    <cellStyle name="Текст предупреждения 86" xfId="59016"/>
    <cellStyle name="Текст предупреждения 87" xfId="59017"/>
    <cellStyle name="Текст предупреждения 88" xfId="59018"/>
    <cellStyle name="Текст предупреждения 89" xfId="59019"/>
    <cellStyle name="Текст предупреждения 9" xfId="59020"/>
    <cellStyle name="Текст предупреждения 90" xfId="59021"/>
    <cellStyle name="Текст предупреждения 91" xfId="59022"/>
    <cellStyle name="Текст предупреждения 92" xfId="59023"/>
    <cellStyle name="Текст предупреждения 93" xfId="59024"/>
    <cellStyle name="Текст предупреждения 94" xfId="59025"/>
    <cellStyle name="Текст предупреждения 95" xfId="59026"/>
    <cellStyle name="Текст предупреждения 96" xfId="59027"/>
    <cellStyle name="Текст предупреждения 97" xfId="59028"/>
    <cellStyle name="Текст предупреждения 98" xfId="59029"/>
    <cellStyle name="Текст предупреждения 99" xfId="59030"/>
    <cellStyle name="Финансовый 10" xfId="59031"/>
    <cellStyle name="Финансовый 2" xfId="59032"/>
    <cellStyle name="Финансовый 2 10" xfId="59033"/>
    <cellStyle name="Финансовый 2 11" xfId="59034"/>
    <cellStyle name="Финансовый 2 12" xfId="59035"/>
    <cellStyle name="Финансовый 2 13" xfId="59036"/>
    <cellStyle name="Финансовый 2 14" xfId="59037"/>
    <cellStyle name="Финансовый 2 15" xfId="59038"/>
    <cellStyle name="Финансовый 2 16" xfId="59039"/>
    <cellStyle name="Финансовый 2 17" xfId="59040"/>
    <cellStyle name="Финансовый 2 2" xfId="59041"/>
    <cellStyle name="Финансовый 2 2 2" xfId="59042"/>
    <cellStyle name="Финансовый 2 2 2 2" xfId="59043"/>
    <cellStyle name="Финансовый 2 2 3" xfId="59044"/>
    <cellStyle name="Финансовый 2 3" xfId="59045"/>
    <cellStyle name="Финансовый 2 3 2" xfId="59046"/>
    <cellStyle name="Финансовый 2 3 2 2" xfId="59047"/>
    <cellStyle name="Финансовый 2 3 3" xfId="59048"/>
    <cellStyle name="Финансовый 2 4" xfId="59049"/>
    <cellStyle name="Финансовый 2 4 2" xfId="59050"/>
    <cellStyle name="Финансовый 2 4 2 2" xfId="59051"/>
    <cellStyle name="Финансовый 2 4 3" xfId="59052"/>
    <cellStyle name="Финансовый 2 5" xfId="59053"/>
    <cellStyle name="Финансовый 2 5 2" xfId="59054"/>
    <cellStyle name="Финансовый 2 6" xfId="59055"/>
    <cellStyle name="Финансовый 2 6 2" xfId="59056"/>
    <cellStyle name="Финансовый 2 7" xfId="59057"/>
    <cellStyle name="Финансовый 2 7 2" xfId="59058"/>
    <cellStyle name="Финансовый 2 8" xfId="59059"/>
    <cellStyle name="Финансовый 2 9" xfId="59060"/>
    <cellStyle name="Финансовый 3" xfId="59061"/>
    <cellStyle name="Финансовый 3 2" xfId="59062"/>
    <cellStyle name="Финансовый 3 2 2" xfId="59063"/>
    <cellStyle name="Финансовый 3 3" xfId="59064"/>
    <cellStyle name="Финансовый 3 4" xfId="59065"/>
    <cellStyle name="Финансовый 3 5" xfId="59066"/>
    <cellStyle name="Финансовый 3 6" xfId="59067"/>
    <cellStyle name="Финансовый 3 7" xfId="59068"/>
    <cellStyle name="Финансовый 3 8" xfId="59069"/>
    <cellStyle name="Финансовый 3 9" xfId="59070"/>
    <cellStyle name="Финансовый 4" xfId="59071"/>
    <cellStyle name="Финансовый 4 2" xfId="59072"/>
    <cellStyle name="Финансовый 4 3" xfId="59073"/>
    <cellStyle name="Финансовый 5" xfId="59074"/>
    <cellStyle name="Финансовый 5 2" xfId="59075"/>
    <cellStyle name="Финансовый 6" xfId="59076"/>
    <cellStyle name="Финансовый 6 2" xfId="59077"/>
    <cellStyle name="Финансовый 7" xfId="59078"/>
    <cellStyle name="Финансовый 8" xfId="59079"/>
    <cellStyle name="Финансовый 9" xfId="59080"/>
    <cellStyle name="Хороший 10" xfId="59081"/>
    <cellStyle name="Хороший 100" xfId="59082"/>
    <cellStyle name="Хороший 101" xfId="59083"/>
    <cellStyle name="Хороший 102" xfId="59084"/>
    <cellStyle name="Хороший 103" xfId="59085"/>
    <cellStyle name="Хороший 104" xfId="59086"/>
    <cellStyle name="Хороший 105" xfId="59087"/>
    <cellStyle name="Хороший 106" xfId="59088"/>
    <cellStyle name="Хороший 107" xfId="59089"/>
    <cellStyle name="Хороший 108" xfId="59090"/>
    <cellStyle name="Хороший 109" xfId="59091"/>
    <cellStyle name="Хороший 11" xfId="59092"/>
    <cellStyle name="Хороший 110" xfId="59093"/>
    <cellStyle name="Хороший 111" xfId="59094"/>
    <cellStyle name="Хороший 112" xfId="59095"/>
    <cellStyle name="Хороший 113" xfId="59096"/>
    <cellStyle name="Хороший 114" xfId="59097"/>
    <cellStyle name="Хороший 115" xfId="59098"/>
    <cellStyle name="Хороший 116" xfId="59099"/>
    <cellStyle name="Хороший 117" xfId="59100"/>
    <cellStyle name="Хороший 118" xfId="59101"/>
    <cellStyle name="Хороший 119" xfId="59102"/>
    <cellStyle name="Хороший 12" xfId="59103"/>
    <cellStyle name="Хороший 120" xfId="59104"/>
    <cellStyle name="Хороший 121" xfId="59105"/>
    <cellStyle name="Хороший 122" xfId="59106"/>
    <cellStyle name="Хороший 123" xfId="59107"/>
    <cellStyle name="Хороший 124" xfId="59108"/>
    <cellStyle name="Хороший 125" xfId="59109"/>
    <cellStyle name="Хороший 126" xfId="59110"/>
    <cellStyle name="Хороший 127" xfId="59111"/>
    <cellStyle name="Хороший 128" xfId="59112"/>
    <cellStyle name="Хороший 129" xfId="59113"/>
    <cellStyle name="Хороший 13" xfId="59114"/>
    <cellStyle name="Хороший 130" xfId="59115"/>
    <cellStyle name="Хороший 131" xfId="59116"/>
    <cellStyle name="Хороший 132" xfId="59117"/>
    <cellStyle name="Хороший 133" xfId="59118"/>
    <cellStyle name="Хороший 134" xfId="59119"/>
    <cellStyle name="Хороший 135" xfId="59120"/>
    <cellStyle name="Хороший 136" xfId="59121"/>
    <cellStyle name="Хороший 137" xfId="59122"/>
    <cellStyle name="Хороший 138" xfId="59123"/>
    <cellStyle name="Хороший 139" xfId="59124"/>
    <cellStyle name="Хороший 14" xfId="59125"/>
    <cellStyle name="Хороший 140" xfId="59126"/>
    <cellStyle name="Хороший 141" xfId="59127"/>
    <cellStyle name="Хороший 142" xfId="59128"/>
    <cellStyle name="Хороший 143" xfId="59129"/>
    <cellStyle name="Хороший 144" xfId="59130"/>
    <cellStyle name="Хороший 145" xfId="59131"/>
    <cellStyle name="Хороший 146" xfId="59132"/>
    <cellStyle name="Хороший 147" xfId="59133"/>
    <cellStyle name="Хороший 148" xfId="59134"/>
    <cellStyle name="Хороший 149" xfId="59135"/>
    <cellStyle name="Хороший 15" xfId="59136"/>
    <cellStyle name="Хороший 150" xfId="59137"/>
    <cellStyle name="Хороший 151" xfId="59138"/>
    <cellStyle name="Хороший 152" xfId="59139"/>
    <cellStyle name="Хороший 153" xfId="59140"/>
    <cellStyle name="Хороший 16" xfId="59141"/>
    <cellStyle name="Хороший 17" xfId="59142"/>
    <cellStyle name="Хороший 18" xfId="59143"/>
    <cellStyle name="Хороший 19" xfId="59144"/>
    <cellStyle name="Хороший 2" xfId="59145"/>
    <cellStyle name="Хороший 2 2" xfId="59146"/>
    <cellStyle name="Хороший 2 2 10" xfId="59147"/>
    <cellStyle name="Хороший 2 2 11" xfId="59148"/>
    <cellStyle name="Хороший 2 2 12" xfId="59149"/>
    <cellStyle name="Хороший 2 2 13" xfId="59150"/>
    <cellStyle name="Хороший 2 2 2" xfId="59151"/>
    <cellStyle name="Хороший 2 2 3" xfId="59152"/>
    <cellStyle name="Хороший 2 2 4" xfId="59153"/>
    <cellStyle name="Хороший 2 2 5" xfId="59154"/>
    <cellStyle name="Хороший 2 2 6" xfId="59155"/>
    <cellStyle name="Хороший 2 2 7" xfId="59156"/>
    <cellStyle name="Хороший 2 2 8" xfId="59157"/>
    <cellStyle name="Хороший 2 2 9" xfId="59158"/>
    <cellStyle name="Хороший 2 3" xfId="59159"/>
    <cellStyle name="Хороший 20" xfId="59160"/>
    <cellStyle name="Хороший 21" xfId="59161"/>
    <cellStyle name="Хороший 22" xfId="59162"/>
    <cellStyle name="Хороший 23" xfId="59163"/>
    <cellStyle name="Хороший 24" xfId="59164"/>
    <cellStyle name="Хороший 25" xfId="59165"/>
    <cellStyle name="Хороший 26" xfId="59166"/>
    <cellStyle name="Хороший 27" xfId="59167"/>
    <cellStyle name="Хороший 28" xfId="59168"/>
    <cellStyle name="Хороший 29" xfId="59169"/>
    <cellStyle name="Хороший 3" xfId="59170"/>
    <cellStyle name="Хороший 30" xfId="59171"/>
    <cellStyle name="Хороший 31" xfId="59172"/>
    <cellStyle name="Хороший 32" xfId="59173"/>
    <cellStyle name="Хороший 33" xfId="59174"/>
    <cellStyle name="Хороший 34" xfId="59175"/>
    <cellStyle name="Хороший 35" xfId="59176"/>
    <cellStyle name="Хороший 36" xfId="59177"/>
    <cellStyle name="Хороший 37" xfId="59178"/>
    <cellStyle name="Хороший 38" xfId="59179"/>
    <cellStyle name="Хороший 39" xfId="59180"/>
    <cellStyle name="Хороший 4" xfId="59181"/>
    <cellStyle name="Хороший 40" xfId="59182"/>
    <cellStyle name="Хороший 41" xfId="59183"/>
    <cellStyle name="Хороший 42" xfId="59184"/>
    <cellStyle name="Хороший 43" xfId="59185"/>
    <cellStyle name="Хороший 44" xfId="59186"/>
    <cellStyle name="Хороший 45" xfId="59187"/>
    <cellStyle name="Хороший 46" xfId="59188"/>
    <cellStyle name="Хороший 47" xfId="59189"/>
    <cellStyle name="Хороший 48" xfId="59190"/>
    <cellStyle name="Хороший 49" xfId="59191"/>
    <cellStyle name="Хороший 5" xfId="59192"/>
    <cellStyle name="Хороший 50" xfId="59193"/>
    <cellStyle name="Хороший 51" xfId="59194"/>
    <cellStyle name="Хороший 52" xfId="59195"/>
    <cellStyle name="Хороший 53" xfId="59196"/>
    <cellStyle name="Хороший 54" xfId="59197"/>
    <cellStyle name="Хороший 55" xfId="59198"/>
    <cellStyle name="Хороший 56" xfId="59199"/>
    <cellStyle name="Хороший 57" xfId="59200"/>
    <cellStyle name="Хороший 58" xfId="59201"/>
    <cellStyle name="Хороший 59" xfId="59202"/>
    <cellStyle name="Хороший 6" xfId="59203"/>
    <cellStyle name="Хороший 60" xfId="59204"/>
    <cellStyle name="Хороший 61" xfId="59205"/>
    <cellStyle name="Хороший 62" xfId="59206"/>
    <cellStyle name="Хороший 63" xfId="59207"/>
    <cellStyle name="Хороший 64" xfId="59208"/>
    <cellStyle name="Хороший 65" xfId="59209"/>
    <cellStyle name="Хороший 66" xfId="59210"/>
    <cellStyle name="Хороший 67" xfId="59211"/>
    <cellStyle name="Хороший 68" xfId="59212"/>
    <cellStyle name="Хороший 69" xfId="59213"/>
    <cellStyle name="Хороший 7" xfId="59214"/>
    <cellStyle name="Хороший 70" xfId="59215"/>
    <cellStyle name="Хороший 71" xfId="59216"/>
    <cellStyle name="Хороший 72" xfId="59217"/>
    <cellStyle name="Хороший 73" xfId="59218"/>
    <cellStyle name="Хороший 74" xfId="59219"/>
    <cellStyle name="Хороший 75" xfId="59220"/>
    <cellStyle name="Хороший 76" xfId="59221"/>
    <cellStyle name="Хороший 77" xfId="59222"/>
    <cellStyle name="Хороший 78" xfId="59223"/>
    <cellStyle name="Хороший 79" xfId="59224"/>
    <cellStyle name="Хороший 8" xfId="59225"/>
    <cellStyle name="Хороший 80" xfId="59226"/>
    <cellStyle name="Хороший 81" xfId="59227"/>
    <cellStyle name="Хороший 82" xfId="59228"/>
    <cellStyle name="Хороший 83" xfId="59229"/>
    <cellStyle name="Хороший 84" xfId="59230"/>
    <cellStyle name="Хороший 85" xfId="59231"/>
    <cellStyle name="Хороший 86" xfId="59232"/>
    <cellStyle name="Хороший 87" xfId="59233"/>
    <cellStyle name="Хороший 88" xfId="59234"/>
    <cellStyle name="Хороший 89" xfId="59235"/>
    <cellStyle name="Хороший 9" xfId="59236"/>
    <cellStyle name="Хороший 90" xfId="59237"/>
    <cellStyle name="Хороший 91" xfId="59238"/>
    <cellStyle name="Хороший 92" xfId="59239"/>
    <cellStyle name="Хороший 93" xfId="59240"/>
    <cellStyle name="Хороший 94" xfId="59241"/>
    <cellStyle name="Хороший 95" xfId="59242"/>
    <cellStyle name="Хороший 96" xfId="59243"/>
    <cellStyle name="Хороший 97" xfId="59244"/>
    <cellStyle name="Хороший 98" xfId="59245"/>
    <cellStyle name="Хороший 99" xfId="5924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SIT/&#1058;%20&#1040;%20&#1056;%20&#1048;%20&#1060;%20&#1053;%20&#1067;%20&#1045;/&#1054;&#1073;&#1098;&#1077;&#1084;&#1099;/2020%20&#1075;/&#1040;&#1055;&#1059;%20&#1055;&#1088;&#1086;&#1092;&#1080;&#1083;&#1072;&#1082;&#1090;&#1080;&#1082;&#1072;/&#1040;&#1055;&#1059;%20&#1055;&#1088;&#1086;&#1092;&#1080;&#1083;&#1072;&#1082;&#1090;&#1080;&#1082;&#1072;%20%20&#1057;&#1074;&#1086;&#1076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на 01.01.2020"/>
      <sheetName val="Всего Профилактика  2020 Пр.107"/>
      <sheetName val="Проф.иными цел.2020 Пр.107"/>
      <sheetName val="Проф.иными цел.2020 Пр.108"/>
      <sheetName val="Проф.иными цел.2020 Пр.108-107"/>
      <sheetName val="Проф.иные Пр.108-107 сумма"/>
      <sheetName val="Всего Профилактика  2020 Пр109"/>
      <sheetName val="Проф.иными цел.2020 Пр.109"/>
      <sheetName val="Всего Профилактика 109-107"/>
      <sheetName val="Проф.иными цел.109-108"/>
      <sheetName val="Всего Профилактика 109-107 ФО"/>
      <sheetName val="Проф.иными цел.109-108 ФО"/>
      <sheetName val="Всего профил.2020 Пр.110"/>
      <sheetName val="Всего проф.2020 Пр.110-109"/>
      <sheetName val="Проф.с иными целями Пр.110"/>
      <sheetName val="Проф.иными цел.Пр.110-109 объем"/>
      <sheetName val="Проф.ин.цел.Пр.110-109 финансы"/>
      <sheetName val="Всего профил.2020 Пр.111"/>
      <sheetName val="Всего профил.2020 Пр.111 -110"/>
      <sheetName val="Проф.с иными целями Пр.111"/>
      <sheetName val="Проф.с иными целями Пр.111-110"/>
      <sheetName val="Всего профил. Пр.111 -110финанс"/>
      <sheetName val="Проф.с иными цел Пр.111-110фин "/>
      <sheetName val="Всего профил.2020 Пр.113"/>
      <sheetName val="Всего профил.2020 Пр.113-111"/>
      <sheetName val="Проф.с иными целями Пр.113"/>
      <sheetName val="Проф.с иными целями Пр.113 -111"/>
      <sheetName val="Всего профил.2020 Пр.113-111 фи"/>
      <sheetName val="Проф.с иными целями Пр.113-111ф"/>
      <sheetName val="Всего профил.2020 Пр.114"/>
      <sheetName val="Всего профил.2020 Пр.114-113"/>
      <sheetName val="Проф.с иными целями Пр.114"/>
      <sheetName val="Проф.с иными целями Пр.114-113"/>
      <sheetName val="Всего профил. Пр.114-113 финанс"/>
      <sheetName val="Проф.с иными цел. Пр.114-113фин"/>
      <sheetName val="Всего профил.Пр.116"/>
      <sheetName val="Всего профил.Пр.116-114"/>
      <sheetName val="Проф.с иными целями Пр.116."/>
      <sheetName val="Проф.с иными целями Пр.116-114"/>
      <sheetName val="Проф.с иными цел. Пр.116-114 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0">
          <cell r="C10">
            <v>134795</v>
          </cell>
        </row>
        <row r="11">
          <cell r="C11">
            <v>1403</v>
          </cell>
        </row>
        <row r="12">
          <cell r="C12">
            <v>134339</v>
          </cell>
        </row>
        <row r="13">
          <cell r="C13">
            <v>1297</v>
          </cell>
        </row>
        <row r="14">
          <cell r="C14">
            <v>315145</v>
          </cell>
        </row>
        <row r="15">
          <cell r="C15">
            <v>40884</v>
          </cell>
        </row>
        <row r="16">
          <cell r="C16">
            <v>98323</v>
          </cell>
        </row>
        <row r="17">
          <cell r="C17">
            <v>41931</v>
          </cell>
        </row>
        <row r="18">
          <cell r="C18">
            <v>43971</v>
          </cell>
        </row>
        <row r="19">
          <cell r="C19">
            <v>47619</v>
          </cell>
        </row>
        <row r="20">
          <cell r="C20">
            <v>50929</v>
          </cell>
        </row>
        <row r="21">
          <cell r="C21">
            <v>52970</v>
          </cell>
        </row>
        <row r="22">
          <cell r="C22">
            <v>49970</v>
          </cell>
        </row>
        <row r="23">
          <cell r="C23">
            <v>59397</v>
          </cell>
        </row>
        <row r="24">
          <cell r="C24">
            <v>47782</v>
          </cell>
        </row>
        <row r="25">
          <cell r="C25">
            <v>6</v>
          </cell>
        </row>
        <row r="26">
          <cell r="C26">
            <v>141873</v>
          </cell>
        </row>
        <row r="27">
          <cell r="C27">
            <v>2391</v>
          </cell>
        </row>
        <row r="28">
          <cell r="C28">
            <v>119360</v>
          </cell>
        </row>
        <row r="29">
          <cell r="C29">
            <v>235833</v>
          </cell>
        </row>
        <row r="30">
          <cell r="C30">
            <v>156323</v>
          </cell>
        </row>
        <row r="31">
          <cell r="C31">
            <v>35612</v>
          </cell>
        </row>
        <row r="32">
          <cell r="C32">
            <v>64168</v>
          </cell>
        </row>
        <row r="33">
          <cell r="C33">
            <v>87341</v>
          </cell>
        </row>
        <row r="34">
          <cell r="C34">
            <v>35929</v>
          </cell>
        </row>
        <row r="35">
          <cell r="C35">
            <v>30212</v>
          </cell>
        </row>
        <row r="36">
          <cell r="C36">
            <v>75509</v>
          </cell>
        </row>
        <row r="37">
          <cell r="C37">
            <v>84268</v>
          </cell>
        </row>
        <row r="38">
          <cell r="C38">
            <v>13457</v>
          </cell>
        </row>
        <row r="39">
          <cell r="C39">
            <v>171500</v>
          </cell>
        </row>
        <row r="40">
          <cell r="C40">
            <v>80024</v>
          </cell>
        </row>
        <row r="41">
          <cell r="C41">
            <v>15230</v>
          </cell>
        </row>
        <row r="42">
          <cell r="C42">
            <v>24416</v>
          </cell>
        </row>
        <row r="43">
          <cell r="C43">
            <v>479</v>
          </cell>
        </row>
        <row r="44">
          <cell r="C44">
            <v>244235</v>
          </cell>
        </row>
        <row r="45">
          <cell r="C45">
            <v>12000</v>
          </cell>
        </row>
        <row r="46">
          <cell r="C46">
            <v>10266</v>
          </cell>
        </row>
        <row r="47">
          <cell r="C47">
            <v>146636</v>
          </cell>
        </row>
        <row r="48">
          <cell r="C48">
            <v>111391</v>
          </cell>
        </row>
        <row r="49">
          <cell r="C49">
            <v>20800</v>
          </cell>
        </row>
        <row r="50">
          <cell r="C50">
            <v>4198</v>
          </cell>
        </row>
        <row r="51">
          <cell r="C51">
            <v>11900</v>
          </cell>
        </row>
        <row r="52">
          <cell r="C52">
            <v>141050</v>
          </cell>
        </row>
        <row r="53">
          <cell r="C53">
            <v>52278</v>
          </cell>
        </row>
        <row r="54">
          <cell r="C54">
            <v>187773</v>
          </cell>
        </row>
        <row r="55">
          <cell r="C55">
            <v>177627</v>
          </cell>
        </row>
        <row r="56">
          <cell r="C56">
            <v>54964</v>
          </cell>
        </row>
        <row r="57">
          <cell r="C57">
            <v>67984</v>
          </cell>
        </row>
        <row r="58">
          <cell r="C58">
            <v>63682</v>
          </cell>
        </row>
        <row r="59">
          <cell r="C59">
            <v>41258</v>
          </cell>
        </row>
        <row r="60">
          <cell r="C60">
            <v>71389</v>
          </cell>
        </row>
        <row r="61">
          <cell r="C61">
            <v>33834</v>
          </cell>
        </row>
        <row r="62">
          <cell r="C62">
            <v>10138</v>
          </cell>
        </row>
        <row r="63">
          <cell r="C63">
            <v>20116</v>
          </cell>
        </row>
        <row r="64">
          <cell r="C64">
            <v>287540</v>
          </cell>
        </row>
        <row r="65">
          <cell r="C65">
            <v>200670</v>
          </cell>
        </row>
        <row r="66">
          <cell r="C66">
            <v>250971</v>
          </cell>
        </row>
        <row r="67">
          <cell r="C67">
            <v>2203</v>
          </cell>
        </row>
        <row r="68">
          <cell r="C68">
            <v>81558</v>
          </cell>
        </row>
        <row r="69">
          <cell r="C69">
            <v>58775</v>
          </cell>
        </row>
        <row r="70">
          <cell r="C70">
            <v>45149</v>
          </cell>
        </row>
        <row r="71">
          <cell r="C71">
            <v>68427</v>
          </cell>
        </row>
        <row r="72">
          <cell r="C72">
            <v>44</v>
          </cell>
        </row>
        <row r="73">
          <cell r="C73">
            <v>28865</v>
          </cell>
        </row>
        <row r="74">
          <cell r="C74">
            <v>57518</v>
          </cell>
        </row>
        <row r="75">
          <cell r="C75">
            <v>84038</v>
          </cell>
        </row>
        <row r="76">
          <cell r="C76">
            <v>45743</v>
          </cell>
        </row>
        <row r="77">
          <cell r="C77">
            <v>55</v>
          </cell>
        </row>
        <row r="78">
          <cell r="C78">
            <v>25</v>
          </cell>
        </row>
        <row r="79">
          <cell r="C79">
            <v>22</v>
          </cell>
        </row>
        <row r="80">
          <cell r="C80">
            <v>195871</v>
          </cell>
        </row>
        <row r="81">
          <cell r="C81">
            <v>169216</v>
          </cell>
        </row>
        <row r="82">
          <cell r="C82">
            <v>233874</v>
          </cell>
        </row>
        <row r="83">
          <cell r="C83">
            <v>291759</v>
          </cell>
        </row>
        <row r="84">
          <cell r="C84">
            <v>105540</v>
          </cell>
        </row>
        <row r="85">
          <cell r="C85">
            <v>29476</v>
          </cell>
        </row>
        <row r="86">
          <cell r="C86">
            <v>31433</v>
          </cell>
        </row>
        <row r="87">
          <cell r="C87">
            <v>80354</v>
          </cell>
        </row>
        <row r="88">
          <cell r="C88">
            <v>56138</v>
          </cell>
        </row>
        <row r="89">
          <cell r="C89">
            <v>46233</v>
          </cell>
        </row>
        <row r="90">
          <cell r="C90">
            <v>47678</v>
          </cell>
        </row>
        <row r="91">
          <cell r="C91">
            <v>115818</v>
          </cell>
        </row>
        <row r="92">
          <cell r="C92">
            <v>58856</v>
          </cell>
        </row>
        <row r="93">
          <cell r="C93">
            <v>61738</v>
          </cell>
        </row>
        <row r="94">
          <cell r="C94">
            <v>29738</v>
          </cell>
        </row>
        <row r="95">
          <cell r="C95">
            <v>118124</v>
          </cell>
        </row>
        <row r="96">
          <cell r="C96">
            <v>39483</v>
          </cell>
        </row>
        <row r="97">
          <cell r="C97">
            <v>38679</v>
          </cell>
        </row>
        <row r="98">
          <cell r="C98">
            <v>3111</v>
          </cell>
        </row>
        <row r="99">
          <cell r="C99">
            <v>3578</v>
          </cell>
        </row>
        <row r="100">
          <cell r="C100">
            <v>4126</v>
          </cell>
        </row>
        <row r="101">
          <cell r="C101">
            <v>3480</v>
          </cell>
        </row>
        <row r="102">
          <cell r="C102">
            <v>13472</v>
          </cell>
        </row>
        <row r="103">
          <cell r="C103">
            <v>3172</v>
          </cell>
        </row>
        <row r="104">
          <cell r="C104">
            <v>2676</v>
          </cell>
        </row>
        <row r="105">
          <cell r="C105">
            <v>181509</v>
          </cell>
        </row>
        <row r="106">
          <cell r="C106">
            <v>77211</v>
          </cell>
        </row>
        <row r="107">
          <cell r="C107">
            <v>59911</v>
          </cell>
        </row>
        <row r="108">
          <cell r="C108">
            <v>32802</v>
          </cell>
        </row>
        <row r="109">
          <cell r="C109">
            <v>21432</v>
          </cell>
        </row>
        <row r="110">
          <cell r="C110">
            <v>2993</v>
          </cell>
        </row>
        <row r="111">
          <cell r="C111">
            <v>24045</v>
          </cell>
        </row>
        <row r="112">
          <cell r="C112">
            <v>188584</v>
          </cell>
        </row>
        <row r="113">
          <cell r="C113">
            <v>174209</v>
          </cell>
        </row>
        <row r="114">
          <cell r="C114">
            <v>75129</v>
          </cell>
        </row>
        <row r="115">
          <cell r="C115">
            <v>45026</v>
          </cell>
        </row>
        <row r="116">
          <cell r="C116">
            <v>25334</v>
          </cell>
        </row>
        <row r="117">
          <cell r="C117">
            <v>3600</v>
          </cell>
        </row>
        <row r="118">
          <cell r="C118">
            <v>8400</v>
          </cell>
        </row>
        <row r="119">
          <cell r="C119">
            <v>6644</v>
          </cell>
        </row>
        <row r="120">
          <cell r="C120">
            <v>37677</v>
          </cell>
        </row>
        <row r="121">
          <cell r="C121">
            <v>38971</v>
          </cell>
        </row>
        <row r="122">
          <cell r="C122">
            <v>105045</v>
          </cell>
        </row>
        <row r="123">
          <cell r="C123">
            <v>47375</v>
          </cell>
        </row>
        <row r="124">
          <cell r="C124">
            <v>59698</v>
          </cell>
        </row>
        <row r="125">
          <cell r="C125">
            <v>28</v>
          </cell>
        </row>
        <row r="126">
          <cell r="C126">
            <v>111645</v>
          </cell>
        </row>
        <row r="127">
          <cell r="C127">
            <v>101666</v>
          </cell>
        </row>
        <row r="128">
          <cell r="C128">
            <v>35149</v>
          </cell>
        </row>
        <row r="129">
          <cell r="C129">
            <v>55687</v>
          </cell>
        </row>
        <row r="130">
          <cell r="C130">
            <v>53739</v>
          </cell>
        </row>
        <row r="131">
          <cell r="C131">
            <v>68409</v>
          </cell>
        </row>
        <row r="132">
          <cell r="C132">
            <v>40561</v>
          </cell>
        </row>
        <row r="133">
          <cell r="C133">
            <v>61412</v>
          </cell>
        </row>
        <row r="134">
          <cell r="C134">
            <v>103059</v>
          </cell>
        </row>
        <row r="135">
          <cell r="C135">
            <v>48495</v>
          </cell>
        </row>
        <row r="136">
          <cell r="C136">
            <v>37892</v>
          </cell>
        </row>
        <row r="137">
          <cell r="C137">
            <v>0</v>
          </cell>
        </row>
        <row r="138">
          <cell r="C138">
            <v>25</v>
          </cell>
        </row>
        <row r="139">
          <cell r="C139">
            <v>66</v>
          </cell>
        </row>
        <row r="140">
          <cell r="C140">
            <v>219</v>
          </cell>
        </row>
        <row r="141">
          <cell r="C141">
            <v>8</v>
          </cell>
        </row>
        <row r="142">
          <cell r="C142">
            <v>8</v>
          </cell>
        </row>
        <row r="143">
          <cell r="C143">
            <v>8</v>
          </cell>
        </row>
        <row r="144">
          <cell r="C144">
            <v>217195</v>
          </cell>
        </row>
        <row r="145">
          <cell r="C145">
            <v>130000</v>
          </cell>
        </row>
        <row r="146">
          <cell r="C146">
            <v>85000</v>
          </cell>
        </row>
        <row r="147">
          <cell r="C147">
            <v>113400</v>
          </cell>
        </row>
        <row r="148">
          <cell r="C148">
            <v>8000</v>
          </cell>
        </row>
        <row r="149">
          <cell r="C149">
            <v>65356</v>
          </cell>
        </row>
        <row r="150">
          <cell r="C150">
            <v>57642</v>
          </cell>
        </row>
        <row r="151">
          <cell r="C151">
            <v>91000</v>
          </cell>
        </row>
        <row r="152">
          <cell r="C152">
            <v>10328</v>
          </cell>
        </row>
        <row r="153">
          <cell r="C153">
            <v>57592</v>
          </cell>
        </row>
        <row r="154">
          <cell r="C154">
            <v>1009</v>
          </cell>
        </row>
        <row r="155">
          <cell r="C155">
            <v>75757</v>
          </cell>
        </row>
        <row r="156">
          <cell r="C156">
            <v>159645</v>
          </cell>
        </row>
        <row r="157">
          <cell r="C157">
            <v>3000</v>
          </cell>
        </row>
        <row r="158">
          <cell r="C158">
            <v>1442</v>
          </cell>
        </row>
        <row r="159">
          <cell r="C159">
            <v>9830</v>
          </cell>
        </row>
        <row r="160">
          <cell r="C160">
            <v>26480</v>
          </cell>
        </row>
        <row r="161">
          <cell r="C161">
            <v>10080</v>
          </cell>
        </row>
        <row r="162">
          <cell r="C162">
            <v>5480</v>
          </cell>
        </row>
        <row r="163">
          <cell r="C163">
            <v>2600</v>
          </cell>
        </row>
        <row r="164">
          <cell r="C164">
            <v>640</v>
          </cell>
        </row>
        <row r="165">
          <cell r="C165">
            <v>302520</v>
          </cell>
        </row>
      </sheetData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90" zoomScaleNormal="90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K49" sqref="K49"/>
    </sheetView>
  </sheetViews>
  <sheetFormatPr defaultRowHeight="12.75" x14ac:dyDescent="0.25"/>
  <cols>
    <col min="1" max="1" width="4.85546875" style="291" customWidth="1"/>
    <col min="2" max="2" width="60.85546875" style="291" customWidth="1"/>
    <col min="3" max="3" width="15" style="291" customWidth="1"/>
    <col min="4" max="8" width="10.28515625" style="291" customWidth="1"/>
    <col min="9" max="16384" width="9.140625" style="291"/>
  </cols>
  <sheetData>
    <row r="1" spans="1:8" ht="15" x14ac:dyDescent="0.25">
      <c r="A1" s="326" t="s">
        <v>474</v>
      </c>
      <c r="B1" s="327"/>
    </row>
    <row r="3" spans="1:8" s="293" customFormat="1" ht="99.75" customHeight="1" x14ac:dyDescent="0.25">
      <c r="A3" s="328" t="s">
        <v>0</v>
      </c>
      <c r="B3" s="328" t="s">
        <v>149</v>
      </c>
      <c r="C3" s="292" t="s">
        <v>475</v>
      </c>
      <c r="D3" s="330" t="s">
        <v>98</v>
      </c>
      <c r="E3" s="330"/>
      <c r="F3" s="330"/>
      <c r="G3" s="330"/>
      <c r="H3" s="330"/>
    </row>
    <row r="4" spans="1:8" s="293" customFormat="1" ht="77.25" customHeight="1" x14ac:dyDescent="0.25">
      <c r="A4" s="329"/>
      <c r="B4" s="329"/>
      <c r="C4" s="294" t="s">
        <v>280</v>
      </c>
      <c r="D4" s="294" t="s">
        <v>476</v>
      </c>
      <c r="E4" s="294" t="s">
        <v>477</v>
      </c>
      <c r="F4" s="294" t="s">
        <v>478</v>
      </c>
      <c r="G4" s="294" t="s">
        <v>477</v>
      </c>
      <c r="H4" s="294" t="s">
        <v>479</v>
      </c>
    </row>
    <row r="5" spans="1:8" x14ac:dyDescent="0.25">
      <c r="A5" s="295">
        <v>1</v>
      </c>
      <c r="B5" s="296" t="s">
        <v>480</v>
      </c>
      <c r="C5" s="298">
        <v>20032</v>
      </c>
      <c r="D5" s="298">
        <v>20032</v>
      </c>
      <c r="E5" s="297">
        <v>4</v>
      </c>
      <c r="F5" s="297">
        <v>0</v>
      </c>
      <c r="G5" s="297">
        <v>0</v>
      </c>
      <c r="H5" s="297">
        <v>0</v>
      </c>
    </row>
    <row r="6" spans="1:8" x14ac:dyDescent="0.25">
      <c r="A6" s="295">
        <v>2</v>
      </c>
      <c r="B6" s="296" t="s">
        <v>47</v>
      </c>
      <c r="C6" s="298">
        <v>8313</v>
      </c>
      <c r="D6" s="298">
        <v>8313</v>
      </c>
      <c r="E6" s="297">
        <v>2</v>
      </c>
      <c r="F6" s="297">
        <v>0</v>
      </c>
      <c r="G6" s="297">
        <v>0</v>
      </c>
      <c r="H6" s="297">
        <v>0</v>
      </c>
    </row>
    <row r="7" spans="1:8" x14ac:dyDescent="0.25">
      <c r="A7" s="295">
        <v>3</v>
      </c>
      <c r="B7" s="296" t="s">
        <v>3</v>
      </c>
      <c r="C7" s="298">
        <v>4854</v>
      </c>
      <c r="D7" s="298">
        <v>4854</v>
      </c>
      <c r="E7" s="297">
        <v>5</v>
      </c>
      <c r="F7" s="297">
        <v>0</v>
      </c>
      <c r="G7" s="297">
        <v>0</v>
      </c>
      <c r="H7" s="297">
        <v>0</v>
      </c>
    </row>
    <row r="8" spans="1:8" x14ac:dyDescent="0.25">
      <c r="A8" s="295">
        <v>4</v>
      </c>
      <c r="B8" s="296" t="s">
        <v>1</v>
      </c>
      <c r="C8" s="298">
        <v>11442</v>
      </c>
      <c r="D8" s="298">
        <v>11442</v>
      </c>
      <c r="E8" s="297">
        <v>5</v>
      </c>
      <c r="F8" s="297">
        <v>0</v>
      </c>
      <c r="G8" s="297">
        <v>0</v>
      </c>
      <c r="H8" s="297">
        <v>0</v>
      </c>
    </row>
    <row r="9" spans="1:8" x14ac:dyDescent="0.25">
      <c r="A9" s="295">
        <v>5</v>
      </c>
      <c r="B9" s="296" t="s">
        <v>4</v>
      </c>
      <c r="C9" s="298">
        <v>5486</v>
      </c>
      <c r="D9" s="298">
        <v>5486</v>
      </c>
      <c r="E9" s="297">
        <v>10</v>
      </c>
      <c r="F9" s="297">
        <v>0</v>
      </c>
      <c r="G9" s="297">
        <v>0</v>
      </c>
      <c r="H9" s="297">
        <v>0</v>
      </c>
    </row>
    <row r="10" spans="1:8" x14ac:dyDescent="0.25">
      <c r="A10" s="295">
        <v>6</v>
      </c>
      <c r="B10" s="296" t="s">
        <v>6</v>
      </c>
      <c r="C10" s="298">
        <v>15471</v>
      </c>
      <c r="D10" s="298">
        <v>15471</v>
      </c>
      <c r="E10" s="297">
        <v>15</v>
      </c>
      <c r="F10" s="297">
        <v>0</v>
      </c>
      <c r="G10" s="297">
        <v>0</v>
      </c>
      <c r="H10" s="297">
        <v>0</v>
      </c>
    </row>
    <row r="11" spans="1:8" x14ac:dyDescent="0.25">
      <c r="A11" s="295">
        <v>7</v>
      </c>
      <c r="B11" s="296" t="s">
        <v>7</v>
      </c>
      <c r="C11" s="298">
        <v>7530</v>
      </c>
      <c r="D11" s="298">
        <v>7530</v>
      </c>
      <c r="E11" s="297">
        <v>10</v>
      </c>
      <c r="F11" s="297">
        <v>0</v>
      </c>
      <c r="G11" s="297">
        <v>0</v>
      </c>
      <c r="H11" s="297">
        <v>0</v>
      </c>
    </row>
    <row r="12" spans="1:8" x14ac:dyDescent="0.25">
      <c r="A12" s="295">
        <v>8</v>
      </c>
      <c r="B12" s="296" t="s">
        <v>8</v>
      </c>
      <c r="C12" s="298">
        <v>5501</v>
      </c>
      <c r="D12" s="298">
        <v>5501</v>
      </c>
      <c r="E12" s="297">
        <v>2</v>
      </c>
      <c r="F12" s="297">
        <v>0</v>
      </c>
      <c r="G12" s="297">
        <v>0</v>
      </c>
      <c r="H12" s="297">
        <v>0</v>
      </c>
    </row>
    <row r="13" spans="1:8" x14ac:dyDescent="0.25">
      <c r="A13" s="295">
        <v>9</v>
      </c>
      <c r="B13" s="296" t="s">
        <v>9</v>
      </c>
      <c r="C13" s="298">
        <v>25600</v>
      </c>
      <c r="D13" s="298">
        <v>25600</v>
      </c>
      <c r="E13" s="297">
        <v>12</v>
      </c>
      <c r="F13" s="297">
        <v>0</v>
      </c>
      <c r="G13" s="297">
        <v>0</v>
      </c>
      <c r="H13" s="297">
        <v>0</v>
      </c>
    </row>
    <row r="14" spans="1:8" x14ac:dyDescent="0.25">
      <c r="A14" s="295">
        <v>10</v>
      </c>
      <c r="B14" s="296" t="s">
        <v>10</v>
      </c>
      <c r="C14" s="297">
        <v>847</v>
      </c>
      <c r="D14" s="297">
        <v>847</v>
      </c>
      <c r="E14" s="297">
        <v>0</v>
      </c>
      <c r="F14" s="297">
        <v>0</v>
      </c>
      <c r="G14" s="297">
        <v>0</v>
      </c>
      <c r="H14" s="297">
        <v>0</v>
      </c>
    </row>
    <row r="15" spans="1:8" x14ac:dyDescent="0.25">
      <c r="A15" s="295">
        <v>11</v>
      </c>
      <c r="B15" s="296" t="s">
        <v>11</v>
      </c>
      <c r="C15" s="298">
        <v>28503</v>
      </c>
      <c r="D15" s="298">
        <v>28503</v>
      </c>
      <c r="E15" s="297">
        <v>12</v>
      </c>
      <c r="F15" s="297">
        <v>0</v>
      </c>
      <c r="G15" s="297">
        <v>0</v>
      </c>
      <c r="H15" s="297">
        <v>0</v>
      </c>
    </row>
    <row r="16" spans="1:8" x14ac:dyDescent="0.25">
      <c r="A16" s="295">
        <v>12</v>
      </c>
      <c r="B16" s="296" t="s">
        <v>12</v>
      </c>
      <c r="C16" s="298">
        <v>5828</v>
      </c>
      <c r="D16" s="298">
        <v>5828</v>
      </c>
      <c r="E16" s="297">
        <v>21</v>
      </c>
      <c r="F16" s="297">
        <v>0</v>
      </c>
      <c r="G16" s="297">
        <v>0</v>
      </c>
      <c r="H16" s="297">
        <v>0</v>
      </c>
    </row>
    <row r="17" spans="1:8" x14ac:dyDescent="0.25">
      <c r="A17" s="295">
        <v>13</v>
      </c>
      <c r="B17" s="296" t="s">
        <v>13</v>
      </c>
      <c r="C17" s="298">
        <v>16463</v>
      </c>
      <c r="D17" s="298">
        <v>16463</v>
      </c>
      <c r="E17" s="297">
        <v>10</v>
      </c>
      <c r="F17" s="297">
        <v>0</v>
      </c>
      <c r="G17" s="297">
        <v>0</v>
      </c>
      <c r="H17" s="297">
        <v>0</v>
      </c>
    </row>
    <row r="18" spans="1:8" x14ac:dyDescent="0.25">
      <c r="A18" s="295">
        <v>14</v>
      </c>
      <c r="B18" s="296" t="s">
        <v>15</v>
      </c>
      <c r="C18" s="298">
        <v>13558</v>
      </c>
      <c r="D18" s="298">
        <v>13558</v>
      </c>
      <c r="E18" s="297">
        <v>3</v>
      </c>
      <c r="F18" s="297">
        <v>0</v>
      </c>
      <c r="G18" s="297">
        <v>0</v>
      </c>
      <c r="H18" s="297">
        <v>0</v>
      </c>
    </row>
    <row r="19" spans="1:8" x14ac:dyDescent="0.25">
      <c r="A19" s="295">
        <v>15</v>
      </c>
      <c r="B19" s="296" t="s">
        <v>111</v>
      </c>
      <c r="C19" s="297">
        <v>1527</v>
      </c>
      <c r="D19" s="297">
        <v>1527</v>
      </c>
      <c r="E19" s="297">
        <v>1</v>
      </c>
      <c r="F19" s="297">
        <v>0</v>
      </c>
      <c r="G19" s="297">
        <v>0</v>
      </c>
      <c r="H19" s="297">
        <v>0</v>
      </c>
    </row>
    <row r="20" spans="1:8" x14ac:dyDescent="0.25">
      <c r="A20" s="295">
        <v>16</v>
      </c>
      <c r="B20" s="296" t="s">
        <v>16</v>
      </c>
      <c r="C20" s="298">
        <v>7506</v>
      </c>
      <c r="D20" s="298">
        <v>6850</v>
      </c>
      <c r="E20" s="297">
        <v>5</v>
      </c>
      <c r="F20" s="297">
        <v>656</v>
      </c>
      <c r="G20" s="297">
        <v>0</v>
      </c>
      <c r="H20" s="297">
        <v>0</v>
      </c>
    </row>
    <row r="21" spans="1:8" x14ac:dyDescent="0.25">
      <c r="A21" s="295">
        <v>17</v>
      </c>
      <c r="B21" s="296" t="s">
        <v>17</v>
      </c>
      <c r="C21" s="298">
        <v>6115</v>
      </c>
      <c r="D21" s="298">
        <v>6114</v>
      </c>
      <c r="E21" s="297">
        <v>14</v>
      </c>
      <c r="F21" s="297">
        <v>1</v>
      </c>
      <c r="G21" s="297">
        <v>0</v>
      </c>
      <c r="H21" s="297">
        <v>0</v>
      </c>
    </row>
    <row r="22" spans="1:8" x14ac:dyDescent="0.25">
      <c r="A22" s="295">
        <v>18</v>
      </c>
      <c r="B22" s="296" t="s">
        <v>18</v>
      </c>
      <c r="C22" s="298">
        <v>4742</v>
      </c>
      <c r="D22" s="298">
        <v>4742</v>
      </c>
      <c r="E22" s="297">
        <v>4</v>
      </c>
      <c r="F22" s="297">
        <v>0</v>
      </c>
      <c r="G22" s="297">
        <v>0</v>
      </c>
      <c r="H22" s="297">
        <v>0</v>
      </c>
    </row>
    <row r="23" spans="1:8" x14ac:dyDescent="0.25">
      <c r="A23" s="295">
        <v>19</v>
      </c>
      <c r="B23" s="296" t="s">
        <v>44</v>
      </c>
      <c r="C23" s="297">
        <v>3279</v>
      </c>
      <c r="D23" s="297">
        <v>6558</v>
      </c>
      <c r="E23" s="297">
        <v>5</v>
      </c>
      <c r="F23" s="297">
        <v>0</v>
      </c>
      <c r="G23" s="297">
        <v>0</v>
      </c>
      <c r="H23" s="297">
        <v>0</v>
      </c>
    </row>
    <row r="24" spans="1:8" x14ac:dyDescent="0.25">
      <c r="A24" s="295">
        <v>20</v>
      </c>
      <c r="B24" s="296" t="s">
        <v>27</v>
      </c>
      <c r="C24" s="298">
        <v>8848</v>
      </c>
      <c r="D24" s="298">
        <v>8848</v>
      </c>
      <c r="E24" s="297">
        <v>8</v>
      </c>
      <c r="F24" s="297">
        <v>0</v>
      </c>
      <c r="G24" s="297">
        <v>0</v>
      </c>
      <c r="H24" s="297">
        <v>0</v>
      </c>
    </row>
    <row r="25" spans="1:8" x14ac:dyDescent="0.25">
      <c r="A25" s="295">
        <v>21</v>
      </c>
      <c r="B25" s="296" t="s">
        <v>481</v>
      </c>
      <c r="C25" s="298">
        <v>29735</v>
      </c>
      <c r="D25" s="298">
        <v>29735</v>
      </c>
      <c r="E25" s="297">
        <v>20</v>
      </c>
      <c r="F25" s="297">
        <v>0</v>
      </c>
      <c r="G25" s="297">
        <v>0</v>
      </c>
      <c r="H25" s="297">
        <v>0</v>
      </c>
    </row>
    <row r="26" spans="1:8" ht="48.75" customHeight="1" x14ac:dyDescent="0.25">
      <c r="A26" s="295">
        <v>22</v>
      </c>
      <c r="B26" s="299" t="s">
        <v>482</v>
      </c>
      <c r="C26" s="298">
        <v>17086</v>
      </c>
      <c r="D26" s="298">
        <v>17086</v>
      </c>
      <c r="E26" s="297">
        <v>12</v>
      </c>
      <c r="F26" s="297">
        <v>0</v>
      </c>
      <c r="G26" s="297">
        <v>0</v>
      </c>
      <c r="H26" s="297">
        <v>0</v>
      </c>
    </row>
    <row r="27" spans="1:8" ht="54.75" customHeight="1" x14ac:dyDescent="0.25">
      <c r="A27" s="295">
        <v>23</v>
      </c>
      <c r="B27" s="299" t="s">
        <v>483</v>
      </c>
      <c r="C27" s="298">
        <v>6671</v>
      </c>
      <c r="D27" s="298">
        <v>6671</v>
      </c>
      <c r="E27" s="297">
        <v>8</v>
      </c>
      <c r="F27" s="297">
        <v>0</v>
      </c>
      <c r="G27" s="297">
        <v>0</v>
      </c>
      <c r="H27" s="297">
        <v>0</v>
      </c>
    </row>
    <row r="28" spans="1:8" x14ac:dyDescent="0.25">
      <c r="A28" s="295">
        <v>24</v>
      </c>
      <c r="B28" s="296" t="s">
        <v>484</v>
      </c>
      <c r="C28" s="297">
        <v>72475</v>
      </c>
      <c r="D28" s="297">
        <v>51102</v>
      </c>
      <c r="E28" s="297">
        <v>36</v>
      </c>
      <c r="F28" s="297">
        <v>317</v>
      </c>
      <c r="G28" s="297">
        <v>2</v>
      </c>
      <c r="H28" s="297">
        <v>0</v>
      </c>
    </row>
    <row r="29" spans="1:8" x14ac:dyDescent="0.25">
      <c r="A29" s="295">
        <v>25</v>
      </c>
      <c r="B29" s="296" t="s">
        <v>485</v>
      </c>
      <c r="C29" s="298">
        <v>38946</v>
      </c>
      <c r="D29" s="298">
        <v>31911</v>
      </c>
      <c r="E29" s="297">
        <v>0</v>
      </c>
      <c r="F29" s="297">
        <v>7035</v>
      </c>
      <c r="G29" s="297">
        <v>1</v>
      </c>
      <c r="H29" s="297">
        <v>0</v>
      </c>
    </row>
    <row r="30" spans="1:8" x14ac:dyDescent="0.25">
      <c r="A30" s="295">
        <v>26</v>
      </c>
      <c r="B30" s="296" t="s">
        <v>20</v>
      </c>
      <c r="C30" s="298">
        <v>10415</v>
      </c>
      <c r="D30" s="298">
        <v>10415</v>
      </c>
      <c r="E30" s="297">
        <v>1</v>
      </c>
      <c r="F30" s="297">
        <v>0</v>
      </c>
      <c r="G30" s="297">
        <v>0</v>
      </c>
      <c r="H30" s="297">
        <v>0</v>
      </c>
    </row>
    <row r="31" spans="1:8" x14ac:dyDescent="0.25">
      <c r="A31" s="295">
        <v>27</v>
      </c>
      <c r="B31" s="296" t="s">
        <v>22</v>
      </c>
      <c r="C31" s="297">
        <v>8129</v>
      </c>
      <c r="D31" s="297">
        <v>16258</v>
      </c>
      <c r="E31" s="297">
        <v>22</v>
      </c>
      <c r="F31" s="297">
        <v>0</v>
      </c>
      <c r="G31" s="297">
        <v>0</v>
      </c>
      <c r="H31" s="297">
        <v>0</v>
      </c>
    </row>
    <row r="32" spans="1:8" x14ac:dyDescent="0.25">
      <c r="A32" s="295">
        <v>28</v>
      </c>
      <c r="B32" s="296" t="s">
        <v>23</v>
      </c>
      <c r="C32" s="298">
        <v>3681</v>
      </c>
      <c r="D32" s="298">
        <v>3681</v>
      </c>
      <c r="E32" s="297">
        <v>10</v>
      </c>
      <c r="F32" s="297">
        <v>0</v>
      </c>
      <c r="G32" s="297">
        <v>0</v>
      </c>
      <c r="H32" s="297">
        <v>0</v>
      </c>
    </row>
    <row r="33" spans="1:8" x14ac:dyDescent="0.25">
      <c r="A33" s="295">
        <v>29</v>
      </c>
      <c r="B33" s="296" t="s">
        <v>25</v>
      </c>
      <c r="C33" s="298">
        <v>3929</v>
      </c>
      <c r="D33" s="298">
        <v>3929</v>
      </c>
      <c r="E33" s="297">
        <v>3</v>
      </c>
      <c r="F33" s="297">
        <v>0</v>
      </c>
      <c r="G33" s="297">
        <v>0</v>
      </c>
      <c r="H33" s="297">
        <v>0</v>
      </c>
    </row>
    <row r="34" spans="1:8" x14ac:dyDescent="0.25">
      <c r="A34" s="295">
        <v>30</v>
      </c>
      <c r="B34" s="296" t="s">
        <v>26</v>
      </c>
      <c r="C34" s="298">
        <v>14635</v>
      </c>
      <c r="D34" s="298">
        <v>11515</v>
      </c>
      <c r="E34" s="297">
        <v>8</v>
      </c>
      <c r="F34" s="297">
        <v>3120</v>
      </c>
      <c r="G34" s="297">
        <v>0</v>
      </c>
      <c r="H34" s="297">
        <v>0</v>
      </c>
    </row>
    <row r="35" spans="1:8" x14ac:dyDescent="0.25">
      <c r="A35" s="295">
        <v>31</v>
      </c>
      <c r="B35" s="296" t="s">
        <v>24</v>
      </c>
      <c r="C35" s="298">
        <v>7130</v>
      </c>
      <c r="D35" s="298">
        <v>7130</v>
      </c>
      <c r="E35" s="297">
        <v>5</v>
      </c>
      <c r="F35" s="297">
        <v>0</v>
      </c>
      <c r="G35" s="297">
        <v>0</v>
      </c>
      <c r="H35" s="297">
        <v>0</v>
      </c>
    </row>
    <row r="36" spans="1:8" ht="15.75" customHeight="1" x14ac:dyDescent="0.25">
      <c r="A36" s="295">
        <v>32</v>
      </c>
      <c r="B36" s="299" t="s">
        <v>28</v>
      </c>
      <c r="C36" s="298">
        <v>23518</v>
      </c>
      <c r="D36" s="298">
        <v>20816</v>
      </c>
      <c r="E36" s="297">
        <v>3</v>
      </c>
      <c r="F36" s="297">
        <v>2702</v>
      </c>
      <c r="G36" s="297">
        <v>2</v>
      </c>
      <c r="H36" s="297">
        <v>0</v>
      </c>
    </row>
    <row r="37" spans="1:8" x14ac:dyDescent="0.25">
      <c r="A37" s="295">
        <v>33</v>
      </c>
      <c r="B37" s="296" t="s">
        <v>29</v>
      </c>
      <c r="C37" s="297">
        <v>3428</v>
      </c>
      <c r="D37" s="297">
        <v>6857</v>
      </c>
      <c r="E37" s="297">
        <v>5</v>
      </c>
      <c r="F37" s="297">
        <v>0</v>
      </c>
      <c r="G37" s="297">
        <v>0</v>
      </c>
      <c r="H37" s="297">
        <v>0</v>
      </c>
    </row>
    <row r="38" spans="1:8" x14ac:dyDescent="0.25">
      <c r="A38" s="295">
        <v>34</v>
      </c>
      <c r="B38" s="296" t="s">
        <v>30</v>
      </c>
      <c r="C38" s="298">
        <v>6286</v>
      </c>
      <c r="D38" s="298">
        <v>6286</v>
      </c>
      <c r="E38" s="297">
        <v>3</v>
      </c>
      <c r="F38" s="297">
        <v>0</v>
      </c>
      <c r="G38" s="297">
        <v>0</v>
      </c>
      <c r="H38" s="297">
        <v>0</v>
      </c>
    </row>
    <row r="39" spans="1:8" ht="17.25" customHeight="1" x14ac:dyDescent="0.25">
      <c r="A39" s="300">
        <v>35</v>
      </c>
      <c r="B39" s="299" t="s">
        <v>31</v>
      </c>
      <c r="C39" s="298">
        <v>12838</v>
      </c>
      <c r="D39" s="298">
        <v>12838</v>
      </c>
      <c r="E39" s="297">
        <v>1</v>
      </c>
      <c r="F39" s="297">
        <v>0</v>
      </c>
      <c r="G39" s="297">
        <v>0</v>
      </c>
      <c r="H39" s="297">
        <v>0</v>
      </c>
    </row>
    <row r="40" spans="1:8" x14ac:dyDescent="0.25">
      <c r="A40" s="295">
        <v>36</v>
      </c>
      <c r="B40" s="296" t="s">
        <v>32</v>
      </c>
      <c r="C40" s="297">
        <v>381</v>
      </c>
      <c r="D40" s="297">
        <v>381</v>
      </c>
      <c r="E40" s="297">
        <v>0</v>
      </c>
      <c r="F40" s="297">
        <v>0</v>
      </c>
      <c r="G40" s="297">
        <v>0</v>
      </c>
      <c r="H40" s="297">
        <v>0</v>
      </c>
    </row>
    <row r="41" spans="1:8" x14ac:dyDescent="0.25">
      <c r="A41" s="295">
        <v>37</v>
      </c>
      <c r="B41" s="296" t="s">
        <v>19</v>
      </c>
      <c r="C41" s="298">
        <v>8898</v>
      </c>
      <c r="D41" s="298">
        <v>8898</v>
      </c>
      <c r="E41" s="297">
        <v>4</v>
      </c>
      <c r="F41" s="297">
        <v>0</v>
      </c>
      <c r="G41" s="297">
        <v>0</v>
      </c>
      <c r="H41" s="297">
        <v>0</v>
      </c>
    </row>
    <row r="42" spans="1:8" x14ac:dyDescent="0.25">
      <c r="A42" s="295">
        <v>38</v>
      </c>
      <c r="B42" s="296" t="s">
        <v>35</v>
      </c>
      <c r="C42" s="298">
        <v>7134</v>
      </c>
      <c r="D42" s="298">
        <v>7134</v>
      </c>
      <c r="E42" s="297">
        <v>1</v>
      </c>
      <c r="F42" s="297">
        <v>0</v>
      </c>
      <c r="G42" s="297">
        <v>0</v>
      </c>
      <c r="H42" s="297">
        <v>0</v>
      </c>
    </row>
    <row r="43" spans="1:8" x14ac:dyDescent="0.25">
      <c r="A43" s="295">
        <v>39</v>
      </c>
      <c r="B43" s="296" t="s">
        <v>42</v>
      </c>
      <c r="C43" s="297">
        <v>2885</v>
      </c>
      <c r="D43" s="297">
        <v>2885</v>
      </c>
      <c r="E43" s="297">
        <v>0</v>
      </c>
      <c r="F43" s="297">
        <v>0</v>
      </c>
      <c r="G43" s="297">
        <v>0</v>
      </c>
      <c r="H43" s="297">
        <v>0</v>
      </c>
    </row>
    <row r="44" spans="1:8" x14ac:dyDescent="0.25">
      <c r="A44" s="295">
        <v>40</v>
      </c>
      <c r="B44" s="296" t="s">
        <v>37</v>
      </c>
      <c r="C44" s="298">
        <v>22733</v>
      </c>
      <c r="D44" s="298">
        <v>22733</v>
      </c>
      <c r="E44" s="297">
        <v>40</v>
      </c>
      <c r="F44" s="297">
        <v>0</v>
      </c>
      <c r="G44" s="297">
        <v>0</v>
      </c>
      <c r="H44" s="297">
        <v>0</v>
      </c>
    </row>
    <row r="45" spans="1:8" x14ac:dyDescent="0.25">
      <c r="A45" s="295">
        <v>41</v>
      </c>
      <c r="B45" s="296" t="s">
        <v>21</v>
      </c>
      <c r="C45" s="297">
        <v>25059</v>
      </c>
      <c r="D45" s="297">
        <v>25059</v>
      </c>
      <c r="E45" s="297">
        <v>5</v>
      </c>
      <c r="F45" s="297">
        <v>0</v>
      </c>
      <c r="G45" s="297">
        <v>0</v>
      </c>
      <c r="H45" s="297">
        <v>0</v>
      </c>
    </row>
    <row r="46" spans="1:8" x14ac:dyDescent="0.25">
      <c r="A46" s="295">
        <v>42</v>
      </c>
      <c r="B46" s="296" t="s">
        <v>39</v>
      </c>
      <c r="C46" s="298">
        <v>6234</v>
      </c>
      <c r="D46" s="298">
        <v>6234</v>
      </c>
      <c r="E46" s="297">
        <v>6</v>
      </c>
      <c r="F46" s="297">
        <v>0</v>
      </c>
      <c r="G46" s="297">
        <v>0</v>
      </c>
      <c r="H46" s="297">
        <v>0</v>
      </c>
    </row>
    <row r="47" spans="1:8" x14ac:dyDescent="0.25">
      <c r="A47" s="295">
        <v>43</v>
      </c>
      <c r="B47" s="296" t="s">
        <v>40</v>
      </c>
      <c r="C47" s="298">
        <v>7263</v>
      </c>
      <c r="D47" s="298">
        <v>7263</v>
      </c>
      <c r="E47" s="297">
        <v>2</v>
      </c>
      <c r="F47" s="297">
        <v>0</v>
      </c>
      <c r="G47" s="297">
        <v>0</v>
      </c>
      <c r="H47" s="297">
        <v>0</v>
      </c>
    </row>
    <row r="48" spans="1:8" x14ac:dyDescent="0.25">
      <c r="A48" s="295">
        <v>44</v>
      </c>
      <c r="B48" s="296" t="s">
        <v>34</v>
      </c>
      <c r="C48" s="298">
        <v>8222</v>
      </c>
      <c r="D48" s="298">
        <v>8222</v>
      </c>
      <c r="E48" s="297">
        <v>3</v>
      </c>
      <c r="F48" s="297">
        <v>0</v>
      </c>
      <c r="G48" s="297">
        <v>0</v>
      </c>
      <c r="H48" s="297">
        <v>0</v>
      </c>
    </row>
    <row r="49" spans="1:8" x14ac:dyDescent="0.25">
      <c r="A49" s="295">
        <v>45</v>
      </c>
      <c r="B49" s="296" t="s">
        <v>41</v>
      </c>
      <c r="C49" s="298">
        <v>5262</v>
      </c>
      <c r="D49" s="298">
        <v>5262</v>
      </c>
      <c r="E49" s="297">
        <v>1</v>
      </c>
      <c r="F49" s="297">
        <v>0</v>
      </c>
      <c r="G49" s="297">
        <v>0</v>
      </c>
      <c r="H49" s="297">
        <v>0</v>
      </c>
    </row>
    <row r="50" spans="1:8" x14ac:dyDescent="0.25">
      <c r="A50" s="295">
        <v>46</v>
      </c>
      <c r="B50" s="296" t="s">
        <v>2</v>
      </c>
      <c r="C50" s="298">
        <v>10792</v>
      </c>
      <c r="D50" s="298">
        <v>10792</v>
      </c>
      <c r="E50" s="297">
        <v>10</v>
      </c>
      <c r="F50" s="297">
        <v>0</v>
      </c>
      <c r="G50" s="297">
        <v>0</v>
      </c>
      <c r="H50" s="297">
        <v>0</v>
      </c>
    </row>
    <row r="51" spans="1:8" x14ac:dyDescent="0.25">
      <c r="A51" s="295">
        <v>47</v>
      </c>
      <c r="B51" s="296" t="s">
        <v>486</v>
      </c>
      <c r="C51" s="298">
        <v>91657</v>
      </c>
      <c r="D51" s="298">
        <v>90357</v>
      </c>
      <c r="E51" s="297">
        <v>15</v>
      </c>
      <c r="F51" s="297">
        <v>1300</v>
      </c>
      <c r="G51" s="297">
        <v>0</v>
      </c>
      <c r="H51" s="297">
        <v>0</v>
      </c>
    </row>
    <row r="52" spans="1:8" x14ac:dyDescent="0.25">
      <c r="A52" s="295">
        <v>48</v>
      </c>
      <c r="B52" s="296" t="s">
        <v>43</v>
      </c>
      <c r="C52" s="298">
        <v>5285</v>
      </c>
      <c r="D52" s="298">
        <v>5285</v>
      </c>
      <c r="E52" s="297">
        <v>8</v>
      </c>
      <c r="F52" s="297">
        <v>0</v>
      </c>
      <c r="G52" s="297">
        <v>0</v>
      </c>
      <c r="H52" s="297">
        <v>0</v>
      </c>
    </row>
    <row r="53" spans="1:8" x14ac:dyDescent="0.25">
      <c r="A53" s="295">
        <v>49</v>
      </c>
      <c r="B53" s="296" t="s">
        <v>5</v>
      </c>
      <c r="C53" s="298">
        <v>9181</v>
      </c>
      <c r="D53" s="298">
        <v>9181</v>
      </c>
      <c r="E53" s="297">
        <v>10</v>
      </c>
      <c r="F53" s="297">
        <v>0</v>
      </c>
      <c r="G53" s="297">
        <v>0</v>
      </c>
      <c r="H53" s="297">
        <v>0</v>
      </c>
    </row>
    <row r="54" spans="1:8" x14ac:dyDescent="0.25">
      <c r="A54" s="295">
        <v>50</v>
      </c>
      <c r="B54" s="296" t="s">
        <v>45</v>
      </c>
      <c r="C54" s="298">
        <v>36467</v>
      </c>
      <c r="D54" s="298">
        <v>35671</v>
      </c>
      <c r="E54" s="297">
        <v>30</v>
      </c>
      <c r="F54" s="297">
        <v>796</v>
      </c>
      <c r="G54" s="297">
        <v>12</v>
      </c>
      <c r="H54" s="297">
        <v>0</v>
      </c>
    </row>
    <row r="55" spans="1:8" x14ac:dyDescent="0.25">
      <c r="A55" s="295">
        <v>51</v>
      </c>
      <c r="B55" s="296" t="s">
        <v>46</v>
      </c>
      <c r="C55" s="298">
        <v>4284</v>
      </c>
      <c r="D55" s="298">
        <v>4284</v>
      </c>
      <c r="E55" s="297">
        <v>4</v>
      </c>
      <c r="F55" s="297">
        <v>0</v>
      </c>
      <c r="G55" s="297">
        <v>0</v>
      </c>
      <c r="H55" s="297">
        <v>0</v>
      </c>
    </row>
    <row r="56" spans="1:8" x14ac:dyDescent="0.25">
      <c r="A56" s="295">
        <v>52</v>
      </c>
      <c r="B56" s="296" t="s">
        <v>487</v>
      </c>
      <c r="C56" s="298">
        <v>17435</v>
      </c>
      <c r="D56" s="298">
        <v>17435</v>
      </c>
      <c r="E56" s="297">
        <v>5</v>
      </c>
      <c r="F56" s="297">
        <v>0</v>
      </c>
      <c r="G56" s="297">
        <v>0</v>
      </c>
      <c r="H56" s="297">
        <v>0</v>
      </c>
    </row>
    <row r="57" spans="1:8" x14ac:dyDescent="0.25">
      <c r="A57" s="295">
        <v>53</v>
      </c>
      <c r="B57" s="296" t="s">
        <v>488</v>
      </c>
      <c r="C57" s="298">
        <v>7856</v>
      </c>
      <c r="D57" s="298">
        <v>7856</v>
      </c>
      <c r="E57" s="297">
        <v>5</v>
      </c>
      <c r="F57" s="297">
        <v>0</v>
      </c>
      <c r="G57" s="297">
        <v>0</v>
      </c>
      <c r="H57" s="297">
        <v>0</v>
      </c>
    </row>
    <row r="58" spans="1:8" x14ac:dyDescent="0.25">
      <c r="A58" s="295">
        <v>54</v>
      </c>
      <c r="B58" s="296" t="s">
        <v>49</v>
      </c>
      <c r="C58" s="298">
        <v>13220</v>
      </c>
      <c r="D58" s="298">
        <v>13220</v>
      </c>
      <c r="E58" s="297">
        <v>10</v>
      </c>
      <c r="F58" s="297">
        <v>0</v>
      </c>
      <c r="G58" s="297">
        <v>0</v>
      </c>
      <c r="H58" s="297">
        <v>0</v>
      </c>
    </row>
    <row r="59" spans="1:8" x14ac:dyDescent="0.25">
      <c r="A59" s="295">
        <v>55</v>
      </c>
      <c r="B59" s="296" t="s">
        <v>50</v>
      </c>
      <c r="C59" s="298">
        <v>5896</v>
      </c>
      <c r="D59" s="298">
        <v>5896</v>
      </c>
      <c r="E59" s="297">
        <v>10</v>
      </c>
      <c r="F59" s="297">
        <v>0</v>
      </c>
      <c r="G59" s="297">
        <v>0</v>
      </c>
      <c r="H59" s="297">
        <v>0</v>
      </c>
    </row>
    <row r="60" spans="1:8" x14ac:dyDescent="0.25">
      <c r="A60" s="295">
        <v>56</v>
      </c>
      <c r="B60" s="296" t="s">
        <v>14</v>
      </c>
      <c r="C60" s="298">
        <v>6240</v>
      </c>
      <c r="D60" s="298">
        <v>6240</v>
      </c>
      <c r="E60" s="297">
        <v>4</v>
      </c>
      <c r="F60" s="297">
        <v>0</v>
      </c>
      <c r="G60" s="297">
        <v>0</v>
      </c>
      <c r="H60" s="297">
        <v>0</v>
      </c>
    </row>
    <row r="61" spans="1:8" x14ac:dyDescent="0.25">
      <c r="A61" s="295">
        <v>57</v>
      </c>
      <c r="B61" s="296" t="s">
        <v>51</v>
      </c>
      <c r="C61" s="297">
        <v>6218</v>
      </c>
      <c r="D61" s="297">
        <v>12437</v>
      </c>
      <c r="E61" s="297">
        <v>20</v>
      </c>
      <c r="F61" s="297">
        <v>0</v>
      </c>
      <c r="G61" s="297">
        <v>0</v>
      </c>
      <c r="H61" s="297">
        <v>0</v>
      </c>
    </row>
    <row r="62" spans="1:8" x14ac:dyDescent="0.25">
      <c r="A62" s="295">
        <v>58</v>
      </c>
      <c r="B62" s="296" t="s">
        <v>489</v>
      </c>
      <c r="C62" s="298">
        <v>378559</v>
      </c>
      <c r="D62" s="298">
        <v>312824</v>
      </c>
      <c r="E62" s="297">
        <v>10</v>
      </c>
      <c r="F62" s="297">
        <v>42000</v>
      </c>
      <c r="G62" s="297">
        <v>10</v>
      </c>
      <c r="H62" s="297">
        <v>23735</v>
      </c>
    </row>
    <row r="63" spans="1:8" x14ac:dyDescent="0.25">
      <c r="A63" s="295">
        <v>59</v>
      </c>
      <c r="B63" s="296" t="s">
        <v>490</v>
      </c>
      <c r="C63" s="298">
        <v>3930</v>
      </c>
      <c r="D63" s="298">
        <v>1553</v>
      </c>
      <c r="E63" s="297">
        <v>10</v>
      </c>
      <c r="F63" s="297">
        <v>2377</v>
      </c>
      <c r="G63" s="297">
        <v>3</v>
      </c>
      <c r="H63" s="297">
        <v>0</v>
      </c>
    </row>
    <row r="64" spans="1:8" x14ac:dyDescent="0.25">
      <c r="A64" s="301"/>
      <c r="B64" s="296" t="s">
        <v>491</v>
      </c>
      <c r="C64" s="298">
        <v>16617</v>
      </c>
      <c r="D64" s="298">
        <v>0</v>
      </c>
      <c r="E64" s="297">
        <v>0</v>
      </c>
      <c r="F64" s="297">
        <v>0</v>
      </c>
      <c r="G64" s="297">
        <v>0</v>
      </c>
      <c r="H64" s="297">
        <v>0</v>
      </c>
    </row>
    <row r="65" spans="1:8" s="305" customFormat="1" ht="17.25" customHeight="1" x14ac:dyDescent="0.25">
      <c r="A65" s="302"/>
      <c r="B65" s="303" t="s">
        <v>492</v>
      </c>
      <c r="C65" s="304">
        <v>1168055</v>
      </c>
      <c r="D65" s="304">
        <v>1067399</v>
      </c>
      <c r="E65" s="304">
        <v>498</v>
      </c>
      <c r="F65" s="304">
        <v>60304</v>
      </c>
      <c r="G65" s="304">
        <v>30</v>
      </c>
      <c r="H65" s="304">
        <v>23735</v>
      </c>
    </row>
    <row r="66" spans="1:8" x14ac:dyDescent="0.25">
      <c r="C66" s="306"/>
    </row>
    <row r="67" spans="1:8" x14ac:dyDescent="0.25">
      <c r="D67" s="306"/>
    </row>
  </sheetData>
  <mergeCells count="4">
    <mergeCell ref="A1:B1"/>
    <mergeCell ref="A3:A4"/>
    <mergeCell ref="B3:B4"/>
    <mergeCell ref="D3:H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3"/>
  <sheetViews>
    <sheetView zoomScaleNormal="100" workbookViewId="0">
      <pane xSplit="2" ySplit="9" topLeftCell="C159" activePane="bottomRight" state="frozen"/>
      <selection pane="topRight" activeCell="C1" sqref="C1"/>
      <selection pane="bottomLeft" activeCell="A10" sqref="A10"/>
      <selection pane="bottomRight" activeCell="D172" sqref="D172"/>
    </sheetView>
  </sheetViews>
  <sheetFormatPr defaultRowHeight="15" x14ac:dyDescent="0.25"/>
  <cols>
    <col min="1" max="1" width="4.28515625" style="100" customWidth="1"/>
    <col min="2" max="2" width="32" style="100" customWidth="1"/>
    <col min="3" max="3" width="11.140625" style="116" customWidth="1"/>
    <col min="4" max="6" width="11" style="116" customWidth="1"/>
    <col min="7" max="7" width="13.42578125" style="116" customWidth="1"/>
    <col min="8" max="8" width="11.140625" style="116" customWidth="1"/>
    <col min="9" max="9" width="12.28515625" style="116" customWidth="1"/>
    <col min="10" max="10" width="11.140625" style="116" customWidth="1"/>
    <col min="11" max="12" width="9.140625" style="116"/>
    <col min="13" max="13" width="11.28515625" style="116" customWidth="1"/>
    <col min="14" max="14" width="11.140625" style="116" customWidth="1"/>
    <col min="15" max="16" width="9.140625" style="116"/>
    <col min="17" max="17" width="12.28515625" style="116" customWidth="1"/>
    <col min="18" max="18" width="11.7109375" style="116" customWidth="1"/>
    <col min="19" max="20" width="11.42578125" style="116" customWidth="1"/>
    <col min="21" max="21" width="13.140625" style="116" customWidth="1"/>
    <col min="22" max="16384" width="9.140625" style="116"/>
  </cols>
  <sheetData>
    <row r="1" spans="1:21" ht="18.75" x14ac:dyDescent="0.25">
      <c r="A1" s="116"/>
      <c r="B1" s="407" t="s">
        <v>261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</row>
    <row r="2" spans="1:21" x14ac:dyDescent="0.25">
      <c r="A2" s="101"/>
    </row>
    <row r="3" spans="1:21" x14ac:dyDescent="0.25">
      <c r="A3" s="408" t="s">
        <v>0</v>
      </c>
      <c r="B3" s="408" t="s">
        <v>149</v>
      </c>
      <c r="C3" s="411" t="s">
        <v>262</v>
      </c>
      <c r="D3" s="412" t="s">
        <v>98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3"/>
    </row>
    <row r="4" spans="1:21" ht="15" customHeight="1" x14ac:dyDescent="0.25">
      <c r="A4" s="409"/>
      <c r="B4" s="409"/>
      <c r="C4" s="411"/>
      <c r="D4" s="411" t="s">
        <v>263</v>
      </c>
      <c r="E4" s="411"/>
      <c r="F4" s="414" t="s">
        <v>264</v>
      </c>
      <c r="G4" s="414"/>
      <c r="H4" s="415"/>
      <c r="I4" s="408" t="s">
        <v>265</v>
      </c>
      <c r="J4" s="418" t="s">
        <v>266</v>
      </c>
      <c r="K4" s="414"/>
      <c r="L4" s="414"/>
      <c r="M4" s="414"/>
      <c r="N4" s="414"/>
      <c r="O4" s="414"/>
      <c r="P4" s="411" t="s">
        <v>267</v>
      </c>
      <c r="Q4" s="411"/>
      <c r="R4" s="411"/>
      <c r="S4" s="418" t="s">
        <v>268</v>
      </c>
      <c r="T4" s="414"/>
      <c r="U4" s="415"/>
    </row>
    <row r="5" spans="1:21" ht="30.75" customHeight="1" x14ac:dyDescent="0.25">
      <c r="A5" s="409"/>
      <c r="B5" s="409"/>
      <c r="C5" s="411"/>
      <c r="D5" s="411"/>
      <c r="E5" s="411"/>
      <c r="F5" s="416"/>
      <c r="G5" s="416"/>
      <c r="H5" s="417"/>
      <c r="I5" s="409"/>
      <c r="J5" s="419"/>
      <c r="K5" s="416"/>
      <c r="L5" s="416"/>
      <c r="M5" s="416"/>
      <c r="N5" s="416"/>
      <c r="O5" s="416"/>
      <c r="P5" s="411"/>
      <c r="Q5" s="411"/>
      <c r="R5" s="411"/>
      <c r="S5" s="419"/>
      <c r="T5" s="416"/>
      <c r="U5" s="417"/>
    </row>
    <row r="6" spans="1:21" x14ac:dyDescent="0.25">
      <c r="A6" s="409"/>
      <c r="B6" s="409"/>
      <c r="C6" s="411"/>
      <c r="D6" s="411"/>
      <c r="E6" s="411"/>
      <c r="F6" s="414" t="s">
        <v>269</v>
      </c>
      <c r="G6" s="415"/>
      <c r="H6" s="411" t="s">
        <v>270</v>
      </c>
      <c r="I6" s="409"/>
      <c r="J6" s="408" t="s">
        <v>270</v>
      </c>
      <c r="K6" s="420" t="s">
        <v>271</v>
      </c>
      <c r="L6" s="413"/>
      <c r="M6" s="414" t="s">
        <v>269</v>
      </c>
      <c r="N6" s="415"/>
      <c r="O6" s="418" t="s">
        <v>272</v>
      </c>
      <c r="P6" s="411" t="s">
        <v>270</v>
      </c>
      <c r="Q6" s="411" t="s">
        <v>269</v>
      </c>
      <c r="R6" s="411"/>
      <c r="S6" s="408" t="s">
        <v>270</v>
      </c>
      <c r="T6" s="411" t="s">
        <v>269</v>
      </c>
      <c r="U6" s="411"/>
    </row>
    <row r="7" spans="1:21" x14ac:dyDescent="0.25">
      <c r="A7" s="409"/>
      <c r="B7" s="409"/>
      <c r="C7" s="411"/>
      <c r="D7" s="411"/>
      <c r="E7" s="411"/>
      <c r="F7" s="416"/>
      <c r="G7" s="417"/>
      <c r="H7" s="411"/>
      <c r="I7" s="409"/>
      <c r="J7" s="409"/>
      <c r="K7" s="408" t="s">
        <v>273</v>
      </c>
      <c r="L7" s="408" t="s">
        <v>274</v>
      </c>
      <c r="M7" s="416"/>
      <c r="N7" s="417"/>
      <c r="O7" s="425"/>
      <c r="P7" s="411"/>
      <c r="Q7" s="411"/>
      <c r="R7" s="411"/>
      <c r="S7" s="409"/>
      <c r="T7" s="411"/>
      <c r="U7" s="411"/>
    </row>
    <row r="8" spans="1:21" ht="45" x14ac:dyDescent="0.25">
      <c r="A8" s="410"/>
      <c r="B8" s="410"/>
      <c r="C8" s="411"/>
      <c r="D8" s="128" t="s">
        <v>279</v>
      </c>
      <c r="E8" s="128" t="s">
        <v>165</v>
      </c>
      <c r="F8" s="131" t="s">
        <v>164</v>
      </c>
      <c r="G8" s="128" t="s">
        <v>165</v>
      </c>
      <c r="H8" s="411"/>
      <c r="I8" s="410"/>
      <c r="J8" s="410"/>
      <c r="K8" s="410"/>
      <c r="L8" s="410"/>
      <c r="M8" s="129" t="s">
        <v>164</v>
      </c>
      <c r="N8" s="129" t="s">
        <v>165</v>
      </c>
      <c r="O8" s="419"/>
      <c r="P8" s="411"/>
      <c r="Q8" s="128" t="s">
        <v>164</v>
      </c>
      <c r="R8" s="128" t="s">
        <v>165</v>
      </c>
      <c r="S8" s="410"/>
      <c r="T8" s="128" t="s">
        <v>164</v>
      </c>
      <c r="U8" s="128" t="s">
        <v>165</v>
      </c>
    </row>
    <row r="9" spans="1:21" x14ac:dyDescent="0.25">
      <c r="A9" s="128">
        <v>1</v>
      </c>
      <c r="B9" s="128">
        <v>2</v>
      </c>
      <c r="C9" s="128">
        <v>3</v>
      </c>
      <c r="D9" s="128">
        <v>4</v>
      </c>
      <c r="E9" s="128"/>
      <c r="F9" s="128">
        <v>5</v>
      </c>
      <c r="G9" s="128">
        <v>6</v>
      </c>
      <c r="H9" s="128">
        <v>7</v>
      </c>
      <c r="I9" s="128">
        <v>8</v>
      </c>
      <c r="J9" s="128">
        <v>9</v>
      </c>
      <c r="K9" s="128">
        <v>10</v>
      </c>
      <c r="L9" s="128">
        <v>11</v>
      </c>
      <c r="M9" s="128">
        <v>12</v>
      </c>
      <c r="N9" s="128">
        <v>13</v>
      </c>
      <c r="O9" s="128">
        <v>14</v>
      </c>
      <c r="P9" s="128">
        <v>15</v>
      </c>
      <c r="Q9" s="128">
        <v>16</v>
      </c>
      <c r="R9" s="128">
        <v>17</v>
      </c>
      <c r="S9" s="128">
        <v>18</v>
      </c>
      <c r="T9" s="128">
        <v>19</v>
      </c>
      <c r="U9" s="128">
        <v>20</v>
      </c>
    </row>
    <row r="10" spans="1:21" x14ac:dyDescent="0.25">
      <c r="A10" s="130">
        <v>1</v>
      </c>
      <c r="B10" s="102" t="s">
        <v>13</v>
      </c>
      <c r="C10" s="117">
        <f>D10+E10+F10+G10+H10+I10+J10+K10+L10+M10+N10+O10+P10+Q10+R10+S10+T10+U10</f>
        <v>134795</v>
      </c>
      <c r="D10" s="146">
        <v>693</v>
      </c>
      <c r="E10" s="147">
        <v>1418</v>
      </c>
      <c r="F10" s="117">
        <v>1997</v>
      </c>
      <c r="G10" s="117">
        <v>49755</v>
      </c>
      <c r="H10" s="117">
        <v>0</v>
      </c>
      <c r="I10" s="117">
        <v>8225</v>
      </c>
      <c r="J10" s="117">
        <v>0</v>
      </c>
      <c r="K10" s="117">
        <v>1025</v>
      </c>
      <c r="L10" s="117">
        <v>439</v>
      </c>
      <c r="M10" s="117">
        <v>4848</v>
      </c>
      <c r="N10" s="117">
        <v>27349</v>
      </c>
      <c r="O10" s="117">
        <v>0</v>
      </c>
      <c r="P10" s="117">
        <v>0</v>
      </c>
      <c r="Q10" s="117">
        <v>1126</v>
      </c>
      <c r="R10" s="117">
        <v>12300</v>
      </c>
      <c r="S10" s="117">
        <v>0</v>
      </c>
      <c r="T10" s="117">
        <v>3749</v>
      </c>
      <c r="U10" s="117">
        <v>21871</v>
      </c>
    </row>
    <row r="11" spans="1:21" ht="25.5" x14ac:dyDescent="0.25">
      <c r="A11" s="130">
        <v>2</v>
      </c>
      <c r="B11" s="102" t="s">
        <v>166</v>
      </c>
      <c r="C11" s="117">
        <f t="shared" ref="C11:C74" si="0">D11+E11+F11+G11+H11+I11+J11+K11+L11+M11+N11+O11+P11+Q11+R11+S11+T11+U11</f>
        <v>1403</v>
      </c>
      <c r="D11" s="146">
        <v>0</v>
      </c>
      <c r="E11" s="146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1029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374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</row>
    <row r="12" spans="1:21" x14ac:dyDescent="0.25">
      <c r="A12" s="130">
        <v>3</v>
      </c>
      <c r="B12" s="103" t="s">
        <v>22</v>
      </c>
      <c r="C12" s="117">
        <f t="shared" si="0"/>
        <v>134339</v>
      </c>
      <c r="D12" s="146">
        <v>585</v>
      </c>
      <c r="E12" s="147">
        <v>1567</v>
      </c>
      <c r="F12" s="117">
        <v>1903</v>
      </c>
      <c r="G12" s="117">
        <v>45959</v>
      </c>
      <c r="H12" s="117">
        <v>0</v>
      </c>
      <c r="I12" s="117">
        <v>7186</v>
      </c>
      <c r="J12" s="117">
        <v>0</v>
      </c>
      <c r="K12" s="117">
        <v>1025</v>
      </c>
      <c r="L12" s="117">
        <v>439</v>
      </c>
      <c r="M12" s="117">
        <v>7866</v>
      </c>
      <c r="N12" s="117">
        <v>44966</v>
      </c>
      <c r="O12" s="117">
        <v>156</v>
      </c>
      <c r="P12" s="117">
        <v>0</v>
      </c>
      <c r="Q12" s="117">
        <v>2515</v>
      </c>
      <c r="R12" s="117">
        <v>2294</v>
      </c>
      <c r="S12" s="117">
        <v>0</v>
      </c>
      <c r="T12" s="117">
        <v>3555</v>
      </c>
      <c r="U12" s="117">
        <v>14323</v>
      </c>
    </row>
    <row r="13" spans="1:21" x14ac:dyDescent="0.25">
      <c r="A13" s="130">
        <v>4</v>
      </c>
      <c r="B13" s="103" t="s">
        <v>167</v>
      </c>
      <c r="C13" s="117">
        <f t="shared" si="0"/>
        <v>1297</v>
      </c>
      <c r="D13" s="146">
        <v>0</v>
      </c>
      <c r="E13" s="146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812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61</v>
      </c>
      <c r="Q13" s="117">
        <v>0</v>
      </c>
      <c r="R13" s="117">
        <v>0</v>
      </c>
      <c r="S13" s="117">
        <v>424</v>
      </c>
      <c r="T13" s="117">
        <v>0</v>
      </c>
      <c r="U13" s="117">
        <v>0</v>
      </c>
    </row>
    <row r="14" spans="1:21" x14ac:dyDescent="0.25">
      <c r="A14" s="421">
        <v>5</v>
      </c>
      <c r="B14" s="104" t="s">
        <v>66</v>
      </c>
      <c r="C14" s="117">
        <f t="shared" si="0"/>
        <v>315145</v>
      </c>
      <c r="D14" s="147">
        <v>2010</v>
      </c>
      <c r="E14" s="147">
        <v>2996</v>
      </c>
      <c r="F14" s="117">
        <v>7059</v>
      </c>
      <c r="G14" s="117">
        <v>97417</v>
      </c>
      <c r="H14" s="117">
        <v>0</v>
      </c>
      <c r="I14" s="117">
        <v>13874</v>
      </c>
      <c r="J14" s="117">
        <v>0</v>
      </c>
      <c r="K14" s="117">
        <v>1025</v>
      </c>
      <c r="L14" s="117">
        <v>439</v>
      </c>
      <c r="M14" s="117">
        <v>29412</v>
      </c>
      <c r="N14" s="117">
        <v>88361</v>
      </c>
      <c r="O14" s="117">
        <v>0</v>
      </c>
      <c r="P14" s="117">
        <v>0</v>
      </c>
      <c r="Q14" s="117">
        <v>5372</v>
      </c>
      <c r="R14" s="117">
        <v>1340</v>
      </c>
      <c r="S14" s="117">
        <v>0</v>
      </c>
      <c r="T14" s="117">
        <v>16698</v>
      </c>
      <c r="U14" s="117">
        <v>49142</v>
      </c>
    </row>
    <row r="15" spans="1:21" ht="51" x14ac:dyDescent="0.25">
      <c r="A15" s="422"/>
      <c r="B15" s="105" t="s">
        <v>168</v>
      </c>
      <c r="C15" s="117">
        <f t="shared" si="0"/>
        <v>40884</v>
      </c>
      <c r="D15" s="146">
        <v>289</v>
      </c>
      <c r="E15" s="146">
        <v>404</v>
      </c>
      <c r="F15" s="117">
        <v>746</v>
      </c>
      <c r="G15" s="117">
        <v>12809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1931</v>
      </c>
      <c r="N15" s="117">
        <v>9932</v>
      </c>
      <c r="O15" s="117">
        <v>0</v>
      </c>
      <c r="P15" s="117">
        <v>0</v>
      </c>
      <c r="Q15" s="117">
        <v>4108</v>
      </c>
      <c r="R15" s="117">
        <v>0</v>
      </c>
      <c r="S15" s="117">
        <v>0</v>
      </c>
      <c r="T15" s="117">
        <v>1215</v>
      </c>
      <c r="U15" s="117">
        <v>9450</v>
      </c>
    </row>
    <row r="16" spans="1:21" x14ac:dyDescent="0.25">
      <c r="A16" s="130">
        <v>6</v>
      </c>
      <c r="B16" s="103" t="s">
        <v>51</v>
      </c>
      <c r="C16" s="117">
        <f t="shared" si="0"/>
        <v>98323</v>
      </c>
      <c r="D16" s="146">
        <v>494</v>
      </c>
      <c r="E16" s="147">
        <v>1150</v>
      </c>
      <c r="F16" s="117">
        <v>5916</v>
      </c>
      <c r="G16" s="117">
        <v>27945</v>
      </c>
      <c r="H16" s="117">
        <v>0</v>
      </c>
      <c r="I16" s="117">
        <v>0</v>
      </c>
      <c r="J16" s="117">
        <v>0</v>
      </c>
      <c r="K16" s="117">
        <v>1025</v>
      </c>
      <c r="L16" s="117">
        <v>439</v>
      </c>
      <c r="M16" s="117">
        <v>8240</v>
      </c>
      <c r="N16" s="117">
        <v>30984</v>
      </c>
      <c r="O16" s="117">
        <v>0</v>
      </c>
      <c r="P16" s="117">
        <v>0</v>
      </c>
      <c r="Q16" s="117">
        <v>0</v>
      </c>
      <c r="R16" s="117">
        <v>7111</v>
      </c>
      <c r="S16" s="117">
        <v>0</v>
      </c>
      <c r="T16" s="117">
        <v>1203</v>
      </c>
      <c r="U16" s="117">
        <v>13816</v>
      </c>
    </row>
    <row r="17" spans="1:21" x14ac:dyDescent="0.25">
      <c r="A17" s="130">
        <v>7</v>
      </c>
      <c r="B17" s="103" t="s">
        <v>4</v>
      </c>
      <c r="C17" s="117">
        <f t="shared" si="0"/>
        <v>41931</v>
      </c>
      <c r="D17" s="146">
        <v>298</v>
      </c>
      <c r="E17" s="146">
        <v>416</v>
      </c>
      <c r="F17" s="117">
        <v>1753</v>
      </c>
      <c r="G17" s="117">
        <v>22555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5972</v>
      </c>
      <c r="N17" s="117">
        <v>7209</v>
      </c>
      <c r="O17" s="117">
        <v>0</v>
      </c>
      <c r="P17" s="117">
        <v>0</v>
      </c>
      <c r="Q17" s="117">
        <v>0</v>
      </c>
      <c r="R17" s="117">
        <v>1052</v>
      </c>
      <c r="S17" s="117">
        <v>0</v>
      </c>
      <c r="T17" s="117">
        <v>389</v>
      </c>
      <c r="U17" s="117">
        <v>2287</v>
      </c>
    </row>
    <row r="18" spans="1:21" x14ac:dyDescent="0.25">
      <c r="A18" s="130">
        <v>8</v>
      </c>
      <c r="B18" s="103" t="s">
        <v>8</v>
      </c>
      <c r="C18" s="117">
        <f t="shared" si="0"/>
        <v>43971</v>
      </c>
      <c r="D18" s="146">
        <v>217</v>
      </c>
      <c r="E18" s="146">
        <v>525</v>
      </c>
      <c r="F18" s="117">
        <v>770</v>
      </c>
      <c r="G18" s="117">
        <v>14312</v>
      </c>
      <c r="H18" s="117">
        <v>0</v>
      </c>
      <c r="I18" s="117">
        <v>0</v>
      </c>
      <c r="J18" s="117">
        <v>0</v>
      </c>
      <c r="K18" s="117">
        <v>1025</v>
      </c>
      <c r="L18" s="117">
        <v>439</v>
      </c>
      <c r="M18" s="117">
        <v>6886</v>
      </c>
      <c r="N18" s="117">
        <v>9496</v>
      </c>
      <c r="O18" s="117">
        <v>0</v>
      </c>
      <c r="P18" s="117">
        <v>0</v>
      </c>
      <c r="Q18" s="117">
        <v>0</v>
      </c>
      <c r="R18" s="117">
        <v>3295</v>
      </c>
      <c r="S18" s="117">
        <v>0</v>
      </c>
      <c r="T18" s="117">
        <v>500</v>
      </c>
      <c r="U18" s="117">
        <v>6506</v>
      </c>
    </row>
    <row r="19" spans="1:21" x14ac:dyDescent="0.25">
      <c r="A19" s="130">
        <v>9</v>
      </c>
      <c r="B19" s="103" t="s">
        <v>17</v>
      </c>
      <c r="C19" s="117">
        <f t="shared" si="0"/>
        <v>47619</v>
      </c>
      <c r="D19" s="146">
        <v>285</v>
      </c>
      <c r="E19" s="146">
        <v>562</v>
      </c>
      <c r="F19" s="117">
        <v>774</v>
      </c>
      <c r="G19" s="117">
        <v>16045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2481</v>
      </c>
      <c r="N19" s="117">
        <v>13233</v>
      </c>
      <c r="O19" s="117">
        <v>0</v>
      </c>
      <c r="P19" s="117">
        <v>0</v>
      </c>
      <c r="Q19" s="117">
        <v>2892</v>
      </c>
      <c r="R19" s="117">
        <v>4750</v>
      </c>
      <c r="S19" s="117">
        <v>0</v>
      </c>
      <c r="T19" s="117">
        <v>1488</v>
      </c>
      <c r="U19" s="117">
        <v>5109</v>
      </c>
    </row>
    <row r="20" spans="1:21" x14ac:dyDescent="0.25">
      <c r="A20" s="130">
        <v>10</v>
      </c>
      <c r="B20" s="103" t="s">
        <v>44</v>
      </c>
      <c r="C20" s="117">
        <f t="shared" si="0"/>
        <v>50929</v>
      </c>
      <c r="D20" s="146">
        <v>347</v>
      </c>
      <c r="E20" s="146">
        <v>520</v>
      </c>
      <c r="F20" s="117">
        <v>2543</v>
      </c>
      <c r="G20" s="117">
        <v>13032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6231</v>
      </c>
      <c r="N20" s="117">
        <v>15226</v>
      </c>
      <c r="O20" s="117">
        <v>0</v>
      </c>
      <c r="P20" s="117">
        <v>0</v>
      </c>
      <c r="Q20" s="117">
        <v>1500</v>
      </c>
      <c r="R20" s="117">
        <v>5118</v>
      </c>
      <c r="S20" s="117">
        <v>0</v>
      </c>
      <c r="T20" s="117">
        <v>444</v>
      </c>
      <c r="U20" s="117">
        <v>5968</v>
      </c>
    </row>
    <row r="21" spans="1:21" x14ac:dyDescent="0.25">
      <c r="A21" s="130">
        <v>11</v>
      </c>
      <c r="B21" s="104" t="s">
        <v>29</v>
      </c>
      <c r="C21" s="117">
        <f t="shared" si="0"/>
        <v>52970</v>
      </c>
      <c r="D21" s="146">
        <v>299</v>
      </c>
      <c r="E21" s="146">
        <v>599</v>
      </c>
      <c r="F21" s="117">
        <v>1007</v>
      </c>
      <c r="G21" s="117">
        <v>16423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2665</v>
      </c>
      <c r="N21" s="117">
        <v>16943</v>
      </c>
      <c r="O21" s="117">
        <v>0</v>
      </c>
      <c r="P21" s="117">
        <v>0</v>
      </c>
      <c r="Q21" s="117">
        <v>1488</v>
      </c>
      <c r="R21" s="117">
        <v>810</v>
      </c>
      <c r="S21" s="117">
        <v>0</v>
      </c>
      <c r="T21" s="117">
        <v>4287</v>
      </c>
      <c r="U21" s="117">
        <v>8449</v>
      </c>
    </row>
    <row r="22" spans="1:21" x14ac:dyDescent="0.25">
      <c r="A22" s="130">
        <v>12</v>
      </c>
      <c r="B22" s="103" t="s">
        <v>30</v>
      </c>
      <c r="C22" s="117">
        <f t="shared" si="0"/>
        <v>49970</v>
      </c>
      <c r="D22" s="146">
        <v>183</v>
      </c>
      <c r="E22" s="146">
        <v>661</v>
      </c>
      <c r="F22" s="117">
        <v>1716</v>
      </c>
      <c r="G22" s="117">
        <v>17212</v>
      </c>
      <c r="H22" s="117">
        <v>0</v>
      </c>
      <c r="I22" s="117">
        <v>0</v>
      </c>
      <c r="J22" s="117">
        <v>0</v>
      </c>
      <c r="K22" s="117">
        <v>1025</v>
      </c>
      <c r="L22" s="117">
        <v>439</v>
      </c>
      <c r="M22" s="117">
        <v>5011</v>
      </c>
      <c r="N22" s="117">
        <v>13155</v>
      </c>
      <c r="O22" s="117">
        <v>0</v>
      </c>
      <c r="P22" s="117">
        <v>0</v>
      </c>
      <c r="Q22" s="117">
        <v>0</v>
      </c>
      <c r="R22" s="117">
        <v>1020</v>
      </c>
      <c r="S22" s="117">
        <v>0</v>
      </c>
      <c r="T22" s="117">
        <v>2328</v>
      </c>
      <c r="U22" s="117">
        <v>7220</v>
      </c>
    </row>
    <row r="23" spans="1:21" x14ac:dyDescent="0.25">
      <c r="A23" s="130">
        <v>13</v>
      </c>
      <c r="B23" s="104" t="s">
        <v>33</v>
      </c>
      <c r="C23" s="117">
        <f t="shared" si="0"/>
        <v>59397</v>
      </c>
      <c r="D23" s="146">
        <v>311</v>
      </c>
      <c r="E23" s="146">
        <v>721</v>
      </c>
      <c r="F23" s="117">
        <v>378</v>
      </c>
      <c r="G23" s="117">
        <v>11246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8403</v>
      </c>
      <c r="N23" s="117">
        <v>11826</v>
      </c>
      <c r="O23" s="117">
        <v>0</v>
      </c>
      <c r="P23" s="117">
        <v>0</v>
      </c>
      <c r="Q23" s="117">
        <v>1500</v>
      </c>
      <c r="R23" s="117">
        <v>4841</v>
      </c>
      <c r="S23" s="117">
        <v>0</v>
      </c>
      <c r="T23" s="117">
        <v>4401</v>
      </c>
      <c r="U23" s="117">
        <v>15770</v>
      </c>
    </row>
    <row r="24" spans="1:21" x14ac:dyDescent="0.25">
      <c r="A24" s="130">
        <v>14</v>
      </c>
      <c r="B24" s="103" t="s">
        <v>39</v>
      </c>
      <c r="C24" s="117">
        <f t="shared" si="0"/>
        <v>47782</v>
      </c>
      <c r="D24" s="146">
        <v>263</v>
      </c>
      <c r="E24" s="146">
        <v>539</v>
      </c>
      <c r="F24" s="117">
        <v>590</v>
      </c>
      <c r="G24" s="117">
        <v>15049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1200</v>
      </c>
      <c r="N24" s="117">
        <v>12709</v>
      </c>
      <c r="O24" s="117">
        <v>0</v>
      </c>
      <c r="P24" s="117">
        <v>0</v>
      </c>
      <c r="Q24" s="117">
        <v>900</v>
      </c>
      <c r="R24" s="117">
        <v>4841</v>
      </c>
      <c r="S24" s="117">
        <v>0</v>
      </c>
      <c r="T24" s="117">
        <v>4310</v>
      </c>
      <c r="U24" s="117">
        <v>7381</v>
      </c>
    </row>
    <row r="25" spans="1:21" x14ac:dyDescent="0.25">
      <c r="A25" s="130">
        <v>15</v>
      </c>
      <c r="B25" s="103" t="s">
        <v>173</v>
      </c>
      <c r="C25" s="117">
        <f t="shared" si="0"/>
        <v>6</v>
      </c>
      <c r="D25" s="146">
        <v>0</v>
      </c>
      <c r="E25" s="146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6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</row>
    <row r="26" spans="1:21" x14ac:dyDescent="0.25">
      <c r="A26" s="130">
        <v>16</v>
      </c>
      <c r="B26" s="103" t="s">
        <v>52</v>
      </c>
      <c r="C26" s="117">
        <f t="shared" si="0"/>
        <v>141873</v>
      </c>
      <c r="D26" s="146">
        <v>482</v>
      </c>
      <c r="E26" s="147">
        <v>1711</v>
      </c>
      <c r="F26" s="117">
        <v>3285</v>
      </c>
      <c r="G26" s="117">
        <v>29189</v>
      </c>
      <c r="H26" s="117">
        <v>0</v>
      </c>
      <c r="I26" s="117">
        <v>8103</v>
      </c>
      <c r="J26" s="117">
        <v>0</v>
      </c>
      <c r="K26" s="117">
        <v>1025</v>
      </c>
      <c r="L26" s="117">
        <v>439</v>
      </c>
      <c r="M26" s="117">
        <v>9590</v>
      </c>
      <c r="N26" s="117">
        <v>45243</v>
      </c>
      <c r="O26" s="117">
        <v>0</v>
      </c>
      <c r="P26" s="117">
        <v>0</v>
      </c>
      <c r="Q26" s="117">
        <v>3437</v>
      </c>
      <c r="R26" s="117">
        <v>7500</v>
      </c>
      <c r="S26" s="117">
        <v>0</v>
      </c>
      <c r="T26" s="117">
        <v>3672</v>
      </c>
      <c r="U26" s="117">
        <v>28197</v>
      </c>
    </row>
    <row r="27" spans="1:21" ht="25.5" x14ac:dyDescent="0.25">
      <c r="A27" s="130">
        <v>17</v>
      </c>
      <c r="B27" s="106" t="s">
        <v>178</v>
      </c>
      <c r="C27" s="117">
        <f t="shared" si="0"/>
        <v>2391</v>
      </c>
      <c r="D27" s="146">
        <v>0</v>
      </c>
      <c r="E27" s="146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1093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773</v>
      </c>
      <c r="Q27" s="117">
        <v>0</v>
      </c>
      <c r="R27" s="117">
        <v>0</v>
      </c>
      <c r="S27" s="117">
        <v>525</v>
      </c>
      <c r="T27" s="117">
        <v>0</v>
      </c>
      <c r="U27" s="117">
        <v>0</v>
      </c>
    </row>
    <row r="28" spans="1:21" x14ac:dyDescent="0.25">
      <c r="A28" s="130">
        <v>18</v>
      </c>
      <c r="B28" s="103" t="s">
        <v>6</v>
      </c>
      <c r="C28" s="117">
        <f t="shared" si="0"/>
        <v>119360</v>
      </c>
      <c r="D28" s="146">
        <v>750</v>
      </c>
      <c r="E28" s="147">
        <v>1158</v>
      </c>
      <c r="F28" s="117">
        <v>1738</v>
      </c>
      <c r="G28" s="117">
        <v>34980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18350</v>
      </c>
      <c r="N28" s="117">
        <v>29979</v>
      </c>
      <c r="O28" s="117">
        <v>0</v>
      </c>
      <c r="P28" s="117">
        <v>0</v>
      </c>
      <c r="Q28" s="117">
        <v>2586</v>
      </c>
      <c r="R28" s="117">
        <v>13648</v>
      </c>
      <c r="S28" s="117">
        <v>0</v>
      </c>
      <c r="T28" s="117">
        <v>779</v>
      </c>
      <c r="U28" s="117">
        <v>15392</v>
      </c>
    </row>
    <row r="29" spans="1:21" x14ac:dyDescent="0.25">
      <c r="A29" s="130">
        <v>19</v>
      </c>
      <c r="B29" s="103" t="s">
        <v>11</v>
      </c>
      <c r="C29" s="117">
        <f t="shared" si="0"/>
        <v>235833</v>
      </c>
      <c r="D29" s="147">
        <v>1265</v>
      </c>
      <c r="E29" s="147">
        <v>2445</v>
      </c>
      <c r="F29" s="117">
        <v>8606</v>
      </c>
      <c r="G29" s="117">
        <v>85798</v>
      </c>
      <c r="H29" s="117">
        <v>0</v>
      </c>
      <c r="I29" s="117">
        <v>12290</v>
      </c>
      <c r="J29" s="117">
        <v>0</v>
      </c>
      <c r="K29" s="117">
        <v>1025</v>
      </c>
      <c r="L29" s="117">
        <v>439</v>
      </c>
      <c r="M29" s="117">
        <v>17496</v>
      </c>
      <c r="N29" s="117">
        <v>35093</v>
      </c>
      <c r="O29" s="117">
        <v>0</v>
      </c>
      <c r="P29" s="117">
        <v>0</v>
      </c>
      <c r="Q29" s="117">
        <v>0</v>
      </c>
      <c r="R29" s="117">
        <v>40000</v>
      </c>
      <c r="S29" s="117">
        <v>0</v>
      </c>
      <c r="T29" s="117">
        <v>10110</v>
      </c>
      <c r="U29" s="117">
        <v>21266</v>
      </c>
    </row>
    <row r="30" spans="1:21" x14ac:dyDescent="0.25">
      <c r="A30" s="130">
        <v>20</v>
      </c>
      <c r="B30" s="103" t="s">
        <v>95</v>
      </c>
      <c r="C30" s="117">
        <f t="shared" si="0"/>
        <v>156323</v>
      </c>
      <c r="D30" s="147">
        <v>1064</v>
      </c>
      <c r="E30" s="147">
        <v>1517</v>
      </c>
      <c r="F30" s="117">
        <v>8527</v>
      </c>
      <c r="G30" s="117">
        <v>32482</v>
      </c>
      <c r="H30" s="117">
        <v>0</v>
      </c>
      <c r="I30" s="117">
        <v>0</v>
      </c>
      <c r="J30" s="117">
        <v>0</v>
      </c>
      <c r="K30" s="117">
        <v>1025</v>
      </c>
      <c r="L30" s="117">
        <v>439</v>
      </c>
      <c r="M30" s="117">
        <v>14368</v>
      </c>
      <c r="N30" s="117">
        <v>41027</v>
      </c>
      <c r="O30" s="117">
        <v>0</v>
      </c>
      <c r="P30" s="117">
        <v>0</v>
      </c>
      <c r="Q30" s="117">
        <v>2000</v>
      </c>
      <c r="R30" s="117">
        <v>15019</v>
      </c>
      <c r="S30" s="117">
        <v>0</v>
      </c>
      <c r="T30" s="117">
        <v>5685</v>
      </c>
      <c r="U30" s="117">
        <v>33170</v>
      </c>
    </row>
    <row r="31" spans="1:21" x14ac:dyDescent="0.25">
      <c r="A31" s="130">
        <v>21</v>
      </c>
      <c r="B31" s="103" t="s">
        <v>179</v>
      </c>
      <c r="C31" s="117">
        <f t="shared" si="0"/>
        <v>35612</v>
      </c>
      <c r="D31" s="146">
        <v>163</v>
      </c>
      <c r="E31" s="146">
        <v>358</v>
      </c>
      <c r="F31" s="117">
        <v>386</v>
      </c>
      <c r="G31" s="117">
        <v>8114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9062</v>
      </c>
      <c r="N31" s="117">
        <v>5854</v>
      </c>
      <c r="O31" s="117">
        <v>0</v>
      </c>
      <c r="P31" s="117">
        <v>0</v>
      </c>
      <c r="Q31" s="117">
        <v>950</v>
      </c>
      <c r="R31" s="117">
        <v>2350</v>
      </c>
      <c r="S31" s="117">
        <v>0</v>
      </c>
      <c r="T31" s="117">
        <v>713</v>
      </c>
      <c r="U31" s="117">
        <v>7662</v>
      </c>
    </row>
    <row r="32" spans="1:21" x14ac:dyDescent="0.25">
      <c r="A32" s="130">
        <v>22</v>
      </c>
      <c r="B32" s="103" t="s">
        <v>47</v>
      </c>
      <c r="C32" s="117">
        <f t="shared" si="0"/>
        <v>64168</v>
      </c>
      <c r="D32" s="146">
        <v>350</v>
      </c>
      <c r="E32" s="146">
        <v>702</v>
      </c>
      <c r="F32" s="117">
        <v>609</v>
      </c>
      <c r="G32" s="117">
        <v>5296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1291</v>
      </c>
      <c r="N32" s="117">
        <v>17434</v>
      </c>
      <c r="O32" s="117">
        <v>0</v>
      </c>
      <c r="P32" s="117">
        <v>0</v>
      </c>
      <c r="Q32" s="117">
        <v>2000</v>
      </c>
      <c r="R32" s="117">
        <v>7112</v>
      </c>
      <c r="S32" s="117">
        <v>0</v>
      </c>
      <c r="T32" s="117">
        <v>2450</v>
      </c>
      <c r="U32" s="117">
        <v>26924</v>
      </c>
    </row>
    <row r="33" spans="1:21" x14ac:dyDescent="0.25">
      <c r="A33" s="130">
        <v>23</v>
      </c>
      <c r="B33" s="103" t="s">
        <v>1</v>
      </c>
      <c r="C33" s="117">
        <f t="shared" si="0"/>
        <v>87341</v>
      </c>
      <c r="D33" s="146">
        <v>554</v>
      </c>
      <c r="E33" s="146">
        <v>838</v>
      </c>
      <c r="F33" s="117">
        <v>1955</v>
      </c>
      <c r="G33" s="117">
        <v>33471</v>
      </c>
      <c r="H33" s="117">
        <v>0</v>
      </c>
      <c r="I33" s="117">
        <v>0</v>
      </c>
      <c r="J33" s="117">
        <v>0</v>
      </c>
      <c r="K33" s="117">
        <v>1025</v>
      </c>
      <c r="L33" s="117">
        <v>439</v>
      </c>
      <c r="M33" s="117">
        <v>7137</v>
      </c>
      <c r="N33" s="117">
        <v>13656</v>
      </c>
      <c r="O33" s="117">
        <v>0</v>
      </c>
      <c r="P33" s="117">
        <v>0</v>
      </c>
      <c r="Q33" s="117">
        <v>0</v>
      </c>
      <c r="R33" s="117">
        <v>11232</v>
      </c>
      <c r="S33" s="117">
        <v>0</v>
      </c>
      <c r="T33" s="117">
        <v>3048</v>
      </c>
      <c r="U33" s="117">
        <v>13986</v>
      </c>
    </row>
    <row r="34" spans="1:21" x14ac:dyDescent="0.25">
      <c r="A34" s="130">
        <v>24</v>
      </c>
      <c r="B34" s="103" t="s">
        <v>18</v>
      </c>
      <c r="C34" s="117">
        <f t="shared" si="0"/>
        <v>35929</v>
      </c>
      <c r="D34" s="146">
        <v>168</v>
      </c>
      <c r="E34" s="146">
        <v>389</v>
      </c>
      <c r="F34" s="117">
        <v>3206</v>
      </c>
      <c r="G34" s="117">
        <v>8036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1551</v>
      </c>
      <c r="N34" s="117">
        <v>6655</v>
      </c>
      <c r="O34" s="117">
        <v>0</v>
      </c>
      <c r="P34" s="117">
        <v>0</v>
      </c>
      <c r="Q34" s="117">
        <v>1290</v>
      </c>
      <c r="R34" s="117">
        <v>4236</v>
      </c>
      <c r="S34" s="117">
        <v>0</v>
      </c>
      <c r="T34" s="117">
        <v>1427</v>
      </c>
      <c r="U34" s="117">
        <v>8971</v>
      </c>
    </row>
    <row r="35" spans="1:21" x14ac:dyDescent="0.25">
      <c r="A35" s="130">
        <v>25</v>
      </c>
      <c r="B35" s="103" t="s">
        <v>25</v>
      </c>
      <c r="C35" s="117">
        <f t="shared" si="0"/>
        <v>30212</v>
      </c>
      <c r="D35" s="146">
        <v>186</v>
      </c>
      <c r="E35" s="146">
        <v>321</v>
      </c>
      <c r="F35" s="117">
        <v>662</v>
      </c>
      <c r="G35" s="117">
        <v>6277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1152</v>
      </c>
      <c r="N35" s="117">
        <v>5935</v>
      </c>
      <c r="O35" s="117">
        <v>0</v>
      </c>
      <c r="P35" s="117">
        <v>0</v>
      </c>
      <c r="Q35" s="117">
        <v>660</v>
      </c>
      <c r="R35" s="117">
        <v>3121</v>
      </c>
      <c r="S35" s="117">
        <v>0</v>
      </c>
      <c r="T35" s="117">
        <v>1271</v>
      </c>
      <c r="U35" s="117">
        <v>10627</v>
      </c>
    </row>
    <row r="36" spans="1:21" x14ac:dyDescent="0.25">
      <c r="A36" s="421">
        <v>26</v>
      </c>
      <c r="B36" s="103" t="s">
        <v>91</v>
      </c>
      <c r="C36" s="117">
        <f t="shared" si="0"/>
        <v>75509</v>
      </c>
      <c r="D36" s="147">
        <v>1177</v>
      </c>
      <c r="E36" s="147">
        <v>1654</v>
      </c>
      <c r="F36" s="119">
        <v>3329</v>
      </c>
      <c r="G36" s="119">
        <v>38357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19">
        <v>5824</v>
      </c>
      <c r="N36" s="120">
        <v>13864</v>
      </c>
      <c r="O36" s="119">
        <v>432</v>
      </c>
      <c r="P36" s="120">
        <v>0</v>
      </c>
      <c r="Q36" s="120">
        <v>0</v>
      </c>
      <c r="R36" s="119">
        <v>3000</v>
      </c>
      <c r="S36" s="120">
        <v>0</v>
      </c>
      <c r="T36" s="119">
        <v>652</v>
      </c>
      <c r="U36" s="119">
        <v>7220</v>
      </c>
    </row>
    <row r="37" spans="1:21" ht="51" customHeight="1" x14ac:dyDescent="0.25">
      <c r="A37" s="422"/>
      <c r="B37" s="103" t="s">
        <v>180</v>
      </c>
      <c r="C37" s="117">
        <f t="shared" si="0"/>
        <v>84268</v>
      </c>
      <c r="D37" s="146">
        <v>61</v>
      </c>
      <c r="E37" s="147">
        <v>2518</v>
      </c>
      <c r="F37" s="119">
        <v>12615</v>
      </c>
      <c r="G37" s="119">
        <v>22829</v>
      </c>
      <c r="H37" s="120">
        <v>0</v>
      </c>
      <c r="I37" s="119">
        <v>15046</v>
      </c>
      <c r="J37" s="120">
        <v>0</v>
      </c>
      <c r="K37" s="120">
        <v>886</v>
      </c>
      <c r="L37" s="120">
        <v>438</v>
      </c>
      <c r="M37" s="119">
        <v>2009</v>
      </c>
      <c r="N37" s="119">
        <v>10387</v>
      </c>
      <c r="O37" s="120">
        <v>0</v>
      </c>
      <c r="P37" s="120">
        <v>0</v>
      </c>
      <c r="Q37" s="120">
        <v>0</v>
      </c>
      <c r="R37" s="119">
        <v>2528</v>
      </c>
      <c r="S37" s="120">
        <v>0</v>
      </c>
      <c r="T37" s="119">
        <v>6974</v>
      </c>
      <c r="U37" s="119">
        <v>7977</v>
      </c>
    </row>
    <row r="38" spans="1:21" ht="25.5" x14ac:dyDescent="0.25">
      <c r="A38" s="130">
        <v>27</v>
      </c>
      <c r="B38" s="103" t="s">
        <v>54</v>
      </c>
      <c r="C38" s="117">
        <f t="shared" si="0"/>
        <v>13457</v>
      </c>
      <c r="D38" s="146">
        <v>451</v>
      </c>
      <c r="E38" s="146">
        <v>0</v>
      </c>
      <c r="F38" s="120">
        <v>221</v>
      </c>
      <c r="G38" s="119">
        <v>4410</v>
      </c>
      <c r="H38" s="120">
        <v>0</v>
      </c>
      <c r="I38" s="119">
        <v>3095</v>
      </c>
      <c r="J38" s="120">
        <v>0</v>
      </c>
      <c r="K38" s="120">
        <v>139</v>
      </c>
      <c r="L38" s="120">
        <v>1</v>
      </c>
      <c r="M38" s="120">
        <v>702</v>
      </c>
      <c r="N38" s="120">
        <v>918</v>
      </c>
      <c r="O38" s="120">
        <v>0</v>
      </c>
      <c r="P38" s="120">
        <v>0</v>
      </c>
      <c r="Q38" s="120">
        <v>0</v>
      </c>
      <c r="R38" s="120">
        <v>305</v>
      </c>
      <c r="S38" s="120">
        <v>0</v>
      </c>
      <c r="T38" s="119">
        <v>2604</v>
      </c>
      <c r="U38" s="120">
        <v>611</v>
      </c>
    </row>
    <row r="39" spans="1:21" ht="25.5" x14ac:dyDescent="0.25">
      <c r="A39" s="423">
        <v>28</v>
      </c>
      <c r="B39" s="103" t="s">
        <v>100</v>
      </c>
      <c r="C39" s="117">
        <f t="shared" si="0"/>
        <v>171500</v>
      </c>
      <c r="D39" s="147">
        <v>1120</v>
      </c>
      <c r="E39" s="147">
        <v>2486</v>
      </c>
      <c r="F39" s="121">
        <v>11024</v>
      </c>
      <c r="G39" s="121">
        <v>49398</v>
      </c>
      <c r="H39" s="121">
        <v>0</v>
      </c>
      <c r="I39" s="121">
        <v>0</v>
      </c>
      <c r="J39" s="121">
        <v>0</v>
      </c>
      <c r="K39" s="121">
        <v>1025</v>
      </c>
      <c r="L39" s="121">
        <v>439</v>
      </c>
      <c r="M39" s="121">
        <v>7012</v>
      </c>
      <c r="N39" s="121">
        <v>41748</v>
      </c>
      <c r="O39" s="121">
        <v>0</v>
      </c>
      <c r="P39" s="121">
        <v>0</v>
      </c>
      <c r="Q39" s="121">
        <v>1326</v>
      </c>
      <c r="R39" s="121">
        <v>19299</v>
      </c>
      <c r="S39" s="121">
        <v>0</v>
      </c>
      <c r="T39" s="121">
        <v>4874</v>
      </c>
      <c r="U39" s="121">
        <v>31749</v>
      </c>
    </row>
    <row r="40" spans="1:21" ht="51" x14ac:dyDescent="0.25">
      <c r="A40" s="423"/>
      <c r="B40" s="105" t="s">
        <v>249</v>
      </c>
      <c r="C40" s="117">
        <f t="shared" si="0"/>
        <v>80024</v>
      </c>
      <c r="D40" s="146">
        <v>55</v>
      </c>
      <c r="E40" s="147">
        <v>1153</v>
      </c>
      <c r="F40" s="121">
        <v>2667</v>
      </c>
      <c r="G40" s="121">
        <v>23119</v>
      </c>
      <c r="H40" s="121">
        <v>0</v>
      </c>
      <c r="I40" s="121">
        <v>0</v>
      </c>
      <c r="J40" s="121">
        <v>0</v>
      </c>
      <c r="K40" s="121">
        <v>768</v>
      </c>
      <c r="L40" s="121">
        <v>329</v>
      </c>
      <c r="M40" s="121">
        <v>3578</v>
      </c>
      <c r="N40" s="121">
        <v>17052</v>
      </c>
      <c r="O40" s="121">
        <v>0</v>
      </c>
      <c r="P40" s="121">
        <v>0</v>
      </c>
      <c r="Q40" s="121">
        <v>375</v>
      </c>
      <c r="R40" s="121">
        <v>7934</v>
      </c>
      <c r="S40" s="121">
        <v>0</v>
      </c>
      <c r="T40" s="121">
        <v>808</v>
      </c>
      <c r="U40" s="121">
        <v>22186</v>
      </c>
    </row>
    <row r="41" spans="1:21" ht="42.75" customHeight="1" x14ac:dyDescent="0.25">
      <c r="A41" s="122">
        <v>29</v>
      </c>
      <c r="B41" s="103" t="s">
        <v>67</v>
      </c>
      <c r="C41" s="117">
        <f t="shared" si="0"/>
        <v>15230</v>
      </c>
      <c r="D41" s="146">
        <v>345</v>
      </c>
      <c r="E41" s="146">
        <v>0</v>
      </c>
      <c r="F41" s="117">
        <v>449</v>
      </c>
      <c r="G41" s="117">
        <v>4314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988</v>
      </c>
      <c r="N41" s="117">
        <v>2467</v>
      </c>
      <c r="O41" s="117">
        <v>607</v>
      </c>
      <c r="P41" s="117">
        <v>0</v>
      </c>
      <c r="Q41" s="117">
        <v>0</v>
      </c>
      <c r="R41" s="117">
        <v>2050</v>
      </c>
      <c r="S41" s="117">
        <v>0</v>
      </c>
      <c r="T41" s="117">
        <v>646</v>
      </c>
      <c r="U41" s="117">
        <v>3364</v>
      </c>
    </row>
    <row r="42" spans="1:21" ht="68.25" customHeight="1" x14ac:dyDescent="0.25">
      <c r="A42" s="123"/>
      <c r="B42" s="105" t="s">
        <v>250</v>
      </c>
      <c r="C42" s="117">
        <f t="shared" si="0"/>
        <v>24416</v>
      </c>
      <c r="D42" s="146">
        <v>517</v>
      </c>
      <c r="E42" s="146">
        <v>0</v>
      </c>
      <c r="F42" s="117">
        <v>787</v>
      </c>
      <c r="G42" s="117">
        <v>7424</v>
      </c>
      <c r="H42" s="117">
        <v>0</v>
      </c>
      <c r="I42" s="117">
        <v>0</v>
      </c>
      <c r="J42" s="117">
        <v>0</v>
      </c>
      <c r="K42" s="117">
        <v>257</v>
      </c>
      <c r="L42" s="117">
        <v>110</v>
      </c>
      <c r="M42" s="117">
        <v>1532</v>
      </c>
      <c r="N42" s="117">
        <v>4424</v>
      </c>
      <c r="O42" s="117">
        <v>0</v>
      </c>
      <c r="P42" s="117">
        <v>0</v>
      </c>
      <c r="Q42" s="117">
        <v>125</v>
      </c>
      <c r="R42" s="117">
        <v>2050</v>
      </c>
      <c r="S42" s="117">
        <v>0</v>
      </c>
      <c r="T42" s="117">
        <v>317</v>
      </c>
      <c r="U42" s="117">
        <v>6873</v>
      </c>
    </row>
    <row r="43" spans="1:21" ht="25.5" x14ac:dyDescent="0.25">
      <c r="A43" s="130">
        <v>30</v>
      </c>
      <c r="B43" s="103" t="s">
        <v>78</v>
      </c>
      <c r="C43" s="117">
        <f t="shared" si="0"/>
        <v>479</v>
      </c>
      <c r="D43" s="146">
        <v>0</v>
      </c>
      <c r="E43" s="146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479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</row>
    <row r="44" spans="1:21" ht="25.5" x14ac:dyDescent="0.25">
      <c r="A44" s="130">
        <v>31</v>
      </c>
      <c r="B44" s="103" t="s">
        <v>68</v>
      </c>
      <c r="C44" s="117">
        <f t="shared" si="0"/>
        <v>244235</v>
      </c>
      <c r="D44" s="146">
        <v>0</v>
      </c>
      <c r="E44" s="146">
        <v>0</v>
      </c>
      <c r="F44" s="117">
        <v>381</v>
      </c>
      <c r="G44" s="117">
        <v>27719</v>
      </c>
      <c r="H44" s="117">
        <v>0</v>
      </c>
      <c r="I44" s="117">
        <v>5364</v>
      </c>
      <c r="J44" s="117">
        <v>0</v>
      </c>
      <c r="K44" s="117">
        <v>0</v>
      </c>
      <c r="L44" s="117">
        <v>0</v>
      </c>
      <c r="M44" s="117">
        <v>862</v>
      </c>
      <c r="N44" s="117">
        <v>78000</v>
      </c>
      <c r="O44" s="117">
        <v>445</v>
      </c>
      <c r="P44" s="117">
        <v>0</v>
      </c>
      <c r="Q44" s="117">
        <v>0</v>
      </c>
      <c r="R44" s="117">
        <v>4500</v>
      </c>
      <c r="S44" s="117">
        <v>0</v>
      </c>
      <c r="T44" s="117">
        <v>741</v>
      </c>
      <c r="U44" s="117">
        <v>126223</v>
      </c>
    </row>
    <row r="45" spans="1:21" ht="25.5" x14ac:dyDescent="0.25">
      <c r="A45" s="130">
        <v>32</v>
      </c>
      <c r="B45" s="103" t="s">
        <v>185</v>
      </c>
      <c r="C45" s="117">
        <f t="shared" si="0"/>
        <v>12000</v>
      </c>
      <c r="D45" s="146">
        <v>0</v>
      </c>
      <c r="E45" s="146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9591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2400</v>
      </c>
      <c r="Q45" s="117">
        <v>0</v>
      </c>
      <c r="R45" s="117">
        <v>0</v>
      </c>
      <c r="S45" s="117">
        <v>9</v>
      </c>
      <c r="T45" s="117">
        <v>0</v>
      </c>
      <c r="U45" s="117">
        <v>0</v>
      </c>
    </row>
    <row r="46" spans="1:21" x14ac:dyDescent="0.25">
      <c r="A46" s="130">
        <v>33</v>
      </c>
      <c r="B46" s="103" t="s">
        <v>94</v>
      </c>
      <c r="C46" s="117">
        <f t="shared" si="0"/>
        <v>10266</v>
      </c>
      <c r="D46" s="146">
        <v>0</v>
      </c>
      <c r="E46" s="146">
        <v>0</v>
      </c>
      <c r="F46" s="117">
        <v>0</v>
      </c>
      <c r="G46" s="117">
        <v>0</v>
      </c>
      <c r="H46" s="117">
        <v>790</v>
      </c>
      <c r="I46" s="117">
        <v>0</v>
      </c>
      <c r="J46" s="117">
        <v>7516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1960</v>
      </c>
      <c r="T46" s="117">
        <v>0</v>
      </c>
      <c r="U46" s="117">
        <v>0</v>
      </c>
    </row>
    <row r="47" spans="1:21" x14ac:dyDescent="0.25">
      <c r="A47" s="421">
        <v>34</v>
      </c>
      <c r="B47" s="103" t="s">
        <v>53</v>
      </c>
      <c r="C47" s="117">
        <f t="shared" si="0"/>
        <v>146636</v>
      </c>
      <c r="D47" s="147">
        <v>1212</v>
      </c>
      <c r="E47" s="147">
        <v>3281</v>
      </c>
      <c r="F47" s="117">
        <v>40</v>
      </c>
      <c r="G47" s="117">
        <v>29083</v>
      </c>
      <c r="H47" s="117">
        <v>0</v>
      </c>
      <c r="I47" s="117">
        <v>11808</v>
      </c>
      <c r="J47" s="117">
        <v>0</v>
      </c>
      <c r="K47" s="117">
        <v>1025</v>
      </c>
      <c r="L47" s="117">
        <v>439</v>
      </c>
      <c r="M47" s="117">
        <f>9816+1200</f>
        <v>11016</v>
      </c>
      <c r="N47" s="117">
        <f>52442+12000</f>
        <v>64442</v>
      </c>
      <c r="O47" s="117">
        <v>0</v>
      </c>
      <c r="P47" s="117">
        <v>0</v>
      </c>
      <c r="Q47" s="117">
        <v>9500</v>
      </c>
      <c r="R47" s="117">
        <v>8050</v>
      </c>
      <c r="S47" s="117">
        <v>0</v>
      </c>
      <c r="T47" s="117">
        <v>135</v>
      </c>
      <c r="U47" s="117">
        <f>605+6000</f>
        <v>6605</v>
      </c>
    </row>
    <row r="48" spans="1:21" ht="51" x14ac:dyDescent="0.25">
      <c r="A48" s="424"/>
      <c r="B48" s="105" t="s">
        <v>186</v>
      </c>
      <c r="C48" s="117">
        <f t="shared" si="0"/>
        <v>111391</v>
      </c>
      <c r="D48" s="146">
        <v>0</v>
      </c>
      <c r="E48" s="146">
        <v>0</v>
      </c>
      <c r="F48" s="117">
        <v>0</v>
      </c>
      <c r="G48" s="117">
        <v>15130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f>666+2000</f>
        <v>2666</v>
      </c>
      <c r="N48" s="117">
        <f>49410-12000</f>
        <v>37410</v>
      </c>
      <c r="O48" s="117">
        <v>0</v>
      </c>
      <c r="P48" s="117">
        <v>0</v>
      </c>
      <c r="Q48" s="117">
        <v>0</v>
      </c>
      <c r="R48" s="117">
        <v>10500</v>
      </c>
      <c r="S48" s="117">
        <v>0</v>
      </c>
      <c r="T48" s="117">
        <f>6100-2000</f>
        <v>4100</v>
      </c>
      <c r="U48" s="117">
        <f>47585-6000</f>
        <v>41585</v>
      </c>
    </row>
    <row r="49" spans="1:21" ht="38.25" x14ac:dyDescent="0.25">
      <c r="A49" s="422"/>
      <c r="B49" s="105" t="s">
        <v>251</v>
      </c>
      <c r="C49" s="117">
        <f t="shared" si="0"/>
        <v>20800</v>
      </c>
      <c r="D49" s="146">
        <v>0</v>
      </c>
      <c r="E49" s="146">
        <v>0</v>
      </c>
      <c r="F49" s="117">
        <v>0</v>
      </c>
      <c r="G49" s="117">
        <v>0</v>
      </c>
      <c r="H49" s="117">
        <v>6000</v>
      </c>
      <c r="I49" s="117">
        <v>0</v>
      </c>
      <c r="J49" s="117">
        <f>7890-1200</f>
        <v>6690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500</v>
      </c>
      <c r="Q49" s="117">
        <v>0</v>
      </c>
      <c r="R49" s="117">
        <v>0</v>
      </c>
      <c r="S49" s="117">
        <v>7610</v>
      </c>
      <c r="T49" s="117">
        <v>0</v>
      </c>
      <c r="U49" s="117">
        <v>0</v>
      </c>
    </row>
    <row r="50" spans="1:21" ht="25.5" x14ac:dyDescent="0.25">
      <c r="A50" s="130">
        <v>35</v>
      </c>
      <c r="B50" s="103" t="s">
        <v>188</v>
      </c>
      <c r="C50" s="117">
        <f t="shared" si="0"/>
        <v>4198</v>
      </c>
      <c r="D50" s="146">
        <v>0</v>
      </c>
      <c r="E50" s="146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2698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1500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</row>
    <row r="51" spans="1:21" x14ac:dyDescent="0.25">
      <c r="A51" s="130">
        <v>36</v>
      </c>
      <c r="B51" s="103" t="s">
        <v>93</v>
      </c>
      <c r="C51" s="117">
        <f t="shared" si="0"/>
        <v>11900</v>
      </c>
      <c r="D51" s="146">
        <v>0</v>
      </c>
      <c r="E51" s="146">
        <v>0</v>
      </c>
      <c r="F51" s="117">
        <v>0</v>
      </c>
      <c r="G51" s="117">
        <v>0</v>
      </c>
      <c r="H51" s="117">
        <v>440</v>
      </c>
      <c r="I51" s="117">
        <v>0</v>
      </c>
      <c r="J51" s="117">
        <v>2000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9460</v>
      </c>
      <c r="T51" s="117">
        <v>0</v>
      </c>
      <c r="U51" s="117">
        <v>0</v>
      </c>
    </row>
    <row r="52" spans="1:21" x14ac:dyDescent="0.25">
      <c r="A52" s="421">
        <v>37</v>
      </c>
      <c r="B52" s="103" t="s">
        <v>36</v>
      </c>
      <c r="C52" s="117">
        <f t="shared" si="0"/>
        <v>141050</v>
      </c>
      <c r="D52" s="146">
        <v>678</v>
      </c>
      <c r="E52" s="147">
        <v>1653</v>
      </c>
      <c r="F52" s="117">
        <v>5401</v>
      </c>
      <c r="G52" s="117">
        <v>39081</v>
      </c>
      <c r="H52" s="117">
        <v>0</v>
      </c>
      <c r="I52" s="117">
        <v>6893</v>
      </c>
      <c r="J52" s="117">
        <v>0</v>
      </c>
      <c r="K52" s="117">
        <v>1025</v>
      </c>
      <c r="L52" s="117">
        <v>439</v>
      </c>
      <c r="M52" s="117">
        <v>7928</v>
      </c>
      <c r="N52" s="117">
        <v>57537</v>
      </c>
      <c r="O52" s="117">
        <v>0</v>
      </c>
      <c r="P52" s="117">
        <v>0</v>
      </c>
      <c r="Q52" s="117">
        <v>4311</v>
      </c>
      <c r="R52" s="117">
        <v>2800</v>
      </c>
      <c r="S52" s="117">
        <v>0</v>
      </c>
      <c r="T52" s="117">
        <v>1518</v>
      </c>
      <c r="U52" s="117">
        <v>11786</v>
      </c>
    </row>
    <row r="53" spans="1:21" ht="51" x14ac:dyDescent="0.25">
      <c r="A53" s="422"/>
      <c r="B53" s="105" t="s">
        <v>189</v>
      </c>
      <c r="C53" s="117">
        <f t="shared" si="0"/>
        <v>52278</v>
      </c>
      <c r="D53" s="146">
        <v>118</v>
      </c>
      <c r="E53" s="146">
        <v>727</v>
      </c>
      <c r="F53" s="117">
        <v>789</v>
      </c>
      <c r="G53" s="117">
        <v>16579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3122</v>
      </c>
      <c r="N53" s="117">
        <v>26008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2750</v>
      </c>
      <c r="U53" s="117">
        <v>2185</v>
      </c>
    </row>
    <row r="54" spans="1:21" x14ac:dyDescent="0.25">
      <c r="A54" s="130">
        <v>38</v>
      </c>
      <c r="B54" s="103" t="s">
        <v>28</v>
      </c>
      <c r="C54" s="117">
        <f t="shared" si="0"/>
        <v>187773</v>
      </c>
      <c r="D54" s="146">
        <v>904</v>
      </c>
      <c r="E54" s="147">
        <v>2176</v>
      </c>
      <c r="F54" s="117">
        <v>5982</v>
      </c>
      <c r="G54" s="117">
        <v>49420</v>
      </c>
      <c r="H54" s="117">
        <v>0</v>
      </c>
      <c r="I54" s="117">
        <v>4221</v>
      </c>
      <c r="J54" s="117">
        <v>0</v>
      </c>
      <c r="K54" s="117">
        <v>0</v>
      </c>
      <c r="L54" s="117">
        <v>0</v>
      </c>
      <c r="M54" s="117">
        <v>7861</v>
      </c>
      <c r="N54" s="117">
        <v>53894</v>
      </c>
      <c r="O54" s="117">
        <v>0</v>
      </c>
      <c r="P54" s="117">
        <v>0</v>
      </c>
      <c r="Q54" s="117">
        <v>17114</v>
      </c>
      <c r="R54" s="117">
        <v>15486</v>
      </c>
      <c r="S54" s="117">
        <v>0</v>
      </c>
      <c r="T54" s="117">
        <v>2017</v>
      </c>
      <c r="U54" s="117">
        <v>28698</v>
      </c>
    </row>
    <row r="55" spans="1:21" x14ac:dyDescent="0.25">
      <c r="A55" s="130">
        <v>39</v>
      </c>
      <c r="B55" s="103" t="s">
        <v>37</v>
      </c>
      <c r="C55" s="117">
        <f t="shared" si="0"/>
        <v>177627</v>
      </c>
      <c r="D55" s="146">
        <v>986</v>
      </c>
      <c r="E55" s="147">
        <v>1961</v>
      </c>
      <c r="F55" s="117">
        <v>3404</v>
      </c>
      <c r="G55" s="117">
        <v>52801</v>
      </c>
      <c r="H55" s="117">
        <v>0</v>
      </c>
      <c r="I55" s="117">
        <v>0</v>
      </c>
      <c r="J55" s="117">
        <v>0</v>
      </c>
      <c r="K55" s="117">
        <v>1025</v>
      </c>
      <c r="L55" s="117">
        <v>439</v>
      </c>
      <c r="M55" s="117">
        <v>10090</v>
      </c>
      <c r="N55" s="117">
        <v>71915</v>
      </c>
      <c r="O55" s="117">
        <v>0</v>
      </c>
      <c r="P55" s="117">
        <v>0</v>
      </c>
      <c r="Q55" s="117">
        <v>7111</v>
      </c>
      <c r="R55" s="117">
        <v>300</v>
      </c>
      <c r="S55" s="117">
        <v>0</v>
      </c>
      <c r="T55" s="117">
        <v>2562</v>
      </c>
      <c r="U55" s="117">
        <v>25033</v>
      </c>
    </row>
    <row r="56" spans="1:21" x14ac:dyDescent="0.25">
      <c r="A56" s="130">
        <v>40</v>
      </c>
      <c r="B56" s="103" t="s">
        <v>24</v>
      </c>
      <c r="C56" s="117">
        <f t="shared" si="0"/>
        <v>54964</v>
      </c>
      <c r="D56" s="146">
        <v>58</v>
      </c>
      <c r="E56" s="146">
        <v>849</v>
      </c>
      <c r="F56" s="117">
        <v>765</v>
      </c>
      <c r="G56" s="117">
        <v>11947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2297</v>
      </c>
      <c r="N56" s="117">
        <v>10139</v>
      </c>
      <c r="O56" s="117">
        <v>0</v>
      </c>
      <c r="P56" s="117">
        <v>0</v>
      </c>
      <c r="Q56" s="117">
        <v>2016</v>
      </c>
      <c r="R56" s="117">
        <v>7208</v>
      </c>
      <c r="S56" s="117">
        <v>0</v>
      </c>
      <c r="T56" s="117">
        <v>5984</v>
      </c>
      <c r="U56" s="117">
        <v>13701</v>
      </c>
    </row>
    <row r="57" spans="1:21" x14ac:dyDescent="0.25">
      <c r="A57" s="130">
        <v>41</v>
      </c>
      <c r="B57" s="103" t="s">
        <v>19</v>
      </c>
      <c r="C57" s="117">
        <f t="shared" si="0"/>
        <v>67984</v>
      </c>
      <c r="D57" s="146">
        <v>473</v>
      </c>
      <c r="E57" s="146">
        <v>666</v>
      </c>
      <c r="F57" s="117">
        <v>2256</v>
      </c>
      <c r="G57" s="117">
        <v>26895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3948</v>
      </c>
      <c r="N57" s="117">
        <v>20492</v>
      </c>
      <c r="O57" s="117">
        <v>0</v>
      </c>
      <c r="P57" s="117">
        <v>0</v>
      </c>
      <c r="Q57" s="117">
        <v>850</v>
      </c>
      <c r="R57" s="117">
        <v>6550</v>
      </c>
      <c r="S57" s="117">
        <v>0</v>
      </c>
      <c r="T57" s="117">
        <v>823</v>
      </c>
      <c r="U57" s="117">
        <v>5031</v>
      </c>
    </row>
    <row r="58" spans="1:21" x14ac:dyDescent="0.25">
      <c r="A58" s="130">
        <v>42</v>
      </c>
      <c r="B58" s="103" t="s">
        <v>34</v>
      </c>
      <c r="C58" s="117">
        <f t="shared" si="0"/>
        <v>63682</v>
      </c>
      <c r="D58" s="146">
        <v>197</v>
      </c>
      <c r="E58" s="146">
        <v>865</v>
      </c>
      <c r="F58" s="117">
        <v>556</v>
      </c>
      <c r="G58" s="117">
        <v>23840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3626</v>
      </c>
      <c r="N58" s="117">
        <v>18366</v>
      </c>
      <c r="O58" s="117">
        <v>0</v>
      </c>
      <c r="P58" s="117">
        <v>0</v>
      </c>
      <c r="Q58" s="117">
        <v>3150</v>
      </c>
      <c r="R58" s="117">
        <v>4717</v>
      </c>
      <c r="S58" s="117">
        <v>0</v>
      </c>
      <c r="T58" s="117">
        <v>1163</v>
      </c>
      <c r="U58" s="117">
        <v>7202</v>
      </c>
    </row>
    <row r="59" spans="1:21" x14ac:dyDescent="0.25">
      <c r="A59" s="130">
        <v>43</v>
      </c>
      <c r="B59" s="103" t="s">
        <v>43</v>
      </c>
      <c r="C59" s="117">
        <f t="shared" si="0"/>
        <v>41258</v>
      </c>
      <c r="D59" s="146">
        <v>238</v>
      </c>
      <c r="E59" s="146">
        <v>479</v>
      </c>
      <c r="F59" s="117">
        <v>626</v>
      </c>
      <c r="G59" s="117">
        <v>14733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452</v>
      </c>
      <c r="N59" s="117">
        <v>11843</v>
      </c>
      <c r="O59" s="117">
        <v>0</v>
      </c>
      <c r="P59" s="117">
        <v>0</v>
      </c>
      <c r="Q59" s="117">
        <v>4085</v>
      </c>
      <c r="R59" s="117">
        <v>0</v>
      </c>
      <c r="S59" s="117">
        <v>0</v>
      </c>
      <c r="T59" s="117">
        <v>220</v>
      </c>
      <c r="U59" s="117">
        <v>8582</v>
      </c>
    </row>
    <row r="60" spans="1:21" x14ac:dyDescent="0.25">
      <c r="A60" s="130">
        <v>44</v>
      </c>
      <c r="B60" s="103" t="s">
        <v>5</v>
      </c>
      <c r="C60" s="117">
        <f t="shared" si="0"/>
        <v>71389</v>
      </c>
      <c r="D60" s="146">
        <v>417</v>
      </c>
      <c r="E60" s="146">
        <v>836</v>
      </c>
      <c r="F60" s="117">
        <v>2162</v>
      </c>
      <c r="G60" s="117">
        <v>27333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2489</v>
      </c>
      <c r="N60" s="117">
        <v>24113</v>
      </c>
      <c r="O60" s="117">
        <v>0</v>
      </c>
      <c r="P60" s="117">
        <v>0</v>
      </c>
      <c r="Q60" s="117">
        <v>469</v>
      </c>
      <c r="R60" s="117">
        <v>6203</v>
      </c>
      <c r="S60" s="117">
        <v>0</v>
      </c>
      <c r="T60" s="117">
        <v>853</v>
      </c>
      <c r="U60" s="117">
        <v>6514</v>
      </c>
    </row>
    <row r="61" spans="1:21" x14ac:dyDescent="0.25">
      <c r="A61" s="130">
        <v>45</v>
      </c>
      <c r="B61" s="103" t="s">
        <v>46</v>
      </c>
      <c r="C61" s="117">
        <f t="shared" si="0"/>
        <v>33834</v>
      </c>
      <c r="D61" s="146">
        <v>180</v>
      </c>
      <c r="E61" s="146">
        <v>418</v>
      </c>
      <c r="F61" s="117">
        <v>699</v>
      </c>
      <c r="G61" s="117">
        <v>11851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1865</v>
      </c>
      <c r="N61" s="117">
        <v>8034</v>
      </c>
      <c r="O61" s="117">
        <v>0</v>
      </c>
      <c r="P61" s="117">
        <v>0</v>
      </c>
      <c r="Q61" s="117">
        <v>949</v>
      </c>
      <c r="R61" s="117">
        <v>4601</v>
      </c>
      <c r="S61" s="117">
        <v>0</v>
      </c>
      <c r="T61" s="117">
        <v>2116</v>
      </c>
      <c r="U61" s="117">
        <v>3121</v>
      </c>
    </row>
    <row r="62" spans="1:21" ht="25.5" x14ac:dyDescent="0.25">
      <c r="A62" s="130">
        <v>46</v>
      </c>
      <c r="B62" s="107" t="s">
        <v>150</v>
      </c>
      <c r="C62" s="117">
        <f t="shared" si="0"/>
        <v>10138</v>
      </c>
      <c r="D62" s="146">
        <v>143</v>
      </c>
      <c r="E62" s="146">
        <v>252</v>
      </c>
      <c r="F62" s="117">
        <v>100</v>
      </c>
      <c r="G62" s="117">
        <v>5000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275</v>
      </c>
      <c r="N62" s="117">
        <v>3320</v>
      </c>
      <c r="O62" s="117">
        <v>0</v>
      </c>
      <c r="P62" s="117">
        <v>0</v>
      </c>
      <c r="Q62" s="117">
        <v>120</v>
      </c>
      <c r="R62" s="117">
        <v>0</v>
      </c>
      <c r="S62" s="117">
        <v>0</v>
      </c>
      <c r="T62" s="117">
        <v>147</v>
      </c>
      <c r="U62" s="117">
        <v>781</v>
      </c>
    </row>
    <row r="63" spans="1:21" x14ac:dyDescent="0.25">
      <c r="A63" s="130">
        <v>47</v>
      </c>
      <c r="B63" s="103" t="s">
        <v>69</v>
      </c>
      <c r="C63" s="117">
        <f t="shared" si="0"/>
        <v>20116</v>
      </c>
      <c r="D63" s="146">
        <v>0</v>
      </c>
      <c r="E63" s="146">
        <v>757</v>
      </c>
      <c r="F63" s="117">
        <v>500</v>
      </c>
      <c r="G63" s="117">
        <v>11280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1957</v>
      </c>
      <c r="N63" s="117">
        <v>3210</v>
      </c>
      <c r="O63" s="117">
        <v>0</v>
      </c>
      <c r="P63" s="117">
        <v>0</v>
      </c>
      <c r="Q63" s="117">
        <v>0</v>
      </c>
      <c r="R63" s="117">
        <v>0</v>
      </c>
      <c r="S63" s="117">
        <v>0</v>
      </c>
      <c r="T63" s="117">
        <v>1910</v>
      </c>
      <c r="U63" s="117">
        <v>502</v>
      </c>
    </row>
    <row r="64" spans="1:21" x14ac:dyDescent="0.25">
      <c r="A64" s="130">
        <v>48</v>
      </c>
      <c r="B64" s="102" t="s">
        <v>45</v>
      </c>
      <c r="C64" s="117">
        <f t="shared" si="0"/>
        <v>287540</v>
      </c>
      <c r="D64" s="146">
        <v>687</v>
      </c>
      <c r="E64" s="147">
        <v>4033</v>
      </c>
      <c r="F64" s="117">
        <v>2647</v>
      </c>
      <c r="G64" s="117">
        <v>70093</v>
      </c>
      <c r="H64" s="117">
        <v>0</v>
      </c>
      <c r="I64" s="117">
        <v>2652</v>
      </c>
      <c r="J64" s="117">
        <v>0</v>
      </c>
      <c r="K64" s="117">
        <v>1025</v>
      </c>
      <c r="L64" s="117">
        <v>439</v>
      </c>
      <c r="M64" s="117">
        <v>24826</v>
      </c>
      <c r="N64" s="117">
        <v>88648</v>
      </c>
      <c r="O64" s="117">
        <v>239</v>
      </c>
      <c r="P64" s="117">
        <v>0</v>
      </c>
      <c r="Q64" s="117">
        <v>0</v>
      </c>
      <c r="R64" s="117">
        <v>14000</v>
      </c>
      <c r="S64" s="117">
        <v>0</v>
      </c>
      <c r="T64" s="117">
        <v>15618</v>
      </c>
      <c r="U64" s="117">
        <v>62633</v>
      </c>
    </row>
    <row r="65" spans="1:21" x14ac:dyDescent="0.25">
      <c r="A65" s="130">
        <v>49</v>
      </c>
      <c r="B65" s="103" t="s">
        <v>9</v>
      </c>
      <c r="C65" s="117">
        <f t="shared" si="0"/>
        <v>200670</v>
      </c>
      <c r="D65" s="147">
        <v>1136</v>
      </c>
      <c r="E65" s="147">
        <v>2279</v>
      </c>
      <c r="F65" s="117">
        <v>5205</v>
      </c>
      <c r="G65" s="117">
        <v>50083</v>
      </c>
      <c r="H65" s="117">
        <v>0</v>
      </c>
      <c r="I65" s="117">
        <v>0</v>
      </c>
      <c r="J65" s="117">
        <v>0</v>
      </c>
      <c r="K65" s="117">
        <v>1025</v>
      </c>
      <c r="L65" s="117">
        <v>439</v>
      </c>
      <c r="M65" s="117">
        <v>3383</v>
      </c>
      <c r="N65" s="117">
        <v>55323</v>
      </c>
      <c r="O65" s="117">
        <v>0</v>
      </c>
      <c r="P65" s="117">
        <v>0</v>
      </c>
      <c r="Q65" s="117">
        <v>7950</v>
      </c>
      <c r="R65" s="117">
        <v>35449</v>
      </c>
      <c r="S65" s="117">
        <v>0</v>
      </c>
      <c r="T65" s="117">
        <v>1558</v>
      </c>
      <c r="U65" s="117">
        <v>36840</v>
      </c>
    </row>
    <row r="66" spans="1:21" x14ac:dyDescent="0.25">
      <c r="A66" s="130">
        <v>50</v>
      </c>
      <c r="B66" s="102" t="s">
        <v>70</v>
      </c>
      <c r="C66" s="117">
        <f t="shared" si="0"/>
        <v>250971</v>
      </c>
      <c r="D66" s="147">
        <v>1137</v>
      </c>
      <c r="E66" s="147">
        <v>2756</v>
      </c>
      <c r="F66" s="117">
        <v>8047</v>
      </c>
      <c r="G66" s="117">
        <v>97942</v>
      </c>
      <c r="H66" s="117">
        <v>0</v>
      </c>
      <c r="I66" s="117">
        <v>19289</v>
      </c>
      <c r="J66" s="117">
        <v>0</v>
      </c>
      <c r="K66" s="117">
        <v>1025</v>
      </c>
      <c r="L66" s="117">
        <v>439</v>
      </c>
      <c r="M66" s="117">
        <v>6478</v>
      </c>
      <c r="N66" s="117">
        <v>60725</v>
      </c>
      <c r="O66" s="117">
        <v>0</v>
      </c>
      <c r="P66" s="117">
        <v>0</v>
      </c>
      <c r="Q66" s="117">
        <v>8676</v>
      </c>
      <c r="R66" s="117">
        <v>220</v>
      </c>
      <c r="S66" s="117">
        <v>0</v>
      </c>
      <c r="T66" s="117">
        <v>13131</v>
      </c>
      <c r="U66" s="117">
        <v>31106</v>
      </c>
    </row>
    <row r="67" spans="1:21" ht="25.5" x14ac:dyDescent="0.25">
      <c r="A67" s="130">
        <v>51</v>
      </c>
      <c r="B67" s="102" t="s">
        <v>191</v>
      </c>
      <c r="C67" s="117">
        <f t="shared" si="0"/>
        <v>2203</v>
      </c>
      <c r="D67" s="146">
        <v>0</v>
      </c>
      <c r="E67" s="146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289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1914</v>
      </c>
      <c r="Q67" s="117">
        <v>0</v>
      </c>
      <c r="R67" s="117">
        <v>0</v>
      </c>
      <c r="S67" s="117">
        <v>0</v>
      </c>
      <c r="T67" s="117">
        <v>0</v>
      </c>
      <c r="U67" s="117">
        <v>0</v>
      </c>
    </row>
    <row r="68" spans="1:21" x14ac:dyDescent="0.25">
      <c r="A68" s="130">
        <v>52</v>
      </c>
      <c r="B68" s="103" t="s">
        <v>20</v>
      </c>
      <c r="C68" s="117">
        <f t="shared" si="0"/>
        <v>81558</v>
      </c>
      <c r="D68" s="146">
        <v>408</v>
      </c>
      <c r="E68" s="146">
        <v>966</v>
      </c>
      <c r="F68" s="117">
        <v>2717</v>
      </c>
      <c r="G68" s="117">
        <v>14725</v>
      </c>
      <c r="H68" s="117">
        <v>0</v>
      </c>
      <c r="I68" s="117">
        <v>0</v>
      </c>
      <c r="J68" s="117">
        <v>0</v>
      </c>
      <c r="K68" s="117">
        <v>1025</v>
      </c>
      <c r="L68" s="117">
        <v>439</v>
      </c>
      <c r="M68" s="117">
        <v>6643</v>
      </c>
      <c r="N68" s="117">
        <v>30648</v>
      </c>
      <c r="O68" s="117">
        <v>0</v>
      </c>
      <c r="P68" s="117">
        <v>0</v>
      </c>
      <c r="Q68" s="117">
        <v>800</v>
      </c>
      <c r="R68" s="117">
        <v>6102</v>
      </c>
      <c r="S68" s="117">
        <v>0</v>
      </c>
      <c r="T68" s="117">
        <v>1471</v>
      </c>
      <c r="U68" s="117">
        <v>15614</v>
      </c>
    </row>
    <row r="69" spans="1:21" x14ac:dyDescent="0.25">
      <c r="A69" s="130">
        <v>53</v>
      </c>
      <c r="B69" s="102" t="s">
        <v>7</v>
      </c>
      <c r="C69" s="117">
        <f t="shared" si="0"/>
        <v>58775</v>
      </c>
      <c r="D69" s="146">
        <v>391</v>
      </c>
      <c r="E69" s="146">
        <v>616</v>
      </c>
      <c r="F69" s="117">
        <v>2015</v>
      </c>
      <c r="G69" s="117">
        <v>19781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2724</v>
      </c>
      <c r="N69" s="117">
        <v>20545</v>
      </c>
      <c r="O69" s="117">
        <v>0</v>
      </c>
      <c r="P69" s="117">
        <v>0</v>
      </c>
      <c r="Q69" s="117">
        <v>0</v>
      </c>
      <c r="R69" s="117">
        <v>4506</v>
      </c>
      <c r="S69" s="117">
        <v>0</v>
      </c>
      <c r="T69" s="117">
        <v>2806</v>
      </c>
      <c r="U69" s="117">
        <v>5391</v>
      </c>
    </row>
    <row r="70" spans="1:21" x14ac:dyDescent="0.25">
      <c r="A70" s="130">
        <v>54</v>
      </c>
      <c r="B70" s="103" t="s">
        <v>12</v>
      </c>
      <c r="C70" s="117">
        <f t="shared" si="0"/>
        <v>45149</v>
      </c>
      <c r="D70" s="146">
        <v>255</v>
      </c>
      <c r="E70" s="146">
        <v>523</v>
      </c>
      <c r="F70" s="117">
        <v>2924</v>
      </c>
      <c r="G70" s="117">
        <v>18722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2327</v>
      </c>
      <c r="N70" s="117">
        <v>11410</v>
      </c>
      <c r="O70" s="117">
        <v>0</v>
      </c>
      <c r="P70" s="117">
        <v>0</v>
      </c>
      <c r="Q70" s="117">
        <v>0</v>
      </c>
      <c r="R70" s="117">
        <v>4241</v>
      </c>
      <c r="S70" s="117">
        <v>0</v>
      </c>
      <c r="T70" s="117">
        <v>902</v>
      </c>
      <c r="U70" s="117">
        <v>3845</v>
      </c>
    </row>
    <row r="71" spans="1:21" x14ac:dyDescent="0.25">
      <c r="A71" s="130">
        <v>55</v>
      </c>
      <c r="B71" s="102" t="s">
        <v>27</v>
      </c>
      <c r="C71" s="117">
        <f t="shared" si="0"/>
        <v>68427</v>
      </c>
      <c r="D71" s="146">
        <v>395</v>
      </c>
      <c r="E71" s="146">
        <v>788</v>
      </c>
      <c r="F71" s="117">
        <v>850</v>
      </c>
      <c r="G71" s="117">
        <v>30796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5889</v>
      </c>
      <c r="N71" s="117">
        <v>9130</v>
      </c>
      <c r="O71" s="117">
        <v>0</v>
      </c>
      <c r="P71" s="117">
        <v>0</v>
      </c>
      <c r="Q71" s="117">
        <v>2388</v>
      </c>
      <c r="R71" s="117">
        <v>5998</v>
      </c>
      <c r="S71" s="117">
        <v>0</v>
      </c>
      <c r="T71" s="117">
        <v>3117</v>
      </c>
      <c r="U71" s="117">
        <v>9076</v>
      </c>
    </row>
    <row r="72" spans="1:21" x14ac:dyDescent="0.25">
      <c r="A72" s="130">
        <v>56</v>
      </c>
      <c r="B72" s="102" t="s">
        <v>194</v>
      </c>
      <c r="C72" s="117">
        <f t="shared" si="0"/>
        <v>44</v>
      </c>
      <c r="D72" s="146">
        <v>0</v>
      </c>
      <c r="E72" s="146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44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  <c r="Q72" s="117">
        <v>0</v>
      </c>
      <c r="R72" s="117">
        <v>0</v>
      </c>
      <c r="S72" s="117">
        <v>0</v>
      </c>
      <c r="T72" s="117">
        <v>0</v>
      </c>
      <c r="U72" s="117">
        <v>0</v>
      </c>
    </row>
    <row r="73" spans="1:21" x14ac:dyDescent="0.25">
      <c r="A73" s="130">
        <v>57</v>
      </c>
      <c r="B73" s="103" t="s">
        <v>23</v>
      </c>
      <c r="C73" s="117">
        <f t="shared" si="0"/>
        <v>28865</v>
      </c>
      <c r="D73" s="146">
        <v>145</v>
      </c>
      <c r="E73" s="146">
        <v>369</v>
      </c>
      <c r="F73" s="117">
        <v>861</v>
      </c>
      <c r="G73" s="117">
        <v>12212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2251</v>
      </c>
      <c r="N73" s="117">
        <v>5513</v>
      </c>
      <c r="O73" s="117">
        <v>0</v>
      </c>
      <c r="P73" s="117">
        <v>0</v>
      </c>
      <c r="Q73" s="117">
        <v>200</v>
      </c>
      <c r="R73" s="117">
        <v>2808</v>
      </c>
      <c r="S73" s="117">
        <v>0</v>
      </c>
      <c r="T73" s="117">
        <v>306</v>
      </c>
      <c r="U73" s="117">
        <v>4200</v>
      </c>
    </row>
    <row r="74" spans="1:21" x14ac:dyDescent="0.25">
      <c r="A74" s="130">
        <v>58</v>
      </c>
      <c r="B74" s="103" t="s">
        <v>40</v>
      </c>
      <c r="C74" s="117">
        <f t="shared" si="0"/>
        <v>57518</v>
      </c>
      <c r="D74" s="146">
        <v>400</v>
      </c>
      <c r="E74" s="146">
        <v>575</v>
      </c>
      <c r="F74" s="117">
        <v>780</v>
      </c>
      <c r="G74" s="117">
        <v>17489</v>
      </c>
      <c r="H74" s="117">
        <v>0</v>
      </c>
      <c r="I74" s="117">
        <v>0</v>
      </c>
      <c r="J74" s="117">
        <v>0</v>
      </c>
      <c r="K74" s="117">
        <v>1025</v>
      </c>
      <c r="L74" s="117">
        <v>439</v>
      </c>
      <c r="M74" s="117">
        <v>1131</v>
      </c>
      <c r="N74" s="117">
        <v>12279</v>
      </c>
      <c r="O74" s="117">
        <v>0</v>
      </c>
      <c r="P74" s="117">
        <v>0</v>
      </c>
      <c r="Q74" s="117">
        <v>6354</v>
      </c>
      <c r="R74" s="117">
        <v>5239</v>
      </c>
      <c r="S74" s="117">
        <v>0</v>
      </c>
      <c r="T74" s="117">
        <v>442</v>
      </c>
      <c r="U74" s="117">
        <v>11365</v>
      </c>
    </row>
    <row r="75" spans="1:21" x14ac:dyDescent="0.25">
      <c r="A75" s="130">
        <v>59</v>
      </c>
      <c r="B75" s="103" t="s">
        <v>2</v>
      </c>
      <c r="C75" s="117">
        <f t="shared" ref="C75:C138" si="1">D75+E75+F75+G75+H75+I75+J75+K75+L75+M75+N75+O75+P75+Q75+R75+S75+T75+U75</f>
        <v>84038</v>
      </c>
      <c r="D75" s="146">
        <v>445</v>
      </c>
      <c r="E75" s="146">
        <v>992</v>
      </c>
      <c r="F75" s="117">
        <v>5128</v>
      </c>
      <c r="G75" s="117">
        <v>31445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4406</v>
      </c>
      <c r="N75" s="117">
        <v>24854</v>
      </c>
      <c r="O75" s="117">
        <v>0</v>
      </c>
      <c r="P75" s="117">
        <v>0</v>
      </c>
      <c r="Q75" s="117">
        <v>600</v>
      </c>
      <c r="R75" s="117">
        <v>6559</v>
      </c>
      <c r="S75" s="117">
        <v>0</v>
      </c>
      <c r="T75" s="117">
        <v>242</v>
      </c>
      <c r="U75" s="117">
        <v>9367</v>
      </c>
    </row>
    <row r="76" spans="1:21" x14ac:dyDescent="0.25">
      <c r="A76" s="130">
        <v>60</v>
      </c>
      <c r="B76" s="102" t="s">
        <v>50</v>
      </c>
      <c r="C76" s="117">
        <f t="shared" si="1"/>
        <v>45743</v>
      </c>
      <c r="D76" s="146">
        <v>312</v>
      </c>
      <c r="E76" s="146">
        <v>476</v>
      </c>
      <c r="F76" s="117">
        <v>605</v>
      </c>
      <c r="G76" s="117">
        <v>10718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2853</v>
      </c>
      <c r="N76" s="117">
        <v>12883</v>
      </c>
      <c r="O76" s="117">
        <v>0</v>
      </c>
      <c r="P76" s="117">
        <v>0</v>
      </c>
      <c r="Q76" s="117">
        <v>3278</v>
      </c>
      <c r="R76" s="117">
        <v>3444</v>
      </c>
      <c r="S76" s="117">
        <v>0</v>
      </c>
      <c r="T76" s="117">
        <v>1821</v>
      </c>
      <c r="U76" s="117">
        <v>9353</v>
      </c>
    </row>
    <row r="77" spans="1:21" ht="25.5" x14ac:dyDescent="0.25">
      <c r="A77" s="130">
        <v>61</v>
      </c>
      <c r="B77" s="103" t="s">
        <v>192</v>
      </c>
      <c r="C77" s="117">
        <f t="shared" si="1"/>
        <v>55</v>
      </c>
      <c r="D77" s="146">
        <v>0</v>
      </c>
      <c r="E77" s="146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55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S77" s="117">
        <v>0</v>
      </c>
      <c r="T77" s="117">
        <v>0</v>
      </c>
      <c r="U77" s="117">
        <v>0</v>
      </c>
    </row>
    <row r="78" spans="1:21" x14ac:dyDescent="0.25">
      <c r="A78" s="130">
        <v>62</v>
      </c>
      <c r="B78" s="103" t="s">
        <v>193</v>
      </c>
      <c r="C78" s="117">
        <f t="shared" si="1"/>
        <v>25</v>
      </c>
      <c r="D78" s="146">
        <v>0</v>
      </c>
      <c r="E78" s="146">
        <v>0</v>
      </c>
      <c r="F78" s="117">
        <v>0</v>
      </c>
      <c r="G78" s="117">
        <v>0</v>
      </c>
      <c r="H78" s="117">
        <v>0</v>
      </c>
      <c r="I78" s="117">
        <v>0</v>
      </c>
      <c r="J78" s="117">
        <v>25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7">
        <v>0</v>
      </c>
      <c r="T78" s="117">
        <v>0</v>
      </c>
      <c r="U78" s="117">
        <v>0</v>
      </c>
    </row>
    <row r="79" spans="1:21" ht="25.5" x14ac:dyDescent="0.25">
      <c r="A79" s="130">
        <v>63</v>
      </c>
      <c r="B79" s="103" t="s">
        <v>196</v>
      </c>
      <c r="C79" s="117">
        <f t="shared" si="1"/>
        <v>22</v>
      </c>
      <c r="D79" s="146">
        <v>0</v>
      </c>
      <c r="E79" s="146">
        <v>0</v>
      </c>
      <c r="F79" s="117">
        <v>0</v>
      </c>
      <c r="G79" s="117">
        <v>0</v>
      </c>
      <c r="H79" s="117">
        <v>0</v>
      </c>
      <c r="I79" s="117">
        <v>0</v>
      </c>
      <c r="J79" s="117">
        <v>22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  <c r="S79" s="117">
        <v>0</v>
      </c>
      <c r="T79" s="117">
        <v>0</v>
      </c>
      <c r="U79" s="117">
        <v>0</v>
      </c>
    </row>
    <row r="80" spans="1:21" ht="25.5" x14ac:dyDescent="0.25">
      <c r="A80" s="130">
        <v>64</v>
      </c>
      <c r="B80" s="1" t="s">
        <v>198</v>
      </c>
      <c r="C80" s="117">
        <f t="shared" si="1"/>
        <v>195871</v>
      </c>
      <c r="D80" s="146">
        <v>0</v>
      </c>
      <c r="E80" s="146">
        <v>0</v>
      </c>
      <c r="F80" s="117">
        <v>2174</v>
      </c>
      <c r="G80" s="117">
        <v>23636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3917</v>
      </c>
      <c r="N80" s="117">
        <v>48286</v>
      </c>
      <c r="O80" s="117">
        <v>111</v>
      </c>
      <c r="P80" s="117">
        <v>0</v>
      </c>
      <c r="Q80" s="117">
        <v>0</v>
      </c>
      <c r="R80" s="117">
        <v>0</v>
      </c>
      <c r="S80" s="117">
        <v>0</v>
      </c>
      <c r="T80" s="117">
        <v>1103</v>
      </c>
      <c r="U80" s="117">
        <v>116644</v>
      </c>
    </row>
    <row r="81" spans="1:21" ht="25.5" x14ac:dyDescent="0.25">
      <c r="A81" s="130">
        <v>65</v>
      </c>
      <c r="B81" s="1" t="s">
        <v>199</v>
      </c>
      <c r="C81" s="117">
        <f t="shared" si="1"/>
        <v>169216</v>
      </c>
      <c r="D81" s="146">
        <v>0</v>
      </c>
      <c r="E81" s="146">
        <v>0</v>
      </c>
      <c r="F81" s="117">
        <v>1520</v>
      </c>
      <c r="G81" s="117">
        <v>20920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2055</v>
      </c>
      <c r="N81" s="117">
        <v>53385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  <c r="T81" s="117">
        <v>408</v>
      </c>
      <c r="U81" s="117">
        <v>90928</v>
      </c>
    </row>
    <row r="82" spans="1:21" ht="25.5" x14ac:dyDescent="0.25">
      <c r="A82" s="130">
        <v>66</v>
      </c>
      <c r="B82" s="1" t="s">
        <v>200</v>
      </c>
      <c r="C82" s="117">
        <f t="shared" si="1"/>
        <v>233874</v>
      </c>
      <c r="D82" s="146">
        <v>0</v>
      </c>
      <c r="E82" s="146">
        <v>0</v>
      </c>
      <c r="F82" s="117">
        <v>2631</v>
      </c>
      <c r="G82" s="117">
        <v>27369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3052</v>
      </c>
      <c r="N82" s="117">
        <v>64080</v>
      </c>
      <c r="O82" s="117">
        <v>0</v>
      </c>
      <c r="P82" s="117">
        <v>0</v>
      </c>
      <c r="Q82" s="117">
        <v>0</v>
      </c>
      <c r="R82" s="117">
        <v>0</v>
      </c>
      <c r="S82" s="117">
        <v>0</v>
      </c>
      <c r="T82" s="117">
        <v>1764</v>
      </c>
      <c r="U82" s="117">
        <v>134978</v>
      </c>
    </row>
    <row r="83" spans="1:21" ht="25.5" x14ac:dyDescent="0.25">
      <c r="A83" s="130">
        <v>67</v>
      </c>
      <c r="B83" s="1" t="s">
        <v>201</v>
      </c>
      <c r="C83" s="117">
        <f t="shared" si="1"/>
        <v>291759</v>
      </c>
      <c r="D83" s="146">
        <v>0</v>
      </c>
      <c r="E83" s="146">
        <v>0</v>
      </c>
      <c r="F83" s="117">
        <v>2057</v>
      </c>
      <c r="G83" s="117">
        <v>30443</v>
      </c>
      <c r="H83" s="117">
        <v>0</v>
      </c>
      <c r="I83" s="117">
        <v>8310</v>
      </c>
      <c r="J83" s="117">
        <v>0</v>
      </c>
      <c r="K83" s="117">
        <v>0</v>
      </c>
      <c r="L83" s="117">
        <v>0</v>
      </c>
      <c r="M83" s="117">
        <v>2168</v>
      </c>
      <c r="N83" s="117">
        <v>66588</v>
      </c>
      <c r="O83" s="117">
        <v>0</v>
      </c>
      <c r="P83" s="117">
        <v>0</v>
      </c>
      <c r="Q83" s="117">
        <v>0</v>
      </c>
      <c r="R83" s="117">
        <v>0</v>
      </c>
      <c r="S83" s="117">
        <v>0</v>
      </c>
      <c r="T83" s="117">
        <v>6344</v>
      </c>
      <c r="U83" s="117">
        <v>175849</v>
      </c>
    </row>
    <row r="84" spans="1:21" ht="25.5" x14ac:dyDescent="0.25">
      <c r="A84" s="130">
        <v>68</v>
      </c>
      <c r="B84" s="1" t="s">
        <v>202</v>
      </c>
      <c r="C84" s="117">
        <f t="shared" si="1"/>
        <v>105540</v>
      </c>
      <c r="D84" s="146">
        <v>0</v>
      </c>
      <c r="E84" s="146">
        <v>0</v>
      </c>
      <c r="F84" s="117">
        <v>140</v>
      </c>
      <c r="G84" s="117">
        <v>19169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3137</v>
      </c>
      <c r="N84" s="117">
        <v>33960</v>
      </c>
      <c r="O84" s="117">
        <v>0</v>
      </c>
      <c r="P84" s="117">
        <v>0</v>
      </c>
      <c r="Q84" s="117">
        <v>0</v>
      </c>
      <c r="R84" s="117">
        <v>0</v>
      </c>
      <c r="S84" s="117">
        <v>0</v>
      </c>
      <c r="T84" s="117">
        <v>1611</v>
      </c>
      <c r="U84" s="117">
        <v>47523</v>
      </c>
    </row>
    <row r="85" spans="1:21" ht="25.5" x14ac:dyDescent="0.25">
      <c r="A85" s="130">
        <v>69</v>
      </c>
      <c r="B85" s="1" t="s">
        <v>203</v>
      </c>
      <c r="C85" s="117">
        <f t="shared" si="1"/>
        <v>29476</v>
      </c>
      <c r="D85" s="146">
        <v>0</v>
      </c>
      <c r="E85" s="146">
        <v>0</v>
      </c>
      <c r="F85" s="117">
        <v>0</v>
      </c>
      <c r="G85" s="117">
        <v>0</v>
      </c>
      <c r="H85" s="117">
        <v>0</v>
      </c>
      <c r="I85" s="117">
        <v>0</v>
      </c>
      <c r="J85" s="117">
        <v>22468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7000</v>
      </c>
      <c r="Q85" s="117">
        <v>0</v>
      </c>
      <c r="R85" s="117">
        <v>0</v>
      </c>
      <c r="S85" s="117">
        <v>8</v>
      </c>
      <c r="T85" s="117">
        <v>0</v>
      </c>
      <c r="U85" s="117">
        <v>0</v>
      </c>
    </row>
    <row r="86" spans="1:21" ht="25.5" x14ac:dyDescent="0.25">
      <c r="A86" s="130">
        <v>70</v>
      </c>
      <c r="B86" s="1" t="s">
        <v>204</v>
      </c>
      <c r="C86" s="117">
        <f t="shared" si="1"/>
        <v>31433</v>
      </c>
      <c r="D86" s="146">
        <v>0</v>
      </c>
      <c r="E86" s="146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11100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7">
        <v>20269</v>
      </c>
      <c r="Q86" s="117">
        <v>0</v>
      </c>
      <c r="R86" s="117">
        <v>0</v>
      </c>
      <c r="S86" s="117">
        <v>64</v>
      </c>
      <c r="T86" s="117">
        <v>0</v>
      </c>
      <c r="U86" s="117">
        <v>0</v>
      </c>
    </row>
    <row r="87" spans="1:21" x14ac:dyDescent="0.25">
      <c r="A87" s="130">
        <v>71</v>
      </c>
      <c r="B87" s="1" t="s">
        <v>205</v>
      </c>
      <c r="C87" s="117">
        <f t="shared" si="1"/>
        <v>80354</v>
      </c>
      <c r="D87" s="146">
        <v>695</v>
      </c>
      <c r="E87" s="147">
        <v>2611</v>
      </c>
      <c r="F87" s="117">
        <v>2728</v>
      </c>
      <c r="G87" s="117">
        <v>38068</v>
      </c>
      <c r="H87" s="117">
        <v>0</v>
      </c>
      <c r="I87" s="117">
        <v>0</v>
      </c>
      <c r="J87" s="117">
        <v>0</v>
      </c>
      <c r="K87" s="117">
        <v>1025</v>
      </c>
      <c r="L87" s="117">
        <v>439</v>
      </c>
      <c r="M87" s="117">
        <v>1055</v>
      </c>
      <c r="N87" s="117">
        <v>20656</v>
      </c>
      <c r="O87" s="117">
        <v>0</v>
      </c>
      <c r="P87" s="117">
        <v>0</v>
      </c>
      <c r="Q87" s="117">
        <v>0</v>
      </c>
      <c r="R87" s="117">
        <v>454</v>
      </c>
      <c r="S87" s="117">
        <v>0</v>
      </c>
      <c r="T87" s="117">
        <v>378</v>
      </c>
      <c r="U87" s="117">
        <v>12245</v>
      </c>
    </row>
    <row r="88" spans="1:21" x14ac:dyDescent="0.25">
      <c r="A88" s="130">
        <v>72</v>
      </c>
      <c r="B88" s="1" t="s">
        <v>206</v>
      </c>
      <c r="C88" s="117">
        <f t="shared" si="1"/>
        <v>56138</v>
      </c>
      <c r="D88" s="146">
        <v>700</v>
      </c>
      <c r="E88" s="147">
        <v>1437</v>
      </c>
      <c r="F88" s="117">
        <v>1437</v>
      </c>
      <c r="G88" s="117">
        <v>19693</v>
      </c>
      <c r="H88" s="117">
        <v>0</v>
      </c>
      <c r="I88" s="117">
        <v>9428</v>
      </c>
      <c r="J88" s="117">
        <v>0</v>
      </c>
      <c r="K88" s="117">
        <v>0</v>
      </c>
      <c r="L88" s="117">
        <v>0</v>
      </c>
      <c r="M88" s="117">
        <v>1560</v>
      </c>
      <c r="N88" s="117">
        <v>13853</v>
      </c>
      <c r="O88" s="117">
        <v>0</v>
      </c>
      <c r="P88" s="117">
        <v>0</v>
      </c>
      <c r="Q88" s="117">
        <v>0</v>
      </c>
      <c r="R88" s="117">
        <v>0</v>
      </c>
      <c r="S88" s="117">
        <v>0</v>
      </c>
      <c r="T88" s="117">
        <v>705</v>
      </c>
      <c r="U88" s="117">
        <v>7325</v>
      </c>
    </row>
    <row r="89" spans="1:21" x14ac:dyDescent="0.25">
      <c r="A89" s="130">
        <v>73</v>
      </c>
      <c r="B89" s="1" t="s">
        <v>207</v>
      </c>
      <c r="C89" s="117">
        <f t="shared" si="1"/>
        <v>46233</v>
      </c>
      <c r="D89" s="146">
        <v>621</v>
      </c>
      <c r="E89" s="147">
        <v>1437</v>
      </c>
      <c r="F89" s="117">
        <v>2165</v>
      </c>
      <c r="G89" s="117">
        <v>26666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6986</v>
      </c>
      <c r="N89" s="117">
        <v>1214</v>
      </c>
      <c r="O89" s="117">
        <v>0</v>
      </c>
      <c r="P89" s="117">
        <v>0</v>
      </c>
      <c r="Q89" s="117">
        <v>220</v>
      </c>
      <c r="R89" s="117">
        <v>0</v>
      </c>
      <c r="S89" s="117">
        <v>0</v>
      </c>
      <c r="T89" s="117">
        <v>2237</v>
      </c>
      <c r="U89" s="117">
        <v>4687</v>
      </c>
    </row>
    <row r="90" spans="1:21" x14ac:dyDescent="0.25">
      <c r="A90" s="130">
        <v>74</v>
      </c>
      <c r="B90" s="1" t="s">
        <v>208</v>
      </c>
      <c r="C90" s="117">
        <f t="shared" si="1"/>
        <v>47678</v>
      </c>
      <c r="D90" s="146">
        <v>516</v>
      </c>
      <c r="E90" s="147">
        <v>1038</v>
      </c>
      <c r="F90" s="117">
        <v>1438</v>
      </c>
      <c r="G90" s="117">
        <v>17119</v>
      </c>
      <c r="H90" s="117">
        <v>0</v>
      </c>
      <c r="I90" s="117">
        <v>13986</v>
      </c>
      <c r="J90" s="117">
        <v>0</v>
      </c>
      <c r="K90" s="117">
        <v>0</v>
      </c>
      <c r="L90" s="117">
        <v>0</v>
      </c>
      <c r="M90" s="117">
        <v>2756</v>
      </c>
      <c r="N90" s="117">
        <v>5071</v>
      </c>
      <c r="O90" s="117">
        <v>0</v>
      </c>
      <c r="P90" s="117">
        <v>0</v>
      </c>
      <c r="Q90" s="117">
        <v>0</v>
      </c>
      <c r="R90" s="117">
        <v>0</v>
      </c>
      <c r="S90" s="117">
        <v>0</v>
      </c>
      <c r="T90" s="117">
        <v>0</v>
      </c>
      <c r="U90" s="117">
        <v>5754</v>
      </c>
    </row>
    <row r="91" spans="1:21" x14ac:dyDescent="0.25">
      <c r="A91" s="130">
        <v>75</v>
      </c>
      <c r="B91" s="1" t="s">
        <v>209</v>
      </c>
      <c r="C91" s="117">
        <f t="shared" si="1"/>
        <v>115818</v>
      </c>
      <c r="D91" s="147">
        <v>1211</v>
      </c>
      <c r="E91" s="147">
        <v>2836</v>
      </c>
      <c r="F91" s="117">
        <v>12988</v>
      </c>
      <c r="G91" s="117">
        <v>30693</v>
      </c>
      <c r="H91" s="117">
        <v>0</v>
      </c>
      <c r="I91" s="117">
        <v>0</v>
      </c>
      <c r="J91" s="117">
        <v>0</v>
      </c>
      <c r="K91" s="117">
        <v>1025</v>
      </c>
      <c r="L91" s="117">
        <v>439</v>
      </c>
      <c r="M91" s="117">
        <v>14609</v>
      </c>
      <c r="N91" s="117">
        <v>33111</v>
      </c>
      <c r="O91" s="117">
        <v>0</v>
      </c>
      <c r="P91" s="117">
        <v>0</v>
      </c>
      <c r="Q91" s="117">
        <v>0</v>
      </c>
      <c r="R91" s="117">
        <v>0</v>
      </c>
      <c r="S91" s="117">
        <v>0</v>
      </c>
      <c r="T91" s="117">
        <v>5937</v>
      </c>
      <c r="U91" s="117">
        <v>12969</v>
      </c>
    </row>
    <row r="92" spans="1:21" x14ac:dyDescent="0.25">
      <c r="A92" s="130">
        <v>76</v>
      </c>
      <c r="B92" s="1" t="s">
        <v>210</v>
      </c>
      <c r="C92" s="117">
        <f t="shared" si="1"/>
        <v>58856</v>
      </c>
      <c r="D92" s="146">
        <v>686</v>
      </c>
      <c r="E92" s="147">
        <v>1376</v>
      </c>
      <c r="F92" s="117">
        <v>4777</v>
      </c>
      <c r="G92" s="117">
        <v>12243</v>
      </c>
      <c r="H92" s="117">
        <v>0</v>
      </c>
      <c r="I92" s="117">
        <v>0</v>
      </c>
      <c r="J92" s="117">
        <v>0</v>
      </c>
      <c r="K92" s="117">
        <v>1025</v>
      </c>
      <c r="L92" s="117">
        <v>439</v>
      </c>
      <c r="M92" s="117">
        <v>6926</v>
      </c>
      <c r="N92" s="117">
        <v>18414</v>
      </c>
      <c r="O92" s="117">
        <v>0</v>
      </c>
      <c r="P92" s="117">
        <v>0</v>
      </c>
      <c r="Q92" s="117">
        <v>0</v>
      </c>
      <c r="R92" s="117">
        <v>0</v>
      </c>
      <c r="S92" s="117">
        <v>0</v>
      </c>
      <c r="T92" s="117">
        <v>8545</v>
      </c>
      <c r="U92" s="117">
        <v>4425</v>
      </c>
    </row>
    <row r="93" spans="1:21" x14ac:dyDescent="0.25">
      <c r="A93" s="130">
        <v>77</v>
      </c>
      <c r="B93" s="1" t="s">
        <v>123</v>
      </c>
      <c r="C93" s="117">
        <f t="shared" si="1"/>
        <v>61738</v>
      </c>
      <c r="D93" s="146">
        <v>726</v>
      </c>
      <c r="E93" s="147">
        <v>1606</v>
      </c>
      <c r="F93" s="117">
        <v>2187</v>
      </c>
      <c r="G93" s="117">
        <v>28134</v>
      </c>
      <c r="H93" s="117">
        <v>0</v>
      </c>
      <c r="I93" s="117">
        <v>9234</v>
      </c>
      <c r="J93" s="117">
        <v>0</v>
      </c>
      <c r="K93" s="117">
        <v>1025</v>
      </c>
      <c r="L93" s="117">
        <v>439</v>
      </c>
      <c r="M93" s="117">
        <v>3270</v>
      </c>
      <c r="N93" s="117">
        <v>8299</v>
      </c>
      <c r="O93" s="117">
        <v>397</v>
      </c>
      <c r="P93" s="117">
        <v>0</v>
      </c>
      <c r="Q93" s="117">
        <v>0</v>
      </c>
      <c r="R93" s="117">
        <v>0</v>
      </c>
      <c r="S93" s="117">
        <v>0</v>
      </c>
      <c r="T93" s="117">
        <v>2485</v>
      </c>
      <c r="U93" s="117">
        <v>3936</v>
      </c>
    </row>
    <row r="94" spans="1:21" x14ac:dyDescent="0.25">
      <c r="A94" s="130">
        <v>78</v>
      </c>
      <c r="B94" s="1" t="s">
        <v>211</v>
      </c>
      <c r="C94" s="117">
        <f t="shared" si="1"/>
        <v>29738</v>
      </c>
      <c r="D94" s="146">
        <v>460</v>
      </c>
      <c r="E94" s="146">
        <v>928</v>
      </c>
      <c r="F94" s="117">
        <v>1587</v>
      </c>
      <c r="G94" s="117">
        <v>16029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1144</v>
      </c>
      <c r="N94" s="117">
        <v>4854</v>
      </c>
      <c r="O94" s="117">
        <v>0</v>
      </c>
      <c r="P94" s="117">
        <v>0</v>
      </c>
      <c r="Q94" s="117">
        <v>0</v>
      </c>
      <c r="R94" s="117">
        <v>0</v>
      </c>
      <c r="S94" s="117">
        <v>0</v>
      </c>
      <c r="T94" s="117">
        <v>1480</v>
      </c>
      <c r="U94" s="117">
        <v>3256</v>
      </c>
    </row>
    <row r="95" spans="1:21" x14ac:dyDescent="0.25">
      <c r="A95" s="130">
        <v>79</v>
      </c>
      <c r="B95" s="1" t="s">
        <v>145</v>
      </c>
      <c r="C95" s="117">
        <f t="shared" si="1"/>
        <v>118124</v>
      </c>
      <c r="D95" s="147">
        <v>1213</v>
      </c>
      <c r="E95" s="147">
        <v>2737</v>
      </c>
      <c r="F95" s="117">
        <v>7268</v>
      </c>
      <c r="G95" s="117">
        <v>42565</v>
      </c>
      <c r="H95" s="117">
        <v>0</v>
      </c>
      <c r="I95" s="117">
        <v>0</v>
      </c>
      <c r="J95" s="117">
        <v>0</v>
      </c>
      <c r="K95" s="117">
        <v>1025</v>
      </c>
      <c r="L95" s="117">
        <v>439</v>
      </c>
      <c r="M95" s="117">
        <v>14421</v>
      </c>
      <c r="N95" s="117">
        <v>33597</v>
      </c>
      <c r="O95" s="117">
        <v>0</v>
      </c>
      <c r="P95" s="117">
        <v>0</v>
      </c>
      <c r="Q95" s="117">
        <v>0</v>
      </c>
      <c r="R95" s="117">
        <v>0</v>
      </c>
      <c r="S95" s="117">
        <v>0</v>
      </c>
      <c r="T95" s="117">
        <v>6045</v>
      </c>
      <c r="U95" s="117">
        <v>8814</v>
      </c>
    </row>
    <row r="96" spans="1:21" x14ac:dyDescent="0.25">
      <c r="A96" s="130">
        <v>80</v>
      </c>
      <c r="B96" s="1" t="s">
        <v>212</v>
      </c>
      <c r="C96" s="117">
        <f t="shared" si="1"/>
        <v>39483</v>
      </c>
      <c r="D96" s="146">
        <v>605</v>
      </c>
      <c r="E96" s="147">
        <v>1216</v>
      </c>
      <c r="F96" s="117">
        <v>943</v>
      </c>
      <c r="G96" s="117">
        <v>19215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4993</v>
      </c>
      <c r="N96" s="117">
        <v>7052</v>
      </c>
      <c r="O96" s="117">
        <v>0</v>
      </c>
      <c r="P96" s="117">
        <v>0</v>
      </c>
      <c r="Q96" s="117">
        <v>0</v>
      </c>
      <c r="R96" s="117">
        <v>0</v>
      </c>
      <c r="S96" s="117">
        <v>0</v>
      </c>
      <c r="T96" s="117">
        <v>650</v>
      </c>
      <c r="U96" s="117">
        <v>4809</v>
      </c>
    </row>
    <row r="97" spans="1:21" x14ac:dyDescent="0.25">
      <c r="A97" s="130">
        <v>81</v>
      </c>
      <c r="B97" s="1" t="s">
        <v>213</v>
      </c>
      <c r="C97" s="117">
        <f t="shared" si="1"/>
        <v>38679</v>
      </c>
      <c r="D97" s="146">
        <v>588</v>
      </c>
      <c r="E97" s="147">
        <v>1182</v>
      </c>
      <c r="F97" s="117">
        <v>2341</v>
      </c>
      <c r="G97" s="117">
        <v>15159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4031</v>
      </c>
      <c r="N97" s="117">
        <v>9237</v>
      </c>
      <c r="O97" s="117">
        <v>0</v>
      </c>
      <c r="P97" s="117">
        <v>0</v>
      </c>
      <c r="Q97" s="117">
        <v>0</v>
      </c>
      <c r="R97" s="117">
        <v>0</v>
      </c>
      <c r="S97" s="117">
        <v>0</v>
      </c>
      <c r="T97" s="117">
        <v>2337</v>
      </c>
      <c r="U97" s="117">
        <v>3804</v>
      </c>
    </row>
    <row r="98" spans="1:21" ht="25.5" x14ac:dyDescent="0.25">
      <c r="A98" s="130">
        <v>82</v>
      </c>
      <c r="B98" s="1" t="s">
        <v>214</v>
      </c>
      <c r="C98" s="117">
        <f t="shared" si="1"/>
        <v>3111</v>
      </c>
      <c r="D98" s="146">
        <v>0</v>
      </c>
      <c r="E98" s="146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2398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17">
        <v>319</v>
      </c>
      <c r="Q98" s="117">
        <v>0</v>
      </c>
      <c r="R98" s="117">
        <v>0</v>
      </c>
      <c r="S98" s="117">
        <v>394</v>
      </c>
      <c r="T98" s="117">
        <v>0</v>
      </c>
      <c r="U98" s="117">
        <v>0</v>
      </c>
    </row>
    <row r="99" spans="1:21" ht="25.5" x14ac:dyDescent="0.25">
      <c r="A99" s="130">
        <v>83</v>
      </c>
      <c r="B99" s="1" t="s">
        <v>215</v>
      </c>
      <c r="C99" s="117">
        <f t="shared" si="1"/>
        <v>3578</v>
      </c>
      <c r="D99" s="146">
        <v>0</v>
      </c>
      <c r="E99" s="146">
        <v>0</v>
      </c>
      <c r="F99" s="117">
        <v>0</v>
      </c>
      <c r="G99" s="117">
        <v>0</v>
      </c>
      <c r="H99" s="117">
        <v>0</v>
      </c>
      <c r="I99" s="117">
        <v>0</v>
      </c>
      <c r="J99" s="117">
        <v>3478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17">
        <v>0</v>
      </c>
      <c r="Q99" s="117">
        <v>0</v>
      </c>
      <c r="R99" s="117">
        <v>0</v>
      </c>
      <c r="S99" s="117">
        <v>100</v>
      </c>
      <c r="T99" s="117">
        <v>0</v>
      </c>
      <c r="U99" s="117">
        <v>0</v>
      </c>
    </row>
    <row r="100" spans="1:21" ht="25.5" x14ac:dyDescent="0.25">
      <c r="A100" s="130">
        <v>84</v>
      </c>
      <c r="B100" s="1" t="s">
        <v>216</v>
      </c>
      <c r="C100" s="117">
        <f t="shared" si="1"/>
        <v>4126</v>
      </c>
      <c r="D100" s="146">
        <v>0</v>
      </c>
      <c r="E100" s="146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3883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17">
        <v>143</v>
      </c>
      <c r="Q100" s="117">
        <v>0</v>
      </c>
      <c r="R100" s="117">
        <v>0</v>
      </c>
      <c r="S100" s="117">
        <v>100</v>
      </c>
      <c r="T100" s="117">
        <v>0</v>
      </c>
      <c r="U100" s="117">
        <v>0</v>
      </c>
    </row>
    <row r="101" spans="1:21" ht="25.5" x14ac:dyDescent="0.25">
      <c r="A101" s="130">
        <v>85</v>
      </c>
      <c r="B101" s="1" t="s">
        <v>217</v>
      </c>
      <c r="C101" s="117">
        <f t="shared" si="1"/>
        <v>3480</v>
      </c>
      <c r="D101" s="146">
        <v>0</v>
      </c>
      <c r="E101" s="146">
        <v>0</v>
      </c>
      <c r="F101" s="117">
        <v>0</v>
      </c>
      <c r="G101" s="117">
        <v>0</v>
      </c>
      <c r="H101" s="117">
        <v>0</v>
      </c>
      <c r="I101" s="117">
        <v>0</v>
      </c>
      <c r="J101" s="117">
        <v>3040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17">
        <v>150</v>
      </c>
      <c r="Q101" s="117">
        <v>0</v>
      </c>
      <c r="R101" s="117">
        <v>0</v>
      </c>
      <c r="S101" s="117">
        <v>290</v>
      </c>
      <c r="T101" s="117">
        <v>0</v>
      </c>
      <c r="U101" s="117">
        <v>0</v>
      </c>
    </row>
    <row r="102" spans="1:21" ht="25.5" x14ac:dyDescent="0.25">
      <c r="A102" s="130">
        <v>86</v>
      </c>
      <c r="B102" s="1" t="s">
        <v>218</v>
      </c>
      <c r="C102" s="117">
        <f t="shared" si="1"/>
        <v>13472</v>
      </c>
      <c r="D102" s="146">
        <v>0</v>
      </c>
      <c r="E102" s="146">
        <v>0</v>
      </c>
      <c r="F102" s="117">
        <v>0</v>
      </c>
      <c r="G102" s="117">
        <v>0</v>
      </c>
      <c r="H102" s="117">
        <v>0</v>
      </c>
      <c r="I102" s="117">
        <v>0</v>
      </c>
      <c r="J102" s="117">
        <v>6425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17">
        <v>6627</v>
      </c>
      <c r="Q102" s="117">
        <v>0</v>
      </c>
      <c r="R102" s="117">
        <v>0</v>
      </c>
      <c r="S102" s="117">
        <v>420</v>
      </c>
      <c r="T102" s="117">
        <v>0</v>
      </c>
      <c r="U102" s="117">
        <v>0</v>
      </c>
    </row>
    <row r="103" spans="1:21" ht="25.5" x14ac:dyDescent="0.25">
      <c r="A103" s="130">
        <v>87</v>
      </c>
      <c r="B103" s="1" t="s">
        <v>252</v>
      </c>
      <c r="C103" s="117">
        <f t="shared" si="1"/>
        <v>3172</v>
      </c>
      <c r="D103" s="146">
        <v>0</v>
      </c>
      <c r="E103" s="146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2782</v>
      </c>
      <c r="K103" s="117">
        <v>0</v>
      </c>
      <c r="L103" s="117">
        <v>0</v>
      </c>
      <c r="M103" s="117">
        <v>0</v>
      </c>
      <c r="N103" s="117">
        <v>0</v>
      </c>
      <c r="O103" s="117">
        <v>0</v>
      </c>
      <c r="P103" s="117">
        <v>240</v>
      </c>
      <c r="Q103" s="117">
        <v>0</v>
      </c>
      <c r="R103" s="117">
        <v>0</v>
      </c>
      <c r="S103" s="117">
        <v>150</v>
      </c>
      <c r="T103" s="117">
        <v>0</v>
      </c>
      <c r="U103" s="117">
        <v>0</v>
      </c>
    </row>
    <row r="104" spans="1:21" ht="25.5" x14ac:dyDescent="0.25">
      <c r="A104" s="130">
        <v>88</v>
      </c>
      <c r="B104" s="1" t="s">
        <v>253</v>
      </c>
      <c r="C104" s="117">
        <f t="shared" si="1"/>
        <v>2676</v>
      </c>
      <c r="D104" s="146">
        <v>0</v>
      </c>
      <c r="E104" s="146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2675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17">
        <v>0</v>
      </c>
      <c r="Q104" s="117">
        <v>0</v>
      </c>
      <c r="R104" s="117">
        <v>0</v>
      </c>
      <c r="S104" s="117">
        <v>1</v>
      </c>
      <c r="T104" s="117">
        <v>0</v>
      </c>
      <c r="U104" s="117">
        <v>0</v>
      </c>
    </row>
    <row r="105" spans="1:21" x14ac:dyDescent="0.25">
      <c r="A105" s="130">
        <v>89</v>
      </c>
      <c r="B105" s="1" t="s">
        <v>221</v>
      </c>
      <c r="C105" s="117">
        <f t="shared" si="1"/>
        <v>181509</v>
      </c>
      <c r="D105" s="146">
        <v>524</v>
      </c>
      <c r="E105" s="147">
        <v>1848</v>
      </c>
      <c r="F105" s="117">
        <v>5841</v>
      </c>
      <c r="G105" s="117">
        <v>32191</v>
      </c>
      <c r="H105" s="117">
        <v>0</v>
      </c>
      <c r="I105" s="117">
        <v>7128</v>
      </c>
      <c r="J105" s="117">
        <v>0</v>
      </c>
      <c r="K105" s="117">
        <v>0</v>
      </c>
      <c r="L105" s="117">
        <v>0</v>
      </c>
      <c r="M105" s="117">
        <v>2594</v>
      </c>
      <c r="N105" s="117">
        <v>46269</v>
      </c>
      <c r="O105" s="117">
        <v>0</v>
      </c>
      <c r="P105" s="117">
        <v>0</v>
      </c>
      <c r="Q105" s="117">
        <v>5500</v>
      </c>
      <c r="R105" s="117">
        <v>2300</v>
      </c>
      <c r="S105" s="117">
        <v>0</v>
      </c>
      <c r="T105" s="117">
        <v>1441</v>
      </c>
      <c r="U105" s="117">
        <v>75873</v>
      </c>
    </row>
    <row r="106" spans="1:21" x14ac:dyDescent="0.25">
      <c r="A106" s="130">
        <v>90</v>
      </c>
      <c r="B106" s="1" t="s">
        <v>60</v>
      </c>
      <c r="C106" s="117">
        <f t="shared" si="1"/>
        <v>77211</v>
      </c>
      <c r="D106" s="146">
        <v>741</v>
      </c>
      <c r="E106" s="147">
        <v>1542</v>
      </c>
      <c r="F106" s="117">
        <v>7824</v>
      </c>
      <c r="G106" s="117">
        <v>18351</v>
      </c>
      <c r="H106" s="117">
        <v>0</v>
      </c>
      <c r="I106" s="117">
        <v>0</v>
      </c>
      <c r="J106" s="117">
        <v>0</v>
      </c>
      <c r="K106" s="117">
        <v>1025</v>
      </c>
      <c r="L106" s="117">
        <v>439</v>
      </c>
      <c r="M106" s="117">
        <v>11942</v>
      </c>
      <c r="N106" s="117">
        <v>24642</v>
      </c>
      <c r="O106" s="117">
        <v>658</v>
      </c>
      <c r="P106" s="117">
        <v>0</v>
      </c>
      <c r="Q106" s="117">
        <v>0</v>
      </c>
      <c r="R106" s="117">
        <v>0</v>
      </c>
      <c r="S106" s="117">
        <v>0</v>
      </c>
      <c r="T106" s="117">
        <v>1578</v>
      </c>
      <c r="U106" s="117">
        <v>8469</v>
      </c>
    </row>
    <row r="107" spans="1:21" x14ac:dyDescent="0.25">
      <c r="A107" s="130">
        <v>91</v>
      </c>
      <c r="B107" s="1" t="s">
        <v>56</v>
      </c>
      <c r="C107" s="117">
        <f t="shared" si="1"/>
        <v>59911</v>
      </c>
      <c r="D107" s="146">
        <v>869</v>
      </c>
      <c r="E107" s="147">
        <v>1114</v>
      </c>
      <c r="F107" s="117">
        <v>2845</v>
      </c>
      <c r="G107" s="117">
        <v>28238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4777</v>
      </c>
      <c r="N107" s="117">
        <v>6036</v>
      </c>
      <c r="O107" s="117">
        <v>66</v>
      </c>
      <c r="P107" s="117">
        <v>0</v>
      </c>
      <c r="Q107" s="117">
        <v>1500</v>
      </c>
      <c r="R107" s="117">
        <v>1500</v>
      </c>
      <c r="S107" s="117">
        <v>0</v>
      </c>
      <c r="T107" s="117">
        <v>3729</v>
      </c>
      <c r="U107" s="117">
        <v>9237</v>
      </c>
    </row>
    <row r="108" spans="1:21" x14ac:dyDescent="0.25">
      <c r="A108" s="130">
        <v>92</v>
      </c>
      <c r="B108" s="1" t="s">
        <v>55</v>
      </c>
      <c r="C108" s="117">
        <f t="shared" si="1"/>
        <v>32802</v>
      </c>
      <c r="D108" s="146">
        <v>377</v>
      </c>
      <c r="E108" s="146">
        <v>759</v>
      </c>
      <c r="F108" s="117">
        <v>1470</v>
      </c>
      <c r="G108" s="117">
        <v>10074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4530</v>
      </c>
      <c r="N108" s="117">
        <v>7480</v>
      </c>
      <c r="O108" s="117">
        <v>0</v>
      </c>
      <c r="P108" s="117">
        <v>0</v>
      </c>
      <c r="Q108" s="117">
        <v>2450</v>
      </c>
      <c r="R108" s="117">
        <v>0</v>
      </c>
      <c r="S108" s="117">
        <v>0</v>
      </c>
      <c r="T108" s="117">
        <v>1490</v>
      </c>
      <c r="U108" s="117">
        <v>4172</v>
      </c>
    </row>
    <row r="109" spans="1:21" x14ac:dyDescent="0.25">
      <c r="A109" s="130">
        <v>93</v>
      </c>
      <c r="B109" s="1" t="s">
        <v>57</v>
      </c>
      <c r="C109" s="117">
        <f t="shared" si="1"/>
        <v>21432</v>
      </c>
      <c r="D109" s="146">
        <v>163</v>
      </c>
      <c r="E109" s="146">
        <v>364</v>
      </c>
      <c r="F109" s="117">
        <v>291</v>
      </c>
      <c r="G109" s="117">
        <v>5281</v>
      </c>
      <c r="H109" s="117">
        <v>0</v>
      </c>
      <c r="I109" s="117">
        <v>8357</v>
      </c>
      <c r="J109" s="117">
        <v>0</v>
      </c>
      <c r="K109" s="117">
        <v>1025</v>
      </c>
      <c r="L109" s="117">
        <v>439</v>
      </c>
      <c r="M109" s="117">
        <v>106</v>
      </c>
      <c r="N109" s="117">
        <v>2677</v>
      </c>
      <c r="O109" s="117">
        <v>0</v>
      </c>
      <c r="P109" s="117">
        <v>0</v>
      </c>
      <c r="Q109" s="117">
        <v>0</v>
      </c>
      <c r="R109" s="117">
        <v>0</v>
      </c>
      <c r="S109" s="117">
        <v>0</v>
      </c>
      <c r="T109" s="117">
        <v>103</v>
      </c>
      <c r="U109" s="117">
        <v>2626</v>
      </c>
    </row>
    <row r="110" spans="1:21" x14ac:dyDescent="0.25">
      <c r="A110" s="130">
        <v>94</v>
      </c>
      <c r="B110" s="1" t="s">
        <v>58</v>
      </c>
      <c r="C110" s="117">
        <f t="shared" si="1"/>
        <v>2993</v>
      </c>
      <c r="D110" s="146">
        <v>71</v>
      </c>
      <c r="E110" s="146">
        <v>0</v>
      </c>
      <c r="F110" s="117">
        <v>92</v>
      </c>
      <c r="G110" s="117">
        <v>838</v>
      </c>
      <c r="H110" s="117">
        <v>0</v>
      </c>
      <c r="I110" s="117">
        <v>0</v>
      </c>
      <c r="J110" s="117">
        <v>0</v>
      </c>
      <c r="K110" s="117">
        <v>0</v>
      </c>
      <c r="L110" s="117">
        <v>0</v>
      </c>
      <c r="M110" s="117">
        <v>232</v>
      </c>
      <c r="N110" s="117">
        <v>443</v>
      </c>
      <c r="O110" s="117">
        <v>0</v>
      </c>
      <c r="P110" s="117">
        <v>0</v>
      </c>
      <c r="Q110" s="117">
        <v>0</v>
      </c>
      <c r="R110" s="117">
        <v>704</v>
      </c>
      <c r="S110" s="117">
        <v>0</v>
      </c>
      <c r="T110" s="117">
        <v>204</v>
      </c>
      <c r="U110" s="117">
        <v>409</v>
      </c>
    </row>
    <row r="111" spans="1:21" ht="51" x14ac:dyDescent="0.25">
      <c r="A111" s="421">
        <v>95</v>
      </c>
      <c r="B111" s="108" t="s">
        <v>101</v>
      </c>
      <c r="C111" s="117">
        <f t="shared" si="1"/>
        <v>24045</v>
      </c>
      <c r="D111" s="146">
        <v>4</v>
      </c>
      <c r="E111" s="146">
        <v>874</v>
      </c>
      <c r="F111" s="117">
        <v>1773</v>
      </c>
      <c r="G111" s="117">
        <v>4392</v>
      </c>
      <c r="H111" s="117">
        <v>0</v>
      </c>
      <c r="I111" s="117">
        <v>0</v>
      </c>
      <c r="J111" s="117">
        <v>0</v>
      </c>
      <c r="K111" s="117">
        <v>0</v>
      </c>
      <c r="L111" s="117">
        <v>0</v>
      </c>
      <c r="M111" s="117">
        <v>3551</v>
      </c>
      <c r="N111" s="117">
        <v>4293</v>
      </c>
      <c r="O111" s="117">
        <v>0</v>
      </c>
      <c r="P111" s="117">
        <v>0</v>
      </c>
      <c r="Q111" s="117">
        <v>0</v>
      </c>
      <c r="R111" s="117">
        <v>3520</v>
      </c>
      <c r="S111" s="117">
        <v>0</v>
      </c>
      <c r="T111" s="117">
        <v>2662</v>
      </c>
      <c r="U111" s="117">
        <v>2976</v>
      </c>
    </row>
    <row r="112" spans="1:21" x14ac:dyDescent="0.25">
      <c r="A112" s="422"/>
      <c r="B112" s="1" t="s">
        <v>59</v>
      </c>
      <c r="C112" s="117">
        <f t="shared" si="1"/>
        <v>188584</v>
      </c>
      <c r="D112" s="146">
        <v>790</v>
      </c>
      <c r="E112" s="147">
        <v>5217</v>
      </c>
      <c r="F112" s="117">
        <v>20782</v>
      </c>
      <c r="G112" s="117">
        <v>57288</v>
      </c>
      <c r="H112" s="117">
        <v>0</v>
      </c>
      <c r="I112" s="117">
        <v>0</v>
      </c>
      <c r="J112" s="117">
        <v>0</v>
      </c>
      <c r="K112" s="117">
        <v>3075</v>
      </c>
      <c r="L112" s="117">
        <v>1317</v>
      </c>
      <c r="M112" s="117">
        <v>18890</v>
      </c>
      <c r="N112" s="117">
        <v>50467</v>
      </c>
      <c r="O112" s="117">
        <f>1748+2200</f>
        <v>3948</v>
      </c>
      <c r="P112" s="117">
        <v>0</v>
      </c>
      <c r="Q112" s="117">
        <v>500</v>
      </c>
      <c r="R112" s="117">
        <v>0</v>
      </c>
      <c r="S112" s="117">
        <v>0</v>
      </c>
      <c r="T112" s="117">
        <v>8345</v>
      </c>
      <c r="U112" s="117">
        <v>17965</v>
      </c>
    </row>
    <row r="113" spans="1:21" x14ac:dyDescent="0.25">
      <c r="A113" s="130">
        <v>96</v>
      </c>
      <c r="B113" s="1" t="s">
        <v>61</v>
      </c>
      <c r="C113" s="117">
        <f t="shared" si="1"/>
        <v>174209</v>
      </c>
      <c r="D113" s="146">
        <v>0</v>
      </c>
      <c r="E113" s="146">
        <v>0</v>
      </c>
      <c r="F113" s="117">
        <v>933</v>
      </c>
      <c r="G113" s="117">
        <v>21396</v>
      </c>
      <c r="H113" s="117">
        <v>0</v>
      </c>
      <c r="I113" s="117">
        <v>5304</v>
      </c>
      <c r="J113" s="117">
        <v>0</v>
      </c>
      <c r="K113" s="117">
        <v>0</v>
      </c>
      <c r="L113" s="117">
        <v>0</v>
      </c>
      <c r="M113" s="117">
        <v>1018</v>
      </c>
      <c r="N113" s="117">
        <v>29523</v>
      </c>
      <c r="O113" s="117">
        <v>0</v>
      </c>
      <c r="P113" s="117">
        <v>0</v>
      </c>
      <c r="Q113" s="117">
        <v>0</v>
      </c>
      <c r="R113" s="117">
        <v>0</v>
      </c>
      <c r="S113" s="117">
        <v>0</v>
      </c>
      <c r="T113" s="117">
        <v>1881</v>
      </c>
      <c r="U113" s="117">
        <v>114154</v>
      </c>
    </row>
    <row r="114" spans="1:21" x14ac:dyDescent="0.25">
      <c r="A114" s="130">
        <v>97</v>
      </c>
      <c r="B114" s="1" t="s">
        <v>92</v>
      </c>
      <c r="C114" s="117">
        <f t="shared" si="1"/>
        <v>75129</v>
      </c>
      <c r="D114" s="146">
        <v>935</v>
      </c>
      <c r="E114" s="147">
        <v>1312</v>
      </c>
      <c r="F114" s="117">
        <v>9688</v>
      </c>
      <c r="G114" s="117">
        <v>18063</v>
      </c>
      <c r="H114" s="117">
        <v>0</v>
      </c>
      <c r="I114" s="117">
        <v>9827</v>
      </c>
      <c r="J114" s="117">
        <v>0</v>
      </c>
      <c r="K114" s="117">
        <v>0</v>
      </c>
      <c r="L114" s="117">
        <v>0</v>
      </c>
      <c r="M114" s="117">
        <v>5128</v>
      </c>
      <c r="N114" s="117">
        <v>13523</v>
      </c>
      <c r="O114" s="117">
        <v>3000</v>
      </c>
      <c r="P114" s="117">
        <v>0</v>
      </c>
      <c r="Q114" s="117">
        <v>0</v>
      </c>
      <c r="R114" s="117">
        <v>351</v>
      </c>
      <c r="S114" s="117">
        <v>0</v>
      </c>
      <c r="T114" s="117">
        <v>3958</v>
      </c>
      <c r="U114" s="117">
        <v>9344</v>
      </c>
    </row>
    <row r="115" spans="1:21" x14ac:dyDescent="0.25">
      <c r="A115" s="130">
        <v>98</v>
      </c>
      <c r="B115" s="1" t="s">
        <v>71</v>
      </c>
      <c r="C115" s="117">
        <f t="shared" si="1"/>
        <v>45026</v>
      </c>
      <c r="D115" s="146">
        <v>0</v>
      </c>
      <c r="E115" s="146">
        <v>0</v>
      </c>
      <c r="F115" s="117">
        <v>0</v>
      </c>
      <c r="G115" s="117">
        <v>0</v>
      </c>
      <c r="H115" s="117">
        <v>26184</v>
      </c>
      <c r="I115" s="117">
        <v>0</v>
      </c>
      <c r="J115" s="117">
        <v>8842</v>
      </c>
      <c r="K115" s="117">
        <v>0</v>
      </c>
      <c r="L115" s="117">
        <v>0</v>
      </c>
      <c r="M115" s="117">
        <v>0</v>
      </c>
      <c r="N115" s="117">
        <v>0</v>
      </c>
      <c r="O115" s="117">
        <v>0</v>
      </c>
      <c r="P115" s="117">
        <v>0</v>
      </c>
      <c r="Q115" s="117">
        <v>0</v>
      </c>
      <c r="R115" s="117">
        <v>0</v>
      </c>
      <c r="S115" s="117">
        <v>10000</v>
      </c>
      <c r="T115" s="117">
        <v>0</v>
      </c>
      <c r="U115" s="117">
        <v>0</v>
      </c>
    </row>
    <row r="116" spans="1:21" x14ac:dyDescent="0.25">
      <c r="A116" s="421">
        <v>99</v>
      </c>
      <c r="B116" s="1" t="s">
        <v>62</v>
      </c>
      <c r="C116" s="117">
        <f t="shared" si="1"/>
        <v>25334</v>
      </c>
      <c r="D116" s="146">
        <v>4</v>
      </c>
      <c r="E116" s="146">
        <v>358</v>
      </c>
      <c r="F116" s="117">
        <v>50</v>
      </c>
      <c r="G116" s="117">
        <v>4650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750</v>
      </c>
      <c r="N116" s="117">
        <v>5193</v>
      </c>
      <c r="O116" s="117">
        <f>7077+3200</f>
        <v>10277</v>
      </c>
      <c r="P116" s="117">
        <v>0</v>
      </c>
      <c r="Q116" s="117">
        <v>0</v>
      </c>
      <c r="R116" s="117">
        <v>0</v>
      </c>
      <c r="S116" s="117">
        <v>0</v>
      </c>
      <c r="T116" s="117">
        <v>0</v>
      </c>
      <c r="U116" s="117">
        <v>4052</v>
      </c>
    </row>
    <row r="117" spans="1:21" ht="25.5" x14ac:dyDescent="0.25">
      <c r="A117" s="422"/>
      <c r="B117" s="1" t="s">
        <v>222</v>
      </c>
      <c r="C117" s="117">
        <f t="shared" si="1"/>
        <v>3600</v>
      </c>
      <c r="D117" s="146">
        <v>0</v>
      </c>
      <c r="E117" s="146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3600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17">
        <v>0</v>
      </c>
      <c r="Q117" s="117">
        <v>0</v>
      </c>
      <c r="R117" s="117">
        <v>0</v>
      </c>
      <c r="S117" s="117">
        <v>0</v>
      </c>
      <c r="T117" s="117">
        <v>0</v>
      </c>
      <c r="U117" s="117">
        <v>0</v>
      </c>
    </row>
    <row r="118" spans="1:21" ht="25.5" x14ac:dyDescent="0.25">
      <c r="A118" s="130">
        <v>100</v>
      </c>
      <c r="B118" s="1" t="s">
        <v>72</v>
      </c>
      <c r="C118" s="117">
        <f t="shared" si="1"/>
        <v>8400</v>
      </c>
      <c r="D118" s="146">
        <v>0</v>
      </c>
      <c r="E118" s="146">
        <v>0</v>
      </c>
      <c r="F118" s="117">
        <v>0</v>
      </c>
      <c r="G118" s="117">
        <v>0</v>
      </c>
      <c r="H118" s="117">
        <v>0</v>
      </c>
      <c r="I118" s="117">
        <v>0</v>
      </c>
      <c r="J118" s="117">
        <v>7400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17">
        <v>0</v>
      </c>
      <c r="Q118" s="117">
        <v>0</v>
      </c>
      <c r="R118" s="117">
        <v>0</v>
      </c>
      <c r="S118" s="117">
        <v>1000</v>
      </c>
      <c r="T118" s="117">
        <v>0</v>
      </c>
      <c r="U118" s="117">
        <v>0</v>
      </c>
    </row>
    <row r="119" spans="1:21" x14ac:dyDescent="0.25">
      <c r="A119" s="130">
        <v>101</v>
      </c>
      <c r="B119" s="103" t="s">
        <v>223</v>
      </c>
      <c r="C119" s="117">
        <f t="shared" si="1"/>
        <v>6644</v>
      </c>
      <c r="D119" s="146">
        <v>106</v>
      </c>
      <c r="E119" s="146">
        <v>211</v>
      </c>
      <c r="F119" s="117">
        <v>0</v>
      </c>
      <c r="G119" s="117">
        <v>3030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615</v>
      </c>
      <c r="N119" s="117">
        <v>1797</v>
      </c>
      <c r="O119" s="117">
        <v>0</v>
      </c>
      <c r="P119" s="117">
        <v>0</v>
      </c>
      <c r="Q119" s="117">
        <v>0</v>
      </c>
      <c r="R119" s="117">
        <v>0</v>
      </c>
      <c r="S119" s="117">
        <v>0</v>
      </c>
      <c r="T119" s="117">
        <v>585</v>
      </c>
      <c r="U119" s="117">
        <v>300</v>
      </c>
    </row>
    <row r="120" spans="1:21" x14ac:dyDescent="0.25">
      <c r="A120" s="130">
        <v>102</v>
      </c>
      <c r="B120" s="102" t="s">
        <v>3</v>
      </c>
      <c r="C120" s="117">
        <f t="shared" si="1"/>
        <v>37677</v>
      </c>
      <c r="D120" s="146">
        <v>232</v>
      </c>
      <c r="E120" s="146">
        <v>405</v>
      </c>
      <c r="F120" s="117">
        <v>1400</v>
      </c>
      <c r="G120" s="117">
        <v>20273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2780</v>
      </c>
      <c r="N120" s="117">
        <v>4228</v>
      </c>
      <c r="O120" s="117">
        <v>0</v>
      </c>
      <c r="P120" s="117">
        <v>0</v>
      </c>
      <c r="Q120" s="117">
        <v>1150</v>
      </c>
      <c r="R120" s="117">
        <v>4913</v>
      </c>
      <c r="S120" s="117">
        <v>0</v>
      </c>
      <c r="T120" s="117">
        <v>1067</v>
      </c>
      <c r="U120" s="117">
        <v>1229</v>
      </c>
    </row>
    <row r="121" spans="1:21" x14ac:dyDescent="0.25">
      <c r="A121" s="130">
        <v>103</v>
      </c>
      <c r="B121" s="103" t="s">
        <v>10</v>
      </c>
      <c r="C121" s="117">
        <f t="shared" si="1"/>
        <v>38971</v>
      </c>
      <c r="D121" s="146">
        <v>269</v>
      </c>
      <c r="E121" s="146">
        <v>381</v>
      </c>
      <c r="F121" s="117">
        <v>0</v>
      </c>
      <c r="G121" s="117">
        <v>5046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1425</v>
      </c>
      <c r="N121" s="117">
        <v>14483</v>
      </c>
      <c r="O121" s="117">
        <v>0</v>
      </c>
      <c r="P121" s="117">
        <v>0</v>
      </c>
      <c r="Q121" s="117">
        <v>550</v>
      </c>
      <c r="R121" s="117">
        <v>3629</v>
      </c>
      <c r="S121" s="117">
        <v>0</v>
      </c>
      <c r="T121" s="117">
        <v>939</v>
      </c>
      <c r="U121" s="117">
        <v>12249</v>
      </c>
    </row>
    <row r="122" spans="1:21" x14ac:dyDescent="0.25">
      <c r="A122" s="130">
        <v>104</v>
      </c>
      <c r="B122" s="102" t="s">
        <v>15</v>
      </c>
      <c r="C122" s="117">
        <f t="shared" si="1"/>
        <v>105045</v>
      </c>
      <c r="D122" s="146">
        <v>282</v>
      </c>
      <c r="E122" s="147">
        <v>1437</v>
      </c>
      <c r="F122" s="117">
        <v>903</v>
      </c>
      <c r="G122" s="117">
        <v>11063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7066</v>
      </c>
      <c r="N122" s="117">
        <v>43243</v>
      </c>
      <c r="O122" s="117">
        <v>0</v>
      </c>
      <c r="P122" s="117">
        <v>0</v>
      </c>
      <c r="Q122" s="117">
        <v>1117</v>
      </c>
      <c r="R122" s="117">
        <v>1758</v>
      </c>
      <c r="S122" s="117">
        <v>0</v>
      </c>
      <c r="T122" s="117">
        <v>5407</v>
      </c>
      <c r="U122" s="117">
        <v>32769</v>
      </c>
    </row>
    <row r="123" spans="1:21" x14ac:dyDescent="0.25">
      <c r="A123" s="130">
        <v>105</v>
      </c>
      <c r="B123" s="103" t="s">
        <v>38</v>
      </c>
      <c r="C123" s="117">
        <f t="shared" si="1"/>
        <v>47375</v>
      </c>
      <c r="D123" s="146">
        <v>188</v>
      </c>
      <c r="E123" s="146">
        <v>606</v>
      </c>
      <c r="F123" s="117">
        <v>961</v>
      </c>
      <c r="G123" s="117">
        <v>5333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2829</v>
      </c>
      <c r="N123" s="117">
        <v>17327</v>
      </c>
      <c r="O123" s="117">
        <v>0</v>
      </c>
      <c r="P123" s="117">
        <v>0</v>
      </c>
      <c r="Q123" s="117">
        <v>132</v>
      </c>
      <c r="R123" s="117">
        <v>4388</v>
      </c>
      <c r="S123" s="117">
        <v>0</v>
      </c>
      <c r="T123" s="117">
        <v>2009</v>
      </c>
      <c r="U123" s="117">
        <v>13602</v>
      </c>
    </row>
    <row r="124" spans="1:21" x14ac:dyDescent="0.25">
      <c r="A124" s="130">
        <v>106</v>
      </c>
      <c r="B124" s="103" t="s">
        <v>16</v>
      </c>
      <c r="C124" s="117">
        <f t="shared" si="1"/>
        <v>59698</v>
      </c>
      <c r="D124" s="146">
        <v>427</v>
      </c>
      <c r="E124" s="146">
        <v>597</v>
      </c>
      <c r="F124" s="117">
        <v>3891</v>
      </c>
      <c r="G124" s="117">
        <v>16599</v>
      </c>
      <c r="H124" s="117">
        <v>0</v>
      </c>
      <c r="I124" s="117">
        <v>0</v>
      </c>
      <c r="J124" s="117">
        <v>0</v>
      </c>
      <c r="K124" s="117">
        <v>1025</v>
      </c>
      <c r="L124" s="117">
        <v>439</v>
      </c>
      <c r="M124" s="117">
        <v>3322</v>
      </c>
      <c r="N124" s="117">
        <v>14403</v>
      </c>
      <c r="O124" s="117">
        <v>0</v>
      </c>
      <c r="P124" s="117">
        <v>0</v>
      </c>
      <c r="Q124" s="117">
        <v>502</v>
      </c>
      <c r="R124" s="117">
        <v>6050</v>
      </c>
      <c r="S124" s="117">
        <v>0</v>
      </c>
      <c r="T124" s="117">
        <v>3146</v>
      </c>
      <c r="U124" s="117">
        <v>9297</v>
      </c>
    </row>
    <row r="125" spans="1:21" ht="25.5" x14ac:dyDescent="0.25">
      <c r="A125" s="130">
        <v>107</v>
      </c>
      <c r="B125" s="103" t="s">
        <v>225</v>
      </c>
      <c r="C125" s="117">
        <f t="shared" si="1"/>
        <v>28</v>
      </c>
      <c r="D125" s="146">
        <v>0</v>
      </c>
      <c r="E125" s="146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28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17">
        <v>0</v>
      </c>
      <c r="Q125" s="117">
        <v>0</v>
      </c>
      <c r="R125" s="117">
        <v>0</v>
      </c>
      <c r="S125" s="117">
        <v>0</v>
      </c>
      <c r="T125" s="117">
        <v>0</v>
      </c>
      <c r="U125" s="117">
        <v>0</v>
      </c>
    </row>
    <row r="126" spans="1:21" x14ac:dyDescent="0.25">
      <c r="A126" s="130">
        <v>108</v>
      </c>
      <c r="B126" s="102" t="s">
        <v>26</v>
      </c>
      <c r="C126" s="117">
        <f t="shared" si="1"/>
        <v>111645</v>
      </c>
      <c r="D126" s="146">
        <v>572</v>
      </c>
      <c r="E126" s="147">
        <v>1237</v>
      </c>
      <c r="F126" s="117">
        <v>1898</v>
      </c>
      <c r="G126" s="117">
        <v>34271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2914</v>
      </c>
      <c r="N126" s="117">
        <v>34799</v>
      </c>
      <c r="O126" s="117">
        <v>0</v>
      </c>
      <c r="P126" s="117">
        <v>0</v>
      </c>
      <c r="Q126" s="117">
        <v>2249</v>
      </c>
      <c r="R126" s="117">
        <v>4000</v>
      </c>
      <c r="S126" s="117">
        <v>0</v>
      </c>
      <c r="T126" s="117">
        <v>2584</v>
      </c>
      <c r="U126" s="117">
        <v>27121</v>
      </c>
    </row>
    <row r="127" spans="1:21" x14ac:dyDescent="0.25">
      <c r="A127" s="130">
        <v>109</v>
      </c>
      <c r="B127" s="102" t="s">
        <v>31</v>
      </c>
      <c r="C127" s="117">
        <f t="shared" si="1"/>
        <v>101666</v>
      </c>
      <c r="D127" s="146">
        <v>518</v>
      </c>
      <c r="E127" s="147">
        <v>1142</v>
      </c>
      <c r="F127" s="117">
        <v>1100</v>
      </c>
      <c r="G127" s="117">
        <v>23035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5165</v>
      </c>
      <c r="N127" s="117">
        <v>28730</v>
      </c>
      <c r="O127" s="117">
        <v>0</v>
      </c>
      <c r="P127" s="117">
        <v>0</v>
      </c>
      <c r="Q127" s="117">
        <v>5200</v>
      </c>
      <c r="R127" s="117">
        <v>8981</v>
      </c>
      <c r="S127" s="117">
        <v>0</v>
      </c>
      <c r="T127" s="117">
        <v>10598</v>
      </c>
      <c r="U127" s="117">
        <v>17197</v>
      </c>
    </row>
    <row r="128" spans="1:21" x14ac:dyDescent="0.25">
      <c r="A128" s="130">
        <v>110</v>
      </c>
      <c r="B128" s="103" t="s">
        <v>32</v>
      </c>
      <c r="C128" s="117">
        <f t="shared" si="1"/>
        <v>35149</v>
      </c>
      <c r="D128" s="146">
        <v>245</v>
      </c>
      <c r="E128" s="146">
        <v>344</v>
      </c>
      <c r="F128" s="117">
        <v>1527</v>
      </c>
      <c r="G128" s="117">
        <v>12574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5232</v>
      </c>
      <c r="N128" s="117">
        <v>2261</v>
      </c>
      <c r="O128" s="117">
        <v>0</v>
      </c>
      <c r="P128" s="117">
        <v>0</v>
      </c>
      <c r="Q128" s="117">
        <v>0</v>
      </c>
      <c r="R128" s="117">
        <v>3177</v>
      </c>
      <c r="S128" s="117">
        <v>0</v>
      </c>
      <c r="T128" s="117">
        <v>543</v>
      </c>
      <c r="U128" s="117">
        <v>9246</v>
      </c>
    </row>
    <row r="129" spans="1:21" x14ac:dyDescent="0.25">
      <c r="A129" s="130">
        <v>111</v>
      </c>
      <c r="B129" s="102" t="s">
        <v>35</v>
      </c>
      <c r="C129" s="117">
        <f t="shared" si="1"/>
        <v>55687</v>
      </c>
      <c r="D129" s="146">
        <v>317</v>
      </c>
      <c r="E129" s="146">
        <v>634</v>
      </c>
      <c r="F129" s="117">
        <v>1677</v>
      </c>
      <c r="G129" s="117">
        <v>18805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2866</v>
      </c>
      <c r="N129" s="117">
        <v>11923</v>
      </c>
      <c r="O129" s="117">
        <v>0</v>
      </c>
      <c r="P129" s="117">
        <v>0</v>
      </c>
      <c r="Q129" s="117">
        <v>810</v>
      </c>
      <c r="R129" s="117">
        <v>4637</v>
      </c>
      <c r="S129" s="117">
        <v>0</v>
      </c>
      <c r="T129" s="117">
        <v>2470</v>
      </c>
      <c r="U129" s="117">
        <v>11548</v>
      </c>
    </row>
    <row r="130" spans="1:21" x14ac:dyDescent="0.25">
      <c r="A130" s="130">
        <v>112</v>
      </c>
      <c r="B130" s="103" t="s">
        <v>42</v>
      </c>
      <c r="C130" s="117">
        <f t="shared" si="1"/>
        <v>53739</v>
      </c>
      <c r="D130" s="146">
        <v>291</v>
      </c>
      <c r="E130" s="146">
        <v>590</v>
      </c>
      <c r="F130" s="117">
        <v>806</v>
      </c>
      <c r="G130" s="117">
        <v>10942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7619</v>
      </c>
      <c r="N130" s="117">
        <v>11656</v>
      </c>
      <c r="O130" s="117">
        <v>402</v>
      </c>
      <c r="P130" s="117">
        <v>0</v>
      </c>
      <c r="Q130" s="117">
        <v>0</v>
      </c>
      <c r="R130" s="117">
        <v>4380</v>
      </c>
      <c r="S130" s="117">
        <v>0</v>
      </c>
      <c r="T130" s="117">
        <v>2030</v>
      </c>
      <c r="U130" s="117">
        <v>15023</v>
      </c>
    </row>
    <row r="131" spans="1:21" x14ac:dyDescent="0.25">
      <c r="A131" s="130">
        <v>113</v>
      </c>
      <c r="B131" s="103" t="s">
        <v>21</v>
      </c>
      <c r="C131" s="117">
        <f t="shared" si="1"/>
        <v>68409</v>
      </c>
      <c r="D131" s="146">
        <v>267</v>
      </c>
      <c r="E131" s="146">
        <v>735</v>
      </c>
      <c r="F131" s="117">
        <v>1122</v>
      </c>
      <c r="G131" s="117">
        <v>14102</v>
      </c>
      <c r="H131" s="117">
        <v>0</v>
      </c>
      <c r="I131" s="117">
        <v>5362</v>
      </c>
      <c r="J131" s="117">
        <v>0</v>
      </c>
      <c r="K131" s="117">
        <v>1025</v>
      </c>
      <c r="L131" s="117">
        <v>439</v>
      </c>
      <c r="M131" s="117">
        <v>6133</v>
      </c>
      <c r="N131" s="117">
        <v>18512</v>
      </c>
      <c r="O131" s="117">
        <v>0</v>
      </c>
      <c r="P131" s="117">
        <v>0</v>
      </c>
      <c r="Q131" s="117">
        <v>2320</v>
      </c>
      <c r="R131" s="117">
        <v>4875</v>
      </c>
      <c r="S131" s="117">
        <v>0</v>
      </c>
      <c r="T131" s="117">
        <v>1148</v>
      </c>
      <c r="U131" s="117">
        <v>12369</v>
      </c>
    </row>
    <row r="132" spans="1:21" x14ac:dyDescent="0.25">
      <c r="A132" s="130">
        <v>114</v>
      </c>
      <c r="B132" s="102" t="s">
        <v>41</v>
      </c>
      <c r="C132" s="117">
        <f t="shared" si="1"/>
        <v>40561</v>
      </c>
      <c r="D132" s="146">
        <v>225</v>
      </c>
      <c r="E132" s="146">
        <v>449</v>
      </c>
      <c r="F132" s="117">
        <v>0</v>
      </c>
      <c r="G132" s="117">
        <v>9093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6383</v>
      </c>
      <c r="N132" s="117">
        <v>9941</v>
      </c>
      <c r="O132" s="117">
        <v>0</v>
      </c>
      <c r="P132" s="117">
        <v>0</v>
      </c>
      <c r="Q132" s="117">
        <v>600</v>
      </c>
      <c r="R132" s="117">
        <v>2875</v>
      </c>
      <c r="S132" s="117">
        <v>0</v>
      </c>
      <c r="T132" s="117">
        <v>3501</v>
      </c>
      <c r="U132" s="117">
        <v>7494</v>
      </c>
    </row>
    <row r="133" spans="1:21" x14ac:dyDescent="0.25">
      <c r="A133" s="130">
        <v>115</v>
      </c>
      <c r="B133" s="103" t="s">
        <v>48</v>
      </c>
      <c r="C133" s="117">
        <f t="shared" si="1"/>
        <v>61412</v>
      </c>
      <c r="D133" s="146">
        <v>350</v>
      </c>
      <c r="E133" s="146">
        <v>701</v>
      </c>
      <c r="F133" s="117">
        <v>3530</v>
      </c>
      <c r="G133" s="117">
        <v>25617</v>
      </c>
      <c r="H133" s="117">
        <v>0</v>
      </c>
      <c r="I133" s="117">
        <v>0</v>
      </c>
      <c r="J133" s="117">
        <v>0</v>
      </c>
      <c r="K133" s="117">
        <v>0</v>
      </c>
      <c r="L133" s="117">
        <v>0</v>
      </c>
      <c r="M133" s="117">
        <v>4294</v>
      </c>
      <c r="N133" s="117">
        <v>13526</v>
      </c>
      <c r="O133" s="117">
        <v>0</v>
      </c>
      <c r="P133" s="117">
        <v>0</v>
      </c>
      <c r="Q133" s="117">
        <v>1460</v>
      </c>
      <c r="R133" s="117">
        <v>5314</v>
      </c>
      <c r="S133" s="117">
        <v>0</v>
      </c>
      <c r="T133" s="117">
        <v>722</v>
      </c>
      <c r="U133" s="117">
        <v>5898</v>
      </c>
    </row>
    <row r="134" spans="1:21" x14ac:dyDescent="0.25">
      <c r="A134" s="130">
        <v>116</v>
      </c>
      <c r="B134" s="103" t="s">
        <v>49</v>
      </c>
      <c r="C134" s="117">
        <f t="shared" si="1"/>
        <v>103059</v>
      </c>
      <c r="D134" s="146">
        <v>556</v>
      </c>
      <c r="E134" s="147">
        <v>1193</v>
      </c>
      <c r="F134" s="117">
        <v>5160</v>
      </c>
      <c r="G134" s="117">
        <v>46598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5474</v>
      </c>
      <c r="N134" s="117">
        <v>18743</v>
      </c>
      <c r="O134" s="117">
        <v>0</v>
      </c>
      <c r="P134" s="117">
        <v>0</v>
      </c>
      <c r="Q134" s="117">
        <v>1272</v>
      </c>
      <c r="R134" s="117">
        <v>6203</v>
      </c>
      <c r="S134" s="117">
        <v>0</v>
      </c>
      <c r="T134" s="117">
        <v>5266</v>
      </c>
      <c r="U134" s="117">
        <v>12594</v>
      </c>
    </row>
    <row r="135" spans="1:21" x14ac:dyDescent="0.25">
      <c r="A135" s="130">
        <v>117</v>
      </c>
      <c r="B135" s="103" t="s">
        <v>14</v>
      </c>
      <c r="C135" s="117">
        <f t="shared" si="1"/>
        <v>48495</v>
      </c>
      <c r="D135" s="146">
        <v>330</v>
      </c>
      <c r="E135" s="146">
        <v>497</v>
      </c>
      <c r="F135" s="117">
        <v>1178</v>
      </c>
      <c r="G135" s="117">
        <v>10914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2041</v>
      </c>
      <c r="N135" s="117">
        <v>16134</v>
      </c>
      <c r="O135" s="117">
        <v>0</v>
      </c>
      <c r="P135" s="117">
        <v>0</v>
      </c>
      <c r="Q135" s="117">
        <v>1580</v>
      </c>
      <c r="R135" s="117">
        <v>3610</v>
      </c>
      <c r="S135" s="117">
        <v>0</v>
      </c>
      <c r="T135" s="117">
        <v>1897</v>
      </c>
      <c r="U135" s="117">
        <v>10314</v>
      </c>
    </row>
    <row r="136" spans="1:21" x14ac:dyDescent="0.25">
      <c r="A136" s="130">
        <v>118</v>
      </c>
      <c r="B136" s="109" t="s">
        <v>254</v>
      </c>
      <c r="C136" s="117">
        <f t="shared" si="1"/>
        <v>37892</v>
      </c>
      <c r="D136" s="146">
        <v>313</v>
      </c>
      <c r="E136" s="146">
        <v>712</v>
      </c>
      <c r="F136" s="117">
        <v>1094</v>
      </c>
      <c r="G136" s="117">
        <v>11001</v>
      </c>
      <c r="H136" s="117">
        <v>0</v>
      </c>
      <c r="I136" s="117">
        <v>0</v>
      </c>
      <c r="J136" s="117">
        <v>0</v>
      </c>
      <c r="K136" s="117">
        <v>2051</v>
      </c>
      <c r="L136" s="117">
        <v>877</v>
      </c>
      <c r="M136" s="117">
        <v>3023</v>
      </c>
      <c r="N136" s="117">
        <v>10291</v>
      </c>
      <c r="O136" s="117">
        <v>0</v>
      </c>
      <c r="P136" s="117">
        <v>0</v>
      </c>
      <c r="Q136" s="117">
        <v>0</v>
      </c>
      <c r="R136" s="117">
        <v>100</v>
      </c>
      <c r="S136" s="117">
        <v>0</v>
      </c>
      <c r="T136" s="117">
        <v>526</v>
      </c>
      <c r="U136" s="117">
        <v>7904</v>
      </c>
    </row>
    <row r="137" spans="1:21" x14ac:dyDescent="0.25">
      <c r="A137" s="130">
        <v>119</v>
      </c>
      <c r="B137" s="1" t="s">
        <v>232</v>
      </c>
      <c r="C137" s="117">
        <f t="shared" si="1"/>
        <v>0</v>
      </c>
      <c r="D137" s="146">
        <v>0</v>
      </c>
      <c r="E137" s="146">
        <v>0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17">
        <v>0</v>
      </c>
      <c r="Q137" s="117">
        <v>0</v>
      </c>
      <c r="R137" s="117">
        <v>0</v>
      </c>
      <c r="S137" s="117">
        <v>0</v>
      </c>
      <c r="T137" s="117">
        <v>0</v>
      </c>
      <c r="U137" s="117">
        <v>0</v>
      </c>
    </row>
    <row r="138" spans="1:21" x14ac:dyDescent="0.25">
      <c r="A138" s="130">
        <v>120</v>
      </c>
      <c r="B138" s="102" t="s">
        <v>227</v>
      </c>
      <c r="C138" s="117">
        <f t="shared" si="1"/>
        <v>25</v>
      </c>
      <c r="D138" s="146">
        <v>0</v>
      </c>
      <c r="E138" s="146">
        <v>0</v>
      </c>
      <c r="F138" s="117">
        <v>0</v>
      </c>
      <c r="G138" s="117">
        <v>0</v>
      </c>
      <c r="H138" s="117">
        <v>0</v>
      </c>
      <c r="I138" s="117">
        <v>0</v>
      </c>
      <c r="J138" s="117">
        <v>20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17">
        <v>5</v>
      </c>
      <c r="Q138" s="117">
        <v>0</v>
      </c>
      <c r="R138" s="117">
        <v>0</v>
      </c>
      <c r="S138" s="117">
        <v>0</v>
      </c>
      <c r="T138" s="117">
        <v>0</v>
      </c>
      <c r="U138" s="117">
        <v>0</v>
      </c>
    </row>
    <row r="139" spans="1:21" x14ac:dyDescent="0.25">
      <c r="A139" s="130">
        <v>121</v>
      </c>
      <c r="B139" s="103" t="s">
        <v>228</v>
      </c>
      <c r="C139" s="117">
        <f t="shared" ref="C139:C164" si="2">D139+E139+F139+G139+H139+I139+J139+K139+L139+M139+N139+O139+P139+Q139+R139+S139+T139+U139</f>
        <v>66</v>
      </c>
      <c r="D139" s="146">
        <v>0</v>
      </c>
      <c r="E139" s="146">
        <v>0</v>
      </c>
      <c r="F139" s="117">
        <v>0</v>
      </c>
      <c r="G139" s="117">
        <v>0</v>
      </c>
      <c r="H139" s="117">
        <v>0</v>
      </c>
      <c r="I139" s="117">
        <v>0</v>
      </c>
      <c r="J139" s="117">
        <v>66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17">
        <v>0</v>
      </c>
      <c r="Q139" s="117">
        <v>0</v>
      </c>
      <c r="R139" s="117">
        <v>0</v>
      </c>
      <c r="S139" s="117">
        <v>0</v>
      </c>
      <c r="T139" s="117">
        <v>0</v>
      </c>
      <c r="U139" s="117">
        <v>0</v>
      </c>
    </row>
    <row r="140" spans="1:21" x14ac:dyDescent="0.25">
      <c r="A140" s="130">
        <v>122</v>
      </c>
      <c r="B140" s="103" t="s">
        <v>73</v>
      </c>
      <c r="C140" s="117">
        <f t="shared" si="2"/>
        <v>219</v>
      </c>
      <c r="D140" s="146">
        <v>0</v>
      </c>
      <c r="E140" s="146">
        <v>0</v>
      </c>
      <c r="F140" s="117">
        <v>0</v>
      </c>
      <c r="G140" s="117">
        <v>0</v>
      </c>
      <c r="H140" s="117">
        <v>0</v>
      </c>
      <c r="I140" s="117">
        <v>0</v>
      </c>
      <c r="J140" s="117">
        <v>219</v>
      </c>
      <c r="K140" s="117">
        <v>0</v>
      </c>
      <c r="L140" s="117">
        <v>0</v>
      </c>
      <c r="M140" s="117">
        <v>0</v>
      </c>
      <c r="N140" s="117">
        <v>0</v>
      </c>
      <c r="O140" s="117">
        <v>0</v>
      </c>
      <c r="P140" s="117">
        <v>0</v>
      </c>
      <c r="Q140" s="117">
        <v>0</v>
      </c>
      <c r="R140" s="117">
        <v>0</v>
      </c>
      <c r="S140" s="117">
        <v>0</v>
      </c>
      <c r="T140" s="117">
        <v>0</v>
      </c>
      <c r="U140" s="117">
        <v>0</v>
      </c>
    </row>
    <row r="141" spans="1:21" ht="25.5" x14ac:dyDescent="0.25">
      <c r="A141" s="130">
        <v>123</v>
      </c>
      <c r="B141" s="103" t="s">
        <v>235</v>
      </c>
      <c r="C141" s="117">
        <f t="shared" si="2"/>
        <v>8</v>
      </c>
      <c r="D141" s="146">
        <v>0</v>
      </c>
      <c r="E141" s="146">
        <v>0</v>
      </c>
      <c r="F141" s="117">
        <v>0</v>
      </c>
      <c r="G141" s="117">
        <v>0</v>
      </c>
      <c r="H141" s="117">
        <v>0</v>
      </c>
      <c r="I141" s="117">
        <v>0</v>
      </c>
      <c r="J141" s="117">
        <v>8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17">
        <v>0</v>
      </c>
      <c r="Q141" s="117">
        <v>0</v>
      </c>
      <c r="R141" s="117">
        <v>0</v>
      </c>
      <c r="S141" s="117">
        <v>0</v>
      </c>
      <c r="T141" s="117">
        <v>0</v>
      </c>
      <c r="U141" s="117">
        <v>0</v>
      </c>
    </row>
    <row r="142" spans="1:21" ht="25.5" x14ac:dyDescent="0.25">
      <c r="A142" s="130">
        <v>124</v>
      </c>
      <c r="B142" s="103" t="s">
        <v>236</v>
      </c>
      <c r="C142" s="117">
        <f t="shared" si="2"/>
        <v>8</v>
      </c>
      <c r="D142" s="146">
        <v>0</v>
      </c>
      <c r="E142" s="146">
        <v>0</v>
      </c>
      <c r="F142" s="117">
        <v>0</v>
      </c>
      <c r="G142" s="117">
        <v>0</v>
      </c>
      <c r="H142" s="117">
        <v>0</v>
      </c>
      <c r="I142" s="117">
        <v>0</v>
      </c>
      <c r="J142" s="117">
        <v>8</v>
      </c>
      <c r="K142" s="117">
        <v>0</v>
      </c>
      <c r="L142" s="117">
        <v>0</v>
      </c>
      <c r="M142" s="117">
        <v>0</v>
      </c>
      <c r="N142" s="117">
        <v>0</v>
      </c>
      <c r="O142" s="117">
        <v>0</v>
      </c>
      <c r="P142" s="117">
        <v>0</v>
      </c>
      <c r="Q142" s="117">
        <v>0</v>
      </c>
      <c r="R142" s="117">
        <v>0</v>
      </c>
      <c r="S142" s="117">
        <v>0</v>
      </c>
      <c r="T142" s="117">
        <v>0</v>
      </c>
      <c r="U142" s="117">
        <v>0</v>
      </c>
    </row>
    <row r="143" spans="1:21" ht="25.5" x14ac:dyDescent="0.25">
      <c r="A143" s="130">
        <v>125</v>
      </c>
      <c r="B143" s="103" t="s">
        <v>237</v>
      </c>
      <c r="C143" s="117">
        <f t="shared" si="2"/>
        <v>8</v>
      </c>
      <c r="D143" s="146">
        <v>0</v>
      </c>
      <c r="E143" s="146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8</v>
      </c>
      <c r="K143" s="117">
        <v>0</v>
      </c>
      <c r="L143" s="117">
        <v>0</v>
      </c>
      <c r="M143" s="117">
        <v>0</v>
      </c>
      <c r="N143" s="117">
        <v>0</v>
      </c>
      <c r="O143" s="117">
        <v>0</v>
      </c>
      <c r="P143" s="117">
        <v>0</v>
      </c>
      <c r="Q143" s="117">
        <v>0</v>
      </c>
      <c r="R143" s="117">
        <v>0</v>
      </c>
      <c r="S143" s="117">
        <v>0</v>
      </c>
      <c r="T143" s="117">
        <v>0</v>
      </c>
      <c r="U143" s="117">
        <v>0</v>
      </c>
    </row>
    <row r="144" spans="1:21" x14ac:dyDescent="0.25">
      <c r="A144" s="130">
        <v>126</v>
      </c>
      <c r="B144" s="103" t="s">
        <v>74</v>
      </c>
      <c r="C144" s="117">
        <f t="shared" si="2"/>
        <v>217195</v>
      </c>
      <c r="D144" s="146">
        <v>0</v>
      </c>
      <c r="E144" s="146">
        <v>0</v>
      </c>
      <c r="F144" s="117">
        <v>0</v>
      </c>
      <c r="G144" s="117">
        <v>0</v>
      </c>
      <c r="H144" s="117">
        <v>0</v>
      </c>
      <c r="I144" s="117">
        <v>0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217195</v>
      </c>
      <c r="P144" s="117">
        <v>0</v>
      </c>
      <c r="Q144" s="117">
        <v>0</v>
      </c>
      <c r="R144" s="117">
        <v>0</v>
      </c>
      <c r="S144" s="117">
        <v>0</v>
      </c>
      <c r="T144" s="117">
        <v>0</v>
      </c>
      <c r="U144" s="117">
        <v>0</v>
      </c>
    </row>
    <row r="145" spans="1:21" x14ac:dyDescent="0.25">
      <c r="A145" s="130">
        <v>127</v>
      </c>
      <c r="B145" s="103" t="s">
        <v>79</v>
      </c>
      <c r="C145" s="117">
        <f t="shared" si="2"/>
        <v>130000</v>
      </c>
      <c r="D145" s="146">
        <v>0</v>
      </c>
      <c r="E145" s="146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17">
        <v>130000</v>
      </c>
      <c r="P145" s="117">
        <v>0</v>
      </c>
      <c r="Q145" s="117">
        <v>0</v>
      </c>
      <c r="R145" s="117">
        <v>0</v>
      </c>
      <c r="S145" s="117">
        <v>0</v>
      </c>
      <c r="T145" s="117">
        <v>0</v>
      </c>
      <c r="U145" s="117">
        <v>0</v>
      </c>
    </row>
    <row r="146" spans="1:21" x14ac:dyDescent="0.25">
      <c r="A146" s="130">
        <v>128</v>
      </c>
      <c r="B146" s="103" t="s">
        <v>80</v>
      </c>
      <c r="C146" s="117">
        <f t="shared" si="2"/>
        <v>85000</v>
      </c>
      <c r="D146" s="146">
        <v>0</v>
      </c>
      <c r="E146" s="146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85000</v>
      </c>
      <c r="P146" s="117">
        <v>0</v>
      </c>
      <c r="Q146" s="117">
        <v>0</v>
      </c>
      <c r="R146" s="117">
        <v>0</v>
      </c>
      <c r="S146" s="117">
        <v>0</v>
      </c>
      <c r="T146" s="117">
        <v>0</v>
      </c>
      <c r="U146" s="117">
        <v>0</v>
      </c>
    </row>
    <row r="147" spans="1:21" x14ac:dyDescent="0.25">
      <c r="A147" s="130">
        <v>129</v>
      </c>
      <c r="B147" s="103" t="s">
        <v>63</v>
      </c>
      <c r="C147" s="117">
        <f t="shared" si="2"/>
        <v>113400</v>
      </c>
      <c r="D147" s="146">
        <v>0</v>
      </c>
      <c r="E147" s="146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113400</v>
      </c>
      <c r="P147" s="117">
        <v>0</v>
      </c>
      <c r="Q147" s="117">
        <v>0</v>
      </c>
      <c r="R147" s="117">
        <v>0</v>
      </c>
      <c r="S147" s="117">
        <v>0</v>
      </c>
      <c r="T147" s="117">
        <v>0</v>
      </c>
      <c r="U147" s="117">
        <v>0</v>
      </c>
    </row>
    <row r="148" spans="1:21" x14ac:dyDescent="0.25">
      <c r="A148" s="130">
        <v>130</v>
      </c>
      <c r="B148" s="103" t="s">
        <v>75</v>
      </c>
      <c r="C148" s="117">
        <f t="shared" si="2"/>
        <v>8000</v>
      </c>
      <c r="D148" s="146">
        <v>0</v>
      </c>
      <c r="E148" s="146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8000</v>
      </c>
      <c r="P148" s="117">
        <v>0</v>
      </c>
      <c r="Q148" s="117">
        <v>0</v>
      </c>
      <c r="R148" s="117">
        <v>0</v>
      </c>
      <c r="S148" s="117">
        <v>0</v>
      </c>
      <c r="T148" s="117">
        <v>0</v>
      </c>
      <c r="U148" s="117">
        <v>0</v>
      </c>
    </row>
    <row r="149" spans="1:21" x14ac:dyDescent="0.25">
      <c r="A149" s="130">
        <v>131</v>
      </c>
      <c r="B149" s="103" t="s">
        <v>96</v>
      </c>
      <c r="C149" s="117">
        <f t="shared" si="2"/>
        <v>65356</v>
      </c>
      <c r="D149" s="146">
        <v>0</v>
      </c>
      <c r="E149" s="146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65356</v>
      </c>
      <c r="P149" s="117">
        <v>0</v>
      </c>
      <c r="Q149" s="117">
        <v>0</v>
      </c>
      <c r="R149" s="117">
        <v>0</v>
      </c>
      <c r="S149" s="117">
        <v>0</v>
      </c>
      <c r="T149" s="117">
        <v>0</v>
      </c>
      <c r="U149" s="117">
        <v>0</v>
      </c>
    </row>
    <row r="150" spans="1:21" x14ac:dyDescent="0.25">
      <c r="A150" s="130">
        <v>132</v>
      </c>
      <c r="B150" s="103" t="s">
        <v>76</v>
      </c>
      <c r="C150" s="117">
        <f t="shared" si="2"/>
        <v>57642</v>
      </c>
      <c r="D150" s="146">
        <v>0</v>
      </c>
      <c r="E150" s="146">
        <v>0</v>
      </c>
      <c r="F150" s="117">
        <v>0</v>
      </c>
      <c r="G150" s="117">
        <v>0</v>
      </c>
      <c r="H150" s="117">
        <v>21500</v>
      </c>
      <c r="I150" s="117">
        <v>0</v>
      </c>
      <c r="J150" s="117">
        <v>22142</v>
      </c>
      <c r="K150" s="117">
        <v>0</v>
      </c>
      <c r="L150" s="117">
        <v>0</v>
      </c>
      <c r="M150" s="117">
        <v>0</v>
      </c>
      <c r="N150" s="117">
        <v>0</v>
      </c>
      <c r="O150" s="117">
        <v>4000</v>
      </c>
      <c r="P150" s="117">
        <v>0</v>
      </c>
      <c r="Q150" s="117">
        <v>0</v>
      </c>
      <c r="R150" s="117">
        <v>0</v>
      </c>
      <c r="S150" s="117">
        <v>10000</v>
      </c>
      <c r="T150" s="117">
        <v>0</v>
      </c>
      <c r="U150" s="117">
        <v>0</v>
      </c>
    </row>
    <row r="151" spans="1:21" x14ac:dyDescent="0.25">
      <c r="A151" s="130">
        <v>133</v>
      </c>
      <c r="B151" s="103" t="s">
        <v>102</v>
      </c>
      <c r="C151" s="117">
        <f t="shared" si="2"/>
        <v>91000</v>
      </c>
      <c r="D151" s="146">
        <v>0</v>
      </c>
      <c r="E151" s="146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91000</v>
      </c>
      <c r="P151" s="117">
        <v>0</v>
      </c>
      <c r="Q151" s="117">
        <v>0</v>
      </c>
      <c r="R151" s="117">
        <v>0</v>
      </c>
      <c r="S151" s="117">
        <v>0</v>
      </c>
      <c r="T151" s="117">
        <v>0</v>
      </c>
      <c r="U151" s="117">
        <v>0</v>
      </c>
    </row>
    <row r="152" spans="1:21" x14ac:dyDescent="0.25">
      <c r="A152" s="130">
        <v>134</v>
      </c>
      <c r="B152" s="103" t="s">
        <v>103</v>
      </c>
      <c r="C152" s="117">
        <f t="shared" si="2"/>
        <v>10328</v>
      </c>
      <c r="D152" s="146">
        <v>0</v>
      </c>
      <c r="E152" s="146">
        <v>0</v>
      </c>
      <c r="F152" s="117">
        <v>0</v>
      </c>
      <c r="G152" s="117">
        <v>0</v>
      </c>
      <c r="H152" s="117">
        <v>0</v>
      </c>
      <c r="I152" s="117">
        <v>10178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150</v>
      </c>
      <c r="P152" s="117">
        <v>0</v>
      </c>
      <c r="Q152" s="117">
        <v>0</v>
      </c>
      <c r="R152" s="117">
        <v>0</v>
      </c>
      <c r="S152" s="117">
        <v>0</v>
      </c>
      <c r="T152" s="117">
        <v>0</v>
      </c>
      <c r="U152" s="117">
        <v>0</v>
      </c>
    </row>
    <row r="153" spans="1:21" x14ac:dyDescent="0.25">
      <c r="A153" s="130">
        <v>135</v>
      </c>
      <c r="B153" s="103" t="s">
        <v>81</v>
      </c>
      <c r="C153" s="117">
        <f t="shared" si="2"/>
        <v>57592</v>
      </c>
      <c r="D153" s="146">
        <v>0</v>
      </c>
      <c r="E153" s="146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f>3075+200</f>
        <v>3275</v>
      </c>
      <c r="L153" s="117">
        <v>1317</v>
      </c>
      <c r="M153" s="117">
        <v>0</v>
      </c>
      <c r="N153" s="117">
        <v>0</v>
      </c>
      <c r="O153" s="117">
        <v>53000</v>
      </c>
      <c r="P153" s="117">
        <v>0</v>
      </c>
      <c r="Q153" s="117">
        <v>0</v>
      </c>
      <c r="R153" s="117">
        <v>0</v>
      </c>
      <c r="S153" s="117">
        <v>0</v>
      </c>
      <c r="T153" s="117">
        <v>0</v>
      </c>
      <c r="U153" s="117">
        <v>0</v>
      </c>
    </row>
    <row r="154" spans="1:21" x14ac:dyDescent="0.25">
      <c r="A154" s="130">
        <v>136</v>
      </c>
      <c r="B154" s="103" t="s">
        <v>64</v>
      </c>
      <c r="C154" s="117">
        <f t="shared" si="2"/>
        <v>1009</v>
      </c>
      <c r="D154" s="146">
        <v>0</v>
      </c>
      <c r="E154" s="146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1009</v>
      </c>
      <c r="P154" s="117">
        <v>0</v>
      </c>
      <c r="Q154" s="117">
        <v>0</v>
      </c>
      <c r="R154" s="117">
        <v>0</v>
      </c>
      <c r="S154" s="117">
        <v>0</v>
      </c>
      <c r="T154" s="117">
        <v>0</v>
      </c>
      <c r="U154" s="117">
        <v>0</v>
      </c>
    </row>
    <row r="155" spans="1:21" x14ac:dyDescent="0.25">
      <c r="A155" s="421">
        <v>137</v>
      </c>
      <c r="B155" s="103" t="s">
        <v>77</v>
      </c>
      <c r="C155" s="117">
        <f t="shared" si="2"/>
        <v>75757</v>
      </c>
      <c r="D155" s="146">
        <v>554</v>
      </c>
      <c r="E155" s="147">
        <v>1304</v>
      </c>
      <c r="F155" s="117">
        <v>11702</v>
      </c>
      <c r="G155" s="117">
        <v>19151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6437</v>
      </c>
      <c r="N155" s="117">
        <v>15198</v>
      </c>
      <c r="O155" s="117">
        <v>4030</v>
      </c>
      <c r="P155" s="117">
        <v>0</v>
      </c>
      <c r="Q155" s="117">
        <v>0</v>
      </c>
      <c r="R155" s="117">
        <v>4000</v>
      </c>
      <c r="S155" s="117">
        <v>0</v>
      </c>
      <c r="T155" s="117">
        <v>6226</v>
      </c>
      <c r="U155" s="117">
        <v>7155</v>
      </c>
    </row>
    <row r="156" spans="1:21" ht="51.75" x14ac:dyDescent="0.25">
      <c r="A156" s="422"/>
      <c r="B156" s="110" t="s">
        <v>255</v>
      </c>
      <c r="C156" s="117">
        <f t="shared" si="2"/>
        <v>159645</v>
      </c>
      <c r="D156" s="146">
        <v>949</v>
      </c>
      <c r="E156" s="147">
        <v>1906</v>
      </c>
      <c r="F156" s="117">
        <v>6276</v>
      </c>
      <c r="G156" s="117">
        <v>59850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3692</v>
      </c>
      <c r="N156" s="117">
        <v>47656</v>
      </c>
      <c r="O156" s="117">
        <v>0</v>
      </c>
      <c r="P156" s="117">
        <v>0</v>
      </c>
      <c r="Q156" s="117">
        <v>2376</v>
      </c>
      <c r="R156" s="117">
        <v>0</v>
      </c>
      <c r="S156" s="117">
        <v>0</v>
      </c>
      <c r="T156" s="117">
        <v>4237</v>
      </c>
      <c r="U156" s="117">
        <v>32703</v>
      </c>
    </row>
    <row r="157" spans="1:21" x14ac:dyDescent="0.25">
      <c r="A157" s="421">
        <v>138</v>
      </c>
      <c r="B157" s="103" t="s">
        <v>256</v>
      </c>
      <c r="C157" s="117">
        <f t="shared" si="2"/>
        <v>3000</v>
      </c>
      <c r="D157" s="146">
        <v>0</v>
      </c>
      <c r="E157" s="146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3000</v>
      </c>
      <c r="P157" s="117">
        <v>0</v>
      </c>
      <c r="Q157" s="117">
        <v>0</v>
      </c>
      <c r="R157" s="117">
        <v>0</v>
      </c>
      <c r="S157" s="117">
        <v>0</v>
      </c>
      <c r="T157" s="117">
        <v>0</v>
      </c>
      <c r="U157" s="117">
        <v>0</v>
      </c>
    </row>
    <row r="158" spans="1:21" ht="63.75" x14ac:dyDescent="0.25">
      <c r="A158" s="422"/>
      <c r="B158" s="111" t="s">
        <v>257</v>
      </c>
      <c r="C158" s="117">
        <f t="shared" si="2"/>
        <v>1442</v>
      </c>
      <c r="D158" s="146">
        <v>0</v>
      </c>
      <c r="E158" s="146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1442</v>
      </c>
      <c r="P158" s="117">
        <v>0</v>
      </c>
      <c r="Q158" s="117">
        <v>0</v>
      </c>
      <c r="R158" s="117">
        <v>0</v>
      </c>
      <c r="S158" s="117">
        <v>0</v>
      </c>
      <c r="T158" s="117">
        <v>0</v>
      </c>
      <c r="U158" s="117">
        <v>0</v>
      </c>
    </row>
    <row r="159" spans="1:21" x14ac:dyDescent="0.25">
      <c r="A159" s="130">
        <v>139</v>
      </c>
      <c r="B159" s="103" t="s">
        <v>239</v>
      </c>
      <c r="C159" s="117">
        <f t="shared" si="2"/>
        <v>9830</v>
      </c>
      <c r="D159" s="146">
        <v>0</v>
      </c>
      <c r="E159" s="146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9830</v>
      </c>
      <c r="P159" s="117">
        <v>0</v>
      </c>
      <c r="Q159" s="117">
        <v>0</v>
      </c>
      <c r="R159" s="117">
        <v>0</v>
      </c>
      <c r="S159" s="117">
        <v>0</v>
      </c>
      <c r="T159" s="117">
        <v>0</v>
      </c>
      <c r="U159" s="117">
        <v>0</v>
      </c>
    </row>
    <row r="160" spans="1:21" x14ac:dyDescent="0.25">
      <c r="A160" s="130">
        <v>140</v>
      </c>
      <c r="B160" s="112" t="s">
        <v>154</v>
      </c>
      <c r="C160" s="117">
        <f t="shared" si="2"/>
        <v>26480</v>
      </c>
      <c r="D160" s="146">
        <v>0</v>
      </c>
      <c r="E160" s="146">
        <v>0</v>
      </c>
      <c r="F160" s="117">
        <v>0</v>
      </c>
      <c r="G160" s="117">
        <v>0</v>
      </c>
      <c r="H160" s="117">
        <v>2648</v>
      </c>
      <c r="I160" s="117">
        <v>0</v>
      </c>
      <c r="J160" s="117">
        <v>23832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17">
        <v>0</v>
      </c>
      <c r="Q160" s="117">
        <v>0</v>
      </c>
      <c r="R160" s="117">
        <v>0</v>
      </c>
      <c r="S160" s="117">
        <v>0</v>
      </c>
      <c r="T160" s="117">
        <v>0</v>
      </c>
      <c r="U160" s="117">
        <v>0</v>
      </c>
    </row>
    <row r="161" spans="1:21" x14ac:dyDescent="0.25">
      <c r="A161" s="130">
        <v>141</v>
      </c>
      <c r="B161" s="113" t="s">
        <v>151</v>
      </c>
      <c r="C161" s="117">
        <f t="shared" si="2"/>
        <v>10080</v>
      </c>
      <c r="D161" s="146">
        <v>0</v>
      </c>
      <c r="E161" s="146">
        <v>0</v>
      </c>
      <c r="F161" s="117">
        <v>0</v>
      </c>
      <c r="G161" s="117">
        <v>0</v>
      </c>
      <c r="H161" s="117">
        <v>1008</v>
      </c>
      <c r="I161" s="117">
        <v>0</v>
      </c>
      <c r="J161" s="117">
        <v>9072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17">
        <v>0</v>
      </c>
      <c r="Q161" s="117">
        <v>0</v>
      </c>
      <c r="R161" s="117">
        <v>0</v>
      </c>
      <c r="S161" s="117">
        <v>0</v>
      </c>
      <c r="T161" s="117">
        <v>0</v>
      </c>
      <c r="U161" s="117">
        <v>0</v>
      </c>
    </row>
    <row r="162" spans="1:21" x14ac:dyDescent="0.25">
      <c r="A162" s="130">
        <v>142</v>
      </c>
      <c r="B162" s="114" t="s">
        <v>258</v>
      </c>
      <c r="C162" s="117">
        <f t="shared" si="2"/>
        <v>5480</v>
      </c>
      <c r="D162" s="146">
        <v>0</v>
      </c>
      <c r="E162" s="146">
        <v>0</v>
      </c>
      <c r="F162" s="117">
        <v>0</v>
      </c>
      <c r="G162" s="117">
        <v>0</v>
      </c>
      <c r="H162" s="117">
        <v>548</v>
      </c>
      <c r="I162" s="117">
        <v>0</v>
      </c>
      <c r="J162" s="117">
        <v>4932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17">
        <v>0</v>
      </c>
      <c r="Q162" s="117">
        <v>0</v>
      </c>
      <c r="R162" s="117">
        <v>0</v>
      </c>
      <c r="S162" s="117">
        <v>0</v>
      </c>
      <c r="T162" s="117">
        <v>0</v>
      </c>
      <c r="U162" s="117">
        <v>0</v>
      </c>
    </row>
    <row r="163" spans="1:21" x14ac:dyDescent="0.25">
      <c r="A163" s="130">
        <v>143</v>
      </c>
      <c r="B163" s="113" t="s">
        <v>259</v>
      </c>
      <c r="C163" s="117">
        <f t="shared" si="2"/>
        <v>2600</v>
      </c>
      <c r="D163" s="146">
        <v>0</v>
      </c>
      <c r="E163" s="146">
        <v>0</v>
      </c>
      <c r="F163" s="117">
        <v>0</v>
      </c>
      <c r="G163" s="117">
        <v>0</v>
      </c>
      <c r="H163" s="117">
        <v>260</v>
      </c>
      <c r="I163" s="117">
        <v>0</v>
      </c>
      <c r="J163" s="117">
        <v>2340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17">
        <v>0</v>
      </c>
      <c r="Q163" s="117">
        <v>0</v>
      </c>
      <c r="R163" s="117">
        <v>0</v>
      </c>
      <c r="S163" s="117">
        <v>0</v>
      </c>
      <c r="T163" s="117">
        <v>0</v>
      </c>
      <c r="U163" s="117">
        <v>0</v>
      </c>
    </row>
    <row r="164" spans="1:21" x14ac:dyDescent="0.25">
      <c r="A164" s="130">
        <v>144</v>
      </c>
      <c r="B164" s="103" t="s">
        <v>260</v>
      </c>
      <c r="C164" s="117">
        <f t="shared" si="2"/>
        <v>640</v>
      </c>
      <c r="D164" s="146">
        <v>0</v>
      </c>
      <c r="E164" s="146">
        <v>0</v>
      </c>
      <c r="F164" s="117">
        <v>0</v>
      </c>
      <c r="G164" s="117">
        <v>0</v>
      </c>
      <c r="H164" s="117">
        <v>64</v>
      </c>
      <c r="I164" s="117">
        <v>0</v>
      </c>
      <c r="J164" s="117">
        <v>576</v>
      </c>
      <c r="K164" s="117">
        <v>0</v>
      </c>
      <c r="L164" s="117">
        <v>0</v>
      </c>
      <c r="M164" s="117">
        <v>0</v>
      </c>
      <c r="N164" s="117">
        <v>0</v>
      </c>
      <c r="O164" s="117">
        <v>0</v>
      </c>
      <c r="P164" s="117">
        <v>0</v>
      </c>
      <c r="Q164" s="117">
        <v>0</v>
      </c>
      <c r="R164" s="117">
        <v>0</v>
      </c>
      <c r="S164" s="117">
        <v>0</v>
      </c>
      <c r="T164" s="117">
        <v>0</v>
      </c>
      <c r="U164" s="117">
        <v>0</v>
      </c>
    </row>
    <row r="165" spans="1:21" ht="25.5" x14ac:dyDescent="0.25">
      <c r="A165" s="124"/>
      <c r="B165" s="103" t="s">
        <v>65</v>
      </c>
      <c r="C165" s="117">
        <f>302720-200</f>
        <v>302520</v>
      </c>
      <c r="D165" s="146">
        <v>0</v>
      </c>
      <c r="E165" s="146">
        <v>0</v>
      </c>
      <c r="F165" s="117">
        <v>0</v>
      </c>
      <c r="G165" s="117">
        <v>0</v>
      </c>
      <c r="H165" s="117">
        <v>484</v>
      </c>
      <c r="I165" s="117">
        <v>0</v>
      </c>
      <c r="J165" s="117">
        <f>4388-200</f>
        <v>4188</v>
      </c>
      <c r="K165" s="117">
        <v>0</v>
      </c>
      <c r="L165" s="117">
        <v>0</v>
      </c>
      <c r="M165" s="117">
        <v>266248</v>
      </c>
      <c r="N165" s="117">
        <v>0</v>
      </c>
      <c r="O165" s="117">
        <v>0</v>
      </c>
      <c r="P165" s="117">
        <v>0</v>
      </c>
      <c r="Q165" s="117">
        <v>0</v>
      </c>
      <c r="R165" s="117">
        <v>0</v>
      </c>
      <c r="S165" s="117">
        <v>0</v>
      </c>
      <c r="T165" s="117">
        <v>0</v>
      </c>
      <c r="U165" s="117">
        <v>0</v>
      </c>
    </row>
    <row r="166" spans="1:21" x14ac:dyDescent="0.25">
      <c r="A166" s="125"/>
      <c r="B166" s="125" t="s">
        <v>87</v>
      </c>
      <c r="C166" s="126">
        <f>SUM(C10:C165)</f>
        <v>10341098</v>
      </c>
      <c r="D166" s="126">
        <f t="shared" ref="D166:U166" si="3">SUM(D10:D165)</f>
        <v>45787</v>
      </c>
      <c r="E166" s="126">
        <f t="shared" si="3"/>
        <v>105494</v>
      </c>
      <c r="F166" s="126">
        <f t="shared" si="3"/>
        <v>286853</v>
      </c>
      <c r="G166" s="126">
        <f t="shared" si="3"/>
        <v>2435131</v>
      </c>
      <c r="H166" s="126">
        <f t="shared" si="3"/>
        <v>59926</v>
      </c>
      <c r="I166" s="126">
        <f t="shared" si="3"/>
        <v>205160</v>
      </c>
      <c r="J166" s="126">
        <f t="shared" si="3"/>
        <v>177400</v>
      </c>
      <c r="K166" s="126">
        <f t="shared" si="3"/>
        <v>39151</v>
      </c>
      <c r="L166" s="126">
        <f t="shared" si="3"/>
        <v>16681</v>
      </c>
      <c r="M166" s="126">
        <f t="shared" si="3"/>
        <v>791309</v>
      </c>
      <c r="N166" s="126">
        <f t="shared" si="3"/>
        <v>2360860</v>
      </c>
      <c r="O166" s="126">
        <f t="shared" si="3"/>
        <v>807629</v>
      </c>
      <c r="P166" s="126">
        <f t="shared" si="3"/>
        <v>42275</v>
      </c>
      <c r="Q166" s="126">
        <f t="shared" si="3"/>
        <v>147559</v>
      </c>
      <c r="R166" s="126">
        <f t="shared" si="3"/>
        <v>431356</v>
      </c>
      <c r="S166" s="126">
        <f t="shared" si="3"/>
        <v>42515</v>
      </c>
      <c r="T166" s="126">
        <f t="shared" si="3"/>
        <v>281371</v>
      </c>
      <c r="U166" s="126">
        <f t="shared" si="3"/>
        <v>2033041</v>
      </c>
    </row>
    <row r="167" spans="1:21" x14ac:dyDescent="0.25">
      <c r="A167" s="115"/>
      <c r="B167" s="115"/>
    </row>
    <row r="168" spans="1:21" x14ac:dyDescent="0.25">
      <c r="C168" s="118"/>
      <c r="J168" s="118"/>
    </row>
    <row r="169" spans="1:21" x14ac:dyDescent="0.25">
      <c r="F169" s="118"/>
      <c r="G169" s="118"/>
      <c r="J169" s="118"/>
      <c r="M169" s="118"/>
    </row>
    <row r="170" spans="1:21" x14ac:dyDescent="0.25">
      <c r="F170" s="118"/>
      <c r="G170" s="118"/>
      <c r="J170" s="118"/>
    </row>
    <row r="171" spans="1:21" x14ac:dyDescent="0.25">
      <c r="F171" s="118"/>
    </row>
    <row r="172" spans="1:21" x14ac:dyDescent="0.25">
      <c r="A172" s="116"/>
      <c r="B172" s="116"/>
      <c r="F172" s="118"/>
    </row>
    <row r="173" spans="1:21" x14ac:dyDescent="0.25">
      <c r="A173" s="116"/>
      <c r="B173" s="116"/>
      <c r="F173" s="118"/>
      <c r="J173" s="118"/>
    </row>
  </sheetData>
  <mergeCells count="32">
    <mergeCell ref="T6:U7"/>
    <mergeCell ref="K7:K8"/>
    <mergeCell ref="L7:L8"/>
    <mergeCell ref="A14:A15"/>
    <mergeCell ref="A36:A37"/>
    <mergeCell ref="O6:O8"/>
    <mergeCell ref="P6:P8"/>
    <mergeCell ref="Q6:R7"/>
    <mergeCell ref="S6:S8"/>
    <mergeCell ref="A157:A158"/>
    <mergeCell ref="A39:A40"/>
    <mergeCell ref="A47:A49"/>
    <mergeCell ref="A52:A53"/>
    <mergeCell ref="A111:A112"/>
    <mergeCell ref="A116:A117"/>
    <mergeCell ref="A155:A156"/>
    <mergeCell ref="B1:T1"/>
    <mergeCell ref="A3:A8"/>
    <mergeCell ref="B3:B8"/>
    <mergeCell ref="C3:C8"/>
    <mergeCell ref="D3:U3"/>
    <mergeCell ref="D4:E7"/>
    <mergeCell ref="F4:H5"/>
    <mergeCell ref="I4:I8"/>
    <mergeCell ref="J4:O5"/>
    <mergeCell ref="P4:R5"/>
    <mergeCell ref="S4:U5"/>
    <mergeCell ref="F6:G7"/>
    <mergeCell ref="H6:H8"/>
    <mergeCell ref="J6:J8"/>
    <mergeCell ref="K6:L6"/>
    <mergeCell ref="M6:N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41"/>
  <sheetViews>
    <sheetView zoomScale="80" zoomScaleNormal="80" zoomScaleSheetLayoutView="77" workbookViewId="0">
      <pane xSplit="2" ySplit="8" topLeftCell="C132" activePane="bottomRight" state="frozen"/>
      <selection activeCell="U73" sqref="U73"/>
      <selection pane="topRight" activeCell="U73" sqref="U73"/>
      <selection pane="bottomLeft" activeCell="U73" sqref="U73"/>
      <selection pane="bottomRight" activeCell="H144" sqref="H144"/>
    </sheetView>
  </sheetViews>
  <sheetFormatPr defaultRowHeight="18.75" x14ac:dyDescent="0.25"/>
  <cols>
    <col min="1" max="1" width="7.42578125" style="311" customWidth="1"/>
    <col min="2" max="2" width="54" style="312" customWidth="1"/>
    <col min="3" max="3" width="14.140625" style="313" customWidth="1"/>
    <col min="4" max="4" width="12.28515625" style="311" customWidth="1"/>
    <col min="5" max="5" width="12.42578125" style="311" customWidth="1"/>
    <col min="6" max="6" width="15" style="311" customWidth="1"/>
    <col min="7" max="7" width="14.85546875" style="311" customWidth="1"/>
    <col min="8" max="8" width="13.42578125" style="311" customWidth="1"/>
    <col min="9" max="9" width="12" style="311" customWidth="1"/>
    <col min="10" max="10" width="12.140625" style="311" customWidth="1"/>
    <col min="11" max="11" width="12.5703125" style="311" customWidth="1"/>
    <col min="12" max="12" width="10.5703125" style="311" customWidth="1"/>
    <col min="13" max="13" width="11.42578125" style="311" customWidth="1"/>
    <col min="14" max="14" width="10.42578125" style="311" customWidth="1"/>
    <col min="15" max="15" width="14.7109375" style="311" customWidth="1"/>
    <col min="16" max="16384" width="9.140625" style="311"/>
  </cols>
  <sheetData>
    <row r="1" spans="1:16" s="310" customFormat="1" ht="11.25" customHeight="1" x14ac:dyDescent="0.25">
      <c r="A1" s="307"/>
      <c r="B1" s="308"/>
      <c r="C1" s="309"/>
    </row>
    <row r="2" spans="1:16" ht="27.75" customHeight="1" x14ac:dyDescent="0.25">
      <c r="A2" s="428" t="s">
        <v>544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6" ht="14.25" customHeight="1" x14ac:dyDescent="0.25"/>
    <row r="4" spans="1:16" ht="14.25" customHeight="1" x14ac:dyDescent="0.25">
      <c r="A4" s="426" t="s">
        <v>0</v>
      </c>
      <c r="B4" s="426" t="s">
        <v>369</v>
      </c>
      <c r="C4" s="426" t="s">
        <v>493</v>
      </c>
      <c r="D4" s="432" t="s">
        <v>494</v>
      </c>
      <c r="E4" s="433"/>
      <c r="F4" s="433"/>
      <c r="G4" s="433"/>
      <c r="H4" s="434"/>
      <c r="I4" s="435" t="s">
        <v>495</v>
      </c>
      <c r="J4" s="435"/>
      <c r="K4" s="435"/>
      <c r="L4" s="435"/>
      <c r="M4" s="435"/>
      <c r="N4" s="435"/>
      <c r="O4" s="435"/>
    </row>
    <row r="5" spans="1:16" ht="21" customHeight="1" x14ac:dyDescent="0.25">
      <c r="A5" s="430"/>
      <c r="B5" s="430"/>
      <c r="C5" s="430"/>
      <c r="D5" s="429" t="s">
        <v>496</v>
      </c>
      <c r="E5" s="436" t="s">
        <v>497</v>
      </c>
      <c r="F5" s="437"/>
      <c r="G5" s="437"/>
      <c r="H5" s="438"/>
      <c r="I5" s="429" t="s">
        <v>498</v>
      </c>
      <c r="J5" s="429" t="s">
        <v>499</v>
      </c>
      <c r="K5" s="429"/>
      <c r="L5" s="429"/>
      <c r="M5" s="429"/>
      <c r="N5" s="429"/>
      <c r="O5" s="429"/>
    </row>
    <row r="6" spans="1:16" ht="36.75" customHeight="1" x14ac:dyDescent="0.25">
      <c r="A6" s="430"/>
      <c r="B6" s="430"/>
      <c r="C6" s="430"/>
      <c r="D6" s="429"/>
      <c r="E6" s="426" t="s">
        <v>500</v>
      </c>
      <c r="F6" s="314" t="s">
        <v>497</v>
      </c>
      <c r="G6" s="429" t="s">
        <v>501</v>
      </c>
      <c r="H6" s="429"/>
      <c r="I6" s="429"/>
      <c r="J6" s="429" t="s">
        <v>502</v>
      </c>
      <c r="K6" s="429"/>
      <c r="L6" s="429"/>
      <c r="M6" s="429"/>
      <c r="N6" s="431" t="s">
        <v>503</v>
      </c>
      <c r="O6" s="431"/>
    </row>
    <row r="7" spans="1:16" ht="58.5" customHeight="1" x14ac:dyDescent="0.25">
      <c r="A7" s="430"/>
      <c r="B7" s="430"/>
      <c r="C7" s="430"/>
      <c r="D7" s="429"/>
      <c r="E7" s="430"/>
      <c r="F7" s="426" t="s">
        <v>504</v>
      </c>
      <c r="G7" s="429"/>
      <c r="H7" s="429"/>
      <c r="I7" s="429"/>
      <c r="J7" s="429" t="s">
        <v>501</v>
      </c>
      <c r="K7" s="429"/>
      <c r="L7" s="431" t="s">
        <v>505</v>
      </c>
      <c r="M7" s="431" t="s">
        <v>506</v>
      </c>
      <c r="N7" s="431" t="s">
        <v>507</v>
      </c>
      <c r="O7" s="431" t="s">
        <v>165</v>
      </c>
    </row>
    <row r="8" spans="1:16" ht="70.5" customHeight="1" x14ac:dyDescent="0.25">
      <c r="A8" s="427"/>
      <c r="B8" s="427"/>
      <c r="C8" s="427"/>
      <c r="D8" s="429"/>
      <c r="E8" s="427"/>
      <c r="F8" s="427"/>
      <c r="G8" s="314" t="s">
        <v>508</v>
      </c>
      <c r="H8" s="314" t="s">
        <v>509</v>
      </c>
      <c r="I8" s="429"/>
      <c r="J8" s="314" t="s">
        <v>508</v>
      </c>
      <c r="K8" s="314" t="s">
        <v>509</v>
      </c>
      <c r="L8" s="431"/>
      <c r="M8" s="431"/>
      <c r="N8" s="431"/>
      <c r="O8" s="431"/>
    </row>
    <row r="9" spans="1:16" ht="19.5" customHeight="1" x14ac:dyDescent="0.25">
      <c r="A9" s="314">
        <v>1</v>
      </c>
      <c r="B9" s="314">
        <v>2</v>
      </c>
      <c r="C9" s="314">
        <v>3</v>
      </c>
      <c r="D9" s="314">
        <v>4</v>
      </c>
      <c r="E9" s="314">
        <v>5</v>
      </c>
      <c r="F9" s="314">
        <v>6</v>
      </c>
      <c r="G9" s="314">
        <v>7</v>
      </c>
      <c r="H9" s="314">
        <v>8</v>
      </c>
      <c r="I9" s="314">
        <v>9</v>
      </c>
      <c r="J9" s="314">
        <v>10</v>
      </c>
      <c r="K9" s="314">
        <v>11</v>
      </c>
      <c r="L9" s="314">
        <v>12</v>
      </c>
      <c r="M9" s="314">
        <v>13</v>
      </c>
      <c r="N9" s="314">
        <v>14</v>
      </c>
      <c r="O9" s="314">
        <v>15</v>
      </c>
    </row>
    <row r="10" spans="1:16" ht="27" customHeight="1" x14ac:dyDescent="0.25">
      <c r="A10" s="314">
        <v>1</v>
      </c>
      <c r="B10" s="315" t="s">
        <v>1</v>
      </c>
      <c r="C10" s="314">
        <f>D10+I10</f>
        <v>21515</v>
      </c>
      <c r="D10" s="316">
        <f>E10+G10+H10</f>
        <v>5319</v>
      </c>
      <c r="E10" s="316">
        <v>5319</v>
      </c>
      <c r="F10" s="316">
        <v>830</v>
      </c>
      <c r="G10" s="316">
        <v>0</v>
      </c>
      <c r="H10" s="316"/>
      <c r="I10" s="316">
        <f>J10+K10+L10+M10+N10+O10</f>
        <v>16196</v>
      </c>
      <c r="J10" s="316"/>
      <c r="K10" s="316"/>
      <c r="L10" s="316"/>
      <c r="M10" s="316"/>
      <c r="N10" s="316">
        <v>1617</v>
      </c>
      <c r="O10" s="316">
        <v>14579</v>
      </c>
      <c r="P10" s="317"/>
    </row>
    <row r="11" spans="1:16" ht="27" customHeight="1" x14ac:dyDescent="0.25">
      <c r="A11" s="314">
        <v>2</v>
      </c>
      <c r="B11" s="315" t="s">
        <v>2</v>
      </c>
      <c r="C11" s="314">
        <f t="shared" ref="C11:C13" si="0">D11+I11</f>
        <v>20292</v>
      </c>
      <c r="D11" s="316">
        <f t="shared" ref="D11:D13" si="1">E11+G11+H11</f>
        <v>5065</v>
      </c>
      <c r="E11" s="316">
        <v>5065</v>
      </c>
      <c r="F11" s="316">
        <v>294</v>
      </c>
      <c r="G11" s="316">
        <v>0</v>
      </c>
      <c r="H11" s="316"/>
      <c r="I11" s="316">
        <f t="shared" ref="I11:I74" si="2">J11+K11+L11+M11+N11+O11</f>
        <v>15227</v>
      </c>
      <c r="J11" s="316"/>
      <c r="K11" s="316"/>
      <c r="L11" s="316"/>
      <c r="M11" s="316"/>
      <c r="N11" s="316">
        <v>1006</v>
      </c>
      <c r="O11" s="316">
        <v>14221</v>
      </c>
      <c r="P11" s="317"/>
    </row>
    <row r="12" spans="1:16" ht="27" customHeight="1" x14ac:dyDescent="0.25">
      <c r="A12" s="314">
        <v>3</v>
      </c>
      <c r="B12" s="315" t="s">
        <v>3</v>
      </c>
      <c r="C12" s="314">
        <f t="shared" si="0"/>
        <v>9126</v>
      </c>
      <c r="D12" s="316">
        <f t="shared" si="1"/>
        <v>2279</v>
      </c>
      <c r="E12" s="316">
        <v>2279</v>
      </c>
      <c r="F12" s="316">
        <v>494</v>
      </c>
      <c r="G12" s="316">
        <v>0</v>
      </c>
      <c r="H12" s="316"/>
      <c r="I12" s="316">
        <f t="shared" si="2"/>
        <v>6847</v>
      </c>
      <c r="J12" s="316"/>
      <c r="K12" s="316"/>
      <c r="L12" s="316"/>
      <c r="M12" s="316"/>
      <c r="N12" s="316">
        <v>2455</v>
      </c>
      <c r="O12" s="316">
        <v>4392</v>
      </c>
      <c r="P12" s="317"/>
    </row>
    <row r="13" spans="1:16" ht="27" customHeight="1" x14ac:dyDescent="0.25">
      <c r="A13" s="314">
        <v>4</v>
      </c>
      <c r="B13" s="315" t="s">
        <v>4</v>
      </c>
      <c r="C13" s="314">
        <f t="shared" si="0"/>
        <v>10315</v>
      </c>
      <c r="D13" s="316">
        <f t="shared" si="1"/>
        <v>2573</v>
      </c>
      <c r="E13" s="316">
        <v>2573</v>
      </c>
      <c r="F13" s="316">
        <v>118</v>
      </c>
      <c r="G13" s="316">
        <v>0</v>
      </c>
      <c r="H13" s="316"/>
      <c r="I13" s="316">
        <f t="shared" si="2"/>
        <v>7742</v>
      </c>
      <c r="J13" s="316"/>
      <c r="K13" s="316"/>
      <c r="L13" s="316"/>
      <c r="M13" s="316"/>
      <c r="N13" s="316">
        <v>57</v>
      </c>
      <c r="O13" s="316">
        <v>7685</v>
      </c>
      <c r="P13" s="317"/>
    </row>
    <row r="14" spans="1:16" ht="27" customHeight="1" x14ac:dyDescent="0.25">
      <c r="A14" s="314">
        <v>5</v>
      </c>
      <c r="B14" s="315" t="s">
        <v>5</v>
      </c>
      <c r="C14" s="314">
        <f>D14+I14</f>
        <v>17262</v>
      </c>
      <c r="D14" s="316">
        <f>E14+G14+H14</f>
        <v>3770</v>
      </c>
      <c r="E14" s="316">
        <v>3770</v>
      </c>
      <c r="F14" s="316">
        <v>289</v>
      </c>
      <c r="G14" s="316">
        <v>0</v>
      </c>
      <c r="H14" s="316"/>
      <c r="I14" s="316">
        <f t="shared" si="2"/>
        <v>13492</v>
      </c>
      <c r="J14" s="316"/>
      <c r="K14" s="316"/>
      <c r="L14" s="316"/>
      <c r="M14" s="316"/>
      <c r="N14" s="316">
        <v>536</v>
      </c>
      <c r="O14" s="316">
        <v>12956</v>
      </c>
      <c r="P14" s="317"/>
    </row>
    <row r="15" spans="1:16" ht="27" customHeight="1" x14ac:dyDescent="0.25">
      <c r="A15" s="314">
        <v>6</v>
      </c>
      <c r="B15" s="315" t="s">
        <v>6</v>
      </c>
      <c r="C15" s="314">
        <f t="shared" ref="C15:C78" si="3">D15+I15</f>
        <v>29089</v>
      </c>
      <c r="D15" s="316">
        <f t="shared" ref="D15:D78" si="4">E15+G15+H15</f>
        <v>7215</v>
      </c>
      <c r="E15" s="316">
        <v>7215</v>
      </c>
      <c r="F15" s="316">
        <v>786</v>
      </c>
      <c r="G15" s="316">
        <v>0</v>
      </c>
      <c r="H15" s="316"/>
      <c r="I15" s="316">
        <f t="shared" si="2"/>
        <v>21874</v>
      </c>
      <c r="J15" s="316"/>
      <c r="K15" s="316"/>
      <c r="L15" s="316"/>
      <c r="M15" s="316"/>
      <c r="N15" s="316">
        <v>3716</v>
      </c>
      <c r="O15" s="316">
        <v>18158</v>
      </c>
      <c r="P15" s="317"/>
    </row>
    <row r="16" spans="1:16" ht="27" customHeight="1" x14ac:dyDescent="0.25">
      <c r="A16" s="314">
        <v>7</v>
      </c>
      <c r="B16" s="315" t="s">
        <v>7</v>
      </c>
      <c r="C16" s="314">
        <f t="shared" si="3"/>
        <v>14157</v>
      </c>
      <c r="D16" s="316">
        <f t="shared" si="4"/>
        <v>3528</v>
      </c>
      <c r="E16" s="316">
        <v>3528</v>
      </c>
      <c r="F16" s="316">
        <v>1241</v>
      </c>
      <c r="G16" s="316">
        <v>0</v>
      </c>
      <c r="H16" s="316"/>
      <c r="I16" s="316">
        <f t="shared" si="2"/>
        <v>10629</v>
      </c>
      <c r="J16" s="316"/>
      <c r="K16" s="316"/>
      <c r="L16" s="316"/>
      <c r="M16" s="316"/>
      <c r="N16" s="316">
        <v>2889</v>
      </c>
      <c r="O16" s="316">
        <v>7740</v>
      </c>
      <c r="P16" s="317"/>
    </row>
    <row r="17" spans="1:16" ht="27" customHeight="1" x14ac:dyDescent="0.25">
      <c r="A17" s="314">
        <v>8</v>
      </c>
      <c r="B17" s="315" t="s">
        <v>8</v>
      </c>
      <c r="C17" s="314">
        <f t="shared" si="3"/>
        <v>10342</v>
      </c>
      <c r="D17" s="316">
        <f t="shared" si="4"/>
        <v>2577</v>
      </c>
      <c r="E17" s="316">
        <v>2577</v>
      </c>
      <c r="F17" s="316">
        <v>335</v>
      </c>
      <c r="G17" s="316">
        <v>0</v>
      </c>
      <c r="H17" s="316"/>
      <c r="I17" s="316">
        <f t="shared" si="2"/>
        <v>7765</v>
      </c>
      <c r="J17" s="316"/>
      <c r="K17" s="316"/>
      <c r="L17" s="316"/>
      <c r="M17" s="316"/>
      <c r="N17" s="316">
        <v>1335</v>
      </c>
      <c r="O17" s="316">
        <v>6430</v>
      </c>
      <c r="P17" s="317"/>
    </row>
    <row r="18" spans="1:16" ht="27" customHeight="1" x14ac:dyDescent="0.25">
      <c r="A18" s="314">
        <v>9</v>
      </c>
      <c r="B18" s="315" t="s">
        <v>9</v>
      </c>
      <c r="C18" s="314">
        <f t="shared" si="3"/>
        <v>48134</v>
      </c>
      <c r="D18" s="316">
        <f t="shared" si="4"/>
        <v>11977</v>
      </c>
      <c r="E18" s="316">
        <v>11977</v>
      </c>
      <c r="F18" s="316">
        <v>608</v>
      </c>
      <c r="G18" s="316">
        <v>0</v>
      </c>
      <c r="H18" s="316"/>
      <c r="I18" s="316">
        <f t="shared" si="2"/>
        <v>36157</v>
      </c>
      <c r="J18" s="316"/>
      <c r="K18" s="316"/>
      <c r="L18" s="316"/>
      <c r="M18" s="316"/>
      <c r="N18" s="316">
        <v>456</v>
      </c>
      <c r="O18" s="316">
        <v>35701</v>
      </c>
      <c r="P18" s="317"/>
    </row>
    <row r="19" spans="1:16" ht="27" customHeight="1" x14ac:dyDescent="0.25">
      <c r="A19" s="314">
        <v>10</v>
      </c>
      <c r="B19" s="315" t="s">
        <v>10</v>
      </c>
      <c r="C19" s="314">
        <f t="shared" si="3"/>
        <v>9562</v>
      </c>
      <c r="D19" s="316">
        <f t="shared" si="4"/>
        <v>2388</v>
      </c>
      <c r="E19" s="316">
        <v>2388</v>
      </c>
      <c r="F19" s="316">
        <v>2</v>
      </c>
      <c r="G19" s="316">
        <v>0</v>
      </c>
      <c r="H19" s="316"/>
      <c r="I19" s="316">
        <f t="shared" si="2"/>
        <v>7174</v>
      </c>
      <c r="J19" s="316"/>
      <c r="K19" s="316"/>
      <c r="L19" s="316"/>
      <c r="M19" s="316"/>
      <c r="N19" s="316">
        <v>28</v>
      </c>
      <c r="O19" s="316">
        <v>7146</v>
      </c>
      <c r="P19" s="317"/>
    </row>
    <row r="20" spans="1:16" ht="27" customHeight="1" x14ac:dyDescent="0.25">
      <c r="A20" s="314">
        <v>11</v>
      </c>
      <c r="B20" s="315" t="s">
        <v>11</v>
      </c>
      <c r="C20" s="314">
        <f t="shared" si="3"/>
        <v>53592</v>
      </c>
      <c r="D20" s="316">
        <f t="shared" si="4"/>
        <v>13390</v>
      </c>
      <c r="E20" s="316">
        <v>13390</v>
      </c>
      <c r="F20" s="316">
        <v>1847</v>
      </c>
      <c r="G20" s="316">
        <v>0</v>
      </c>
      <c r="H20" s="316"/>
      <c r="I20" s="316">
        <f t="shared" si="2"/>
        <v>40202</v>
      </c>
      <c r="J20" s="316"/>
      <c r="K20" s="316"/>
      <c r="L20" s="316"/>
      <c r="M20" s="316"/>
      <c r="N20" s="316">
        <v>4653</v>
      </c>
      <c r="O20" s="316">
        <v>35549</v>
      </c>
      <c r="P20" s="317"/>
    </row>
    <row r="21" spans="1:16" ht="27" customHeight="1" x14ac:dyDescent="0.25">
      <c r="A21" s="314">
        <v>12</v>
      </c>
      <c r="B21" s="315" t="s">
        <v>12</v>
      </c>
      <c r="C21" s="314">
        <f t="shared" si="3"/>
        <v>10682</v>
      </c>
      <c r="D21" s="316">
        <f t="shared" si="4"/>
        <v>2625</v>
      </c>
      <c r="E21" s="316">
        <v>2625</v>
      </c>
      <c r="F21" s="316">
        <v>262</v>
      </c>
      <c r="G21" s="316">
        <v>0</v>
      </c>
      <c r="H21" s="316"/>
      <c r="I21" s="316">
        <f t="shared" si="2"/>
        <v>8057</v>
      </c>
      <c r="J21" s="316"/>
      <c r="K21" s="316"/>
      <c r="L21" s="316"/>
      <c r="M21" s="316"/>
      <c r="N21" s="316">
        <v>1088</v>
      </c>
      <c r="O21" s="316">
        <v>6969</v>
      </c>
      <c r="P21" s="317"/>
    </row>
    <row r="22" spans="1:16" ht="27" customHeight="1" x14ac:dyDescent="0.25">
      <c r="A22" s="314">
        <v>13</v>
      </c>
      <c r="B22" s="315" t="s">
        <v>510</v>
      </c>
      <c r="C22" s="314">
        <f t="shared" si="3"/>
        <v>56</v>
      </c>
      <c r="D22" s="316">
        <f t="shared" si="4"/>
        <v>19</v>
      </c>
      <c r="E22" s="316">
        <v>19</v>
      </c>
      <c r="F22" s="316">
        <v>19</v>
      </c>
      <c r="G22" s="316">
        <v>0</v>
      </c>
      <c r="H22" s="316"/>
      <c r="I22" s="316">
        <f t="shared" si="2"/>
        <v>37</v>
      </c>
      <c r="J22" s="316"/>
      <c r="K22" s="316"/>
      <c r="L22" s="316"/>
      <c r="M22" s="316">
        <v>37</v>
      </c>
      <c r="N22" s="316"/>
      <c r="O22" s="316"/>
      <c r="P22" s="317"/>
    </row>
    <row r="23" spans="1:16" ht="27" customHeight="1" x14ac:dyDescent="0.25">
      <c r="A23" s="314">
        <v>14</v>
      </c>
      <c r="B23" s="315" t="s">
        <v>511</v>
      </c>
      <c r="C23" s="314">
        <f t="shared" si="3"/>
        <v>52</v>
      </c>
      <c r="D23" s="316">
        <f t="shared" si="4"/>
        <v>36</v>
      </c>
      <c r="E23" s="316">
        <v>36</v>
      </c>
      <c r="F23" s="316">
        <v>36</v>
      </c>
      <c r="G23" s="316">
        <v>0</v>
      </c>
      <c r="H23" s="316"/>
      <c r="I23" s="316">
        <f t="shared" si="2"/>
        <v>16</v>
      </c>
      <c r="J23" s="316"/>
      <c r="K23" s="316"/>
      <c r="L23" s="316"/>
      <c r="M23" s="316">
        <v>16</v>
      </c>
      <c r="N23" s="316"/>
      <c r="O23" s="316"/>
      <c r="P23" s="317"/>
    </row>
    <row r="24" spans="1:16" ht="27" customHeight="1" x14ac:dyDescent="0.25">
      <c r="A24" s="314">
        <v>15</v>
      </c>
      <c r="B24" s="315" t="s">
        <v>13</v>
      </c>
      <c r="C24" s="314">
        <f t="shared" si="3"/>
        <v>30679</v>
      </c>
      <c r="D24" s="316">
        <f t="shared" si="4"/>
        <v>7433</v>
      </c>
      <c r="E24" s="316">
        <v>7433</v>
      </c>
      <c r="F24" s="316">
        <v>0</v>
      </c>
      <c r="G24" s="316">
        <v>0</v>
      </c>
      <c r="H24" s="316"/>
      <c r="I24" s="316">
        <f t="shared" si="2"/>
        <v>23246</v>
      </c>
      <c r="J24" s="316"/>
      <c r="K24" s="316"/>
      <c r="L24" s="316"/>
      <c r="M24" s="316"/>
      <c r="N24" s="316">
        <v>831</v>
      </c>
      <c r="O24" s="316">
        <v>22415</v>
      </c>
      <c r="P24" s="317"/>
    </row>
    <row r="25" spans="1:16" ht="27" customHeight="1" x14ac:dyDescent="0.25">
      <c r="A25" s="314">
        <v>16</v>
      </c>
      <c r="B25" s="315" t="s">
        <v>512</v>
      </c>
      <c r="C25" s="314">
        <f t="shared" si="3"/>
        <v>275</v>
      </c>
      <c r="D25" s="316">
        <f t="shared" si="4"/>
        <v>275</v>
      </c>
      <c r="E25" s="316">
        <v>275</v>
      </c>
      <c r="F25" s="316">
        <v>275</v>
      </c>
      <c r="G25" s="316">
        <v>0</v>
      </c>
      <c r="H25" s="316"/>
      <c r="I25" s="316">
        <f t="shared" si="2"/>
        <v>0</v>
      </c>
      <c r="J25" s="316"/>
      <c r="K25" s="316"/>
      <c r="L25" s="316"/>
      <c r="M25" s="316"/>
      <c r="N25" s="316">
        <v>0</v>
      </c>
      <c r="O25" s="316">
        <v>0</v>
      </c>
      <c r="P25" s="317"/>
    </row>
    <row r="26" spans="1:16" ht="27" customHeight="1" x14ac:dyDescent="0.25">
      <c r="A26" s="314">
        <v>17</v>
      </c>
      <c r="B26" s="315" t="s">
        <v>14</v>
      </c>
      <c r="C26" s="314">
        <f t="shared" si="3"/>
        <v>11732</v>
      </c>
      <c r="D26" s="316">
        <f t="shared" si="4"/>
        <v>2931</v>
      </c>
      <c r="E26" s="316">
        <v>2931</v>
      </c>
      <c r="F26" s="316">
        <v>228</v>
      </c>
      <c r="G26" s="316">
        <v>0</v>
      </c>
      <c r="H26" s="316"/>
      <c r="I26" s="316">
        <f t="shared" si="2"/>
        <v>8801</v>
      </c>
      <c r="J26" s="316"/>
      <c r="K26" s="316"/>
      <c r="L26" s="316"/>
      <c r="M26" s="316"/>
      <c r="N26" s="316">
        <v>272</v>
      </c>
      <c r="O26" s="316">
        <v>8529</v>
      </c>
      <c r="P26" s="317"/>
    </row>
    <row r="27" spans="1:16" ht="27" customHeight="1" x14ac:dyDescent="0.25">
      <c r="A27" s="314">
        <v>18</v>
      </c>
      <c r="B27" s="315" t="s">
        <v>15</v>
      </c>
      <c r="C27" s="314">
        <f t="shared" si="3"/>
        <v>25429</v>
      </c>
      <c r="D27" s="316">
        <f t="shared" si="4"/>
        <v>6287</v>
      </c>
      <c r="E27" s="316">
        <v>6287</v>
      </c>
      <c r="F27" s="316">
        <v>2248</v>
      </c>
      <c r="G27" s="316">
        <v>0</v>
      </c>
      <c r="H27" s="316"/>
      <c r="I27" s="316">
        <f t="shared" si="2"/>
        <v>19142</v>
      </c>
      <c r="J27" s="316"/>
      <c r="K27" s="316"/>
      <c r="L27" s="316"/>
      <c r="M27" s="316"/>
      <c r="N27" s="316">
        <v>620</v>
      </c>
      <c r="O27" s="316">
        <v>18522</v>
      </c>
      <c r="P27" s="317"/>
    </row>
    <row r="28" spans="1:16" ht="27" customHeight="1" x14ac:dyDescent="0.25">
      <c r="A28" s="314">
        <v>19</v>
      </c>
      <c r="B28" s="315" t="s">
        <v>513</v>
      </c>
      <c r="C28" s="314">
        <f t="shared" si="3"/>
        <v>63</v>
      </c>
      <c r="D28" s="316">
        <f t="shared" si="4"/>
        <v>63</v>
      </c>
      <c r="E28" s="316">
        <v>63</v>
      </c>
      <c r="F28" s="316">
        <v>63</v>
      </c>
      <c r="G28" s="316">
        <v>0</v>
      </c>
      <c r="H28" s="316"/>
      <c r="I28" s="316">
        <f t="shared" si="2"/>
        <v>0</v>
      </c>
      <c r="J28" s="316"/>
      <c r="K28" s="316"/>
      <c r="L28" s="316"/>
      <c r="M28" s="316">
        <v>0</v>
      </c>
      <c r="N28" s="316"/>
      <c r="O28" s="316"/>
      <c r="P28" s="317"/>
    </row>
    <row r="29" spans="1:16" ht="27" customHeight="1" x14ac:dyDescent="0.25">
      <c r="A29" s="314">
        <v>20</v>
      </c>
      <c r="B29" s="315" t="s">
        <v>16</v>
      </c>
      <c r="C29" s="314">
        <f t="shared" si="3"/>
        <v>14101</v>
      </c>
      <c r="D29" s="316">
        <f t="shared" si="4"/>
        <v>3512</v>
      </c>
      <c r="E29" s="316">
        <v>3512</v>
      </c>
      <c r="F29" s="316">
        <v>338</v>
      </c>
      <c r="G29" s="316">
        <v>0</v>
      </c>
      <c r="H29" s="316"/>
      <c r="I29" s="316">
        <f t="shared" si="2"/>
        <v>10589</v>
      </c>
      <c r="J29" s="316"/>
      <c r="K29" s="316"/>
      <c r="L29" s="316"/>
      <c r="M29" s="316"/>
      <c r="N29" s="316">
        <v>822</v>
      </c>
      <c r="O29" s="316">
        <v>9767</v>
      </c>
      <c r="P29" s="317"/>
    </row>
    <row r="30" spans="1:16" ht="27" customHeight="1" x14ac:dyDescent="0.25">
      <c r="A30" s="314">
        <v>21</v>
      </c>
      <c r="B30" s="315" t="s">
        <v>17</v>
      </c>
      <c r="C30" s="314">
        <f t="shared" si="3"/>
        <v>11498</v>
      </c>
      <c r="D30" s="316">
        <f t="shared" si="4"/>
        <v>2799</v>
      </c>
      <c r="E30" s="316">
        <v>2799</v>
      </c>
      <c r="F30" s="316">
        <v>632</v>
      </c>
      <c r="G30" s="316">
        <v>0</v>
      </c>
      <c r="H30" s="316"/>
      <c r="I30" s="316">
        <f t="shared" si="2"/>
        <v>8699</v>
      </c>
      <c r="J30" s="316"/>
      <c r="K30" s="316"/>
      <c r="L30" s="316"/>
      <c r="M30" s="316"/>
      <c r="N30" s="316">
        <v>1509</v>
      </c>
      <c r="O30" s="316">
        <v>7190</v>
      </c>
      <c r="P30" s="317"/>
    </row>
    <row r="31" spans="1:16" ht="27" customHeight="1" x14ac:dyDescent="0.25">
      <c r="A31" s="314">
        <v>22</v>
      </c>
      <c r="B31" s="315" t="s">
        <v>18</v>
      </c>
      <c r="C31" s="314">
        <f t="shared" si="3"/>
        <v>8916</v>
      </c>
      <c r="D31" s="316">
        <f t="shared" si="4"/>
        <v>2221</v>
      </c>
      <c r="E31" s="316">
        <v>2221</v>
      </c>
      <c r="F31" s="316">
        <v>426</v>
      </c>
      <c r="G31" s="316">
        <v>0</v>
      </c>
      <c r="H31" s="316"/>
      <c r="I31" s="316">
        <f t="shared" si="2"/>
        <v>6695</v>
      </c>
      <c r="J31" s="316"/>
      <c r="K31" s="316"/>
      <c r="L31" s="316"/>
      <c r="M31" s="316"/>
      <c r="N31" s="316">
        <v>1746</v>
      </c>
      <c r="O31" s="316">
        <v>4949</v>
      </c>
      <c r="P31" s="317"/>
    </row>
    <row r="32" spans="1:16" ht="27" customHeight="1" x14ac:dyDescent="0.25">
      <c r="A32" s="314">
        <v>23</v>
      </c>
      <c r="B32" s="315" t="s">
        <v>19</v>
      </c>
      <c r="C32" s="314">
        <f t="shared" si="3"/>
        <v>16731</v>
      </c>
      <c r="D32" s="316">
        <f t="shared" si="4"/>
        <v>4169</v>
      </c>
      <c r="E32" s="316">
        <v>4169</v>
      </c>
      <c r="F32" s="316">
        <v>313</v>
      </c>
      <c r="G32" s="316">
        <v>0</v>
      </c>
      <c r="H32" s="316"/>
      <c r="I32" s="316">
        <f t="shared" si="2"/>
        <v>12562</v>
      </c>
      <c r="J32" s="316"/>
      <c r="K32" s="316"/>
      <c r="L32" s="316"/>
      <c r="M32" s="316"/>
      <c r="N32" s="316">
        <v>768</v>
      </c>
      <c r="O32" s="316">
        <v>11794</v>
      </c>
      <c r="P32" s="317"/>
    </row>
    <row r="33" spans="1:16" ht="27" customHeight="1" x14ac:dyDescent="0.25">
      <c r="A33" s="314">
        <v>24</v>
      </c>
      <c r="B33" s="315" t="s">
        <v>20</v>
      </c>
      <c r="C33" s="314">
        <f t="shared" si="3"/>
        <v>19583</v>
      </c>
      <c r="D33" s="316">
        <f t="shared" si="4"/>
        <v>4896</v>
      </c>
      <c r="E33" s="316">
        <v>4896</v>
      </c>
      <c r="F33" s="316">
        <v>60</v>
      </c>
      <c r="G33" s="316">
        <v>0</v>
      </c>
      <c r="H33" s="316"/>
      <c r="I33" s="316">
        <f t="shared" si="2"/>
        <v>14687</v>
      </c>
      <c r="J33" s="316"/>
      <c r="K33" s="316"/>
      <c r="L33" s="316"/>
      <c r="M33" s="316"/>
      <c r="N33" s="316">
        <v>3474</v>
      </c>
      <c r="O33" s="316">
        <v>11213</v>
      </c>
      <c r="P33" s="317"/>
    </row>
    <row r="34" spans="1:16" ht="27" customHeight="1" x14ac:dyDescent="0.25">
      <c r="A34" s="314">
        <v>25</v>
      </c>
      <c r="B34" s="315" t="s">
        <v>21</v>
      </c>
      <c r="C34" s="314">
        <f t="shared" si="3"/>
        <v>15052</v>
      </c>
      <c r="D34" s="316">
        <f t="shared" si="4"/>
        <v>3731</v>
      </c>
      <c r="E34" s="316">
        <v>3731</v>
      </c>
      <c r="F34" s="316">
        <v>268</v>
      </c>
      <c r="G34" s="316">
        <v>0</v>
      </c>
      <c r="H34" s="316"/>
      <c r="I34" s="316">
        <f t="shared" si="2"/>
        <v>11321</v>
      </c>
      <c r="J34" s="316"/>
      <c r="K34" s="316"/>
      <c r="L34" s="316"/>
      <c r="M34" s="316"/>
      <c r="N34" s="316">
        <v>752</v>
      </c>
      <c r="O34" s="316">
        <v>10569</v>
      </c>
      <c r="P34" s="317"/>
    </row>
    <row r="35" spans="1:16" ht="27" customHeight="1" x14ac:dyDescent="0.25">
      <c r="A35" s="314">
        <v>26</v>
      </c>
      <c r="B35" s="315" t="s">
        <v>22</v>
      </c>
      <c r="C35" s="314">
        <f t="shared" si="3"/>
        <v>30119</v>
      </c>
      <c r="D35" s="316">
        <f t="shared" si="4"/>
        <v>7176</v>
      </c>
      <c r="E35" s="316">
        <v>7176</v>
      </c>
      <c r="F35" s="316">
        <v>1</v>
      </c>
      <c r="G35" s="316">
        <v>0</v>
      </c>
      <c r="H35" s="316"/>
      <c r="I35" s="316">
        <f t="shared" si="2"/>
        <v>22943</v>
      </c>
      <c r="J35" s="316"/>
      <c r="K35" s="316"/>
      <c r="L35" s="316"/>
      <c r="M35" s="316"/>
      <c r="N35" s="316">
        <v>1355</v>
      </c>
      <c r="O35" s="316">
        <v>21588</v>
      </c>
      <c r="P35" s="317"/>
    </row>
    <row r="36" spans="1:16" ht="27" customHeight="1" x14ac:dyDescent="0.25">
      <c r="A36" s="314">
        <v>27</v>
      </c>
      <c r="B36" s="315" t="s">
        <v>167</v>
      </c>
      <c r="C36" s="314">
        <f t="shared" si="3"/>
        <v>450</v>
      </c>
      <c r="D36" s="316">
        <f t="shared" si="4"/>
        <v>450</v>
      </c>
      <c r="E36" s="316">
        <v>450</v>
      </c>
      <c r="F36" s="316">
        <v>450</v>
      </c>
      <c r="G36" s="316">
        <v>0</v>
      </c>
      <c r="H36" s="316"/>
      <c r="I36" s="316">
        <f t="shared" si="2"/>
        <v>0</v>
      </c>
      <c r="J36" s="316"/>
      <c r="K36" s="316"/>
      <c r="L36" s="316"/>
      <c r="M36" s="316"/>
      <c r="N36" s="316">
        <v>0</v>
      </c>
      <c r="O36" s="316">
        <v>0</v>
      </c>
      <c r="P36" s="317"/>
    </row>
    <row r="37" spans="1:16" ht="27" customHeight="1" x14ac:dyDescent="0.25">
      <c r="A37" s="314">
        <v>28</v>
      </c>
      <c r="B37" s="315" t="s">
        <v>23</v>
      </c>
      <c r="C37" s="314">
        <f t="shared" si="3"/>
        <v>6922</v>
      </c>
      <c r="D37" s="316">
        <f t="shared" si="4"/>
        <v>1729</v>
      </c>
      <c r="E37" s="316">
        <v>1729</v>
      </c>
      <c r="F37" s="316">
        <v>48</v>
      </c>
      <c r="G37" s="316">
        <v>0</v>
      </c>
      <c r="H37" s="316"/>
      <c r="I37" s="316">
        <f t="shared" si="2"/>
        <v>5193</v>
      </c>
      <c r="J37" s="316"/>
      <c r="K37" s="316"/>
      <c r="L37" s="316"/>
      <c r="M37" s="316"/>
      <c r="N37" s="316">
        <v>166</v>
      </c>
      <c r="O37" s="316">
        <v>5027</v>
      </c>
      <c r="P37" s="317"/>
    </row>
    <row r="38" spans="1:16" ht="27" customHeight="1" x14ac:dyDescent="0.25">
      <c r="A38" s="314">
        <v>29</v>
      </c>
      <c r="B38" s="315" t="s">
        <v>24</v>
      </c>
      <c r="C38" s="314">
        <f t="shared" si="3"/>
        <v>13405</v>
      </c>
      <c r="D38" s="316">
        <f t="shared" si="4"/>
        <v>3339</v>
      </c>
      <c r="E38" s="316">
        <v>3339</v>
      </c>
      <c r="F38" s="316">
        <v>0</v>
      </c>
      <c r="G38" s="316">
        <v>0</v>
      </c>
      <c r="H38" s="316"/>
      <c r="I38" s="316">
        <f t="shared" si="2"/>
        <v>10066</v>
      </c>
      <c r="J38" s="316"/>
      <c r="K38" s="316"/>
      <c r="L38" s="316"/>
      <c r="M38" s="316"/>
      <c r="N38" s="316">
        <v>0</v>
      </c>
      <c r="O38" s="316">
        <v>10066</v>
      </c>
      <c r="P38" s="317"/>
    </row>
    <row r="39" spans="1:16" ht="27" customHeight="1" x14ac:dyDescent="0.25">
      <c r="A39" s="314">
        <v>30</v>
      </c>
      <c r="B39" s="315" t="s">
        <v>25</v>
      </c>
      <c r="C39" s="314">
        <f t="shared" si="3"/>
        <v>7388</v>
      </c>
      <c r="D39" s="316">
        <f t="shared" si="4"/>
        <v>1820</v>
      </c>
      <c r="E39" s="316">
        <v>1820</v>
      </c>
      <c r="F39" s="316">
        <v>72</v>
      </c>
      <c r="G39" s="316">
        <v>0</v>
      </c>
      <c r="H39" s="316"/>
      <c r="I39" s="316">
        <f t="shared" si="2"/>
        <v>5568</v>
      </c>
      <c r="J39" s="316"/>
      <c r="K39" s="316"/>
      <c r="L39" s="316"/>
      <c r="M39" s="316"/>
      <c r="N39" s="316">
        <v>541</v>
      </c>
      <c r="O39" s="316">
        <v>5027</v>
      </c>
      <c r="P39" s="317"/>
    </row>
    <row r="40" spans="1:16" ht="27" customHeight="1" x14ac:dyDescent="0.25">
      <c r="A40" s="314">
        <v>31</v>
      </c>
      <c r="B40" s="315" t="s">
        <v>26</v>
      </c>
      <c r="C40" s="314">
        <f t="shared" si="3"/>
        <v>27518</v>
      </c>
      <c r="D40" s="316">
        <f t="shared" si="4"/>
        <v>6862</v>
      </c>
      <c r="E40" s="316">
        <v>6862</v>
      </c>
      <c r="F40" s="316">
        <v>359</v>
      </c>
      <c r="G40" s="316">
        <v>0</v>
      </c>
      <c r="H40" s="316"/>
      <c r="I40" s="316">
        <f t="shared" si="2"/>
        <v>20656</v>
      </c>
      <c r="J40" s="316"/>
      <c r="K40" s="316"/>
      <c r="L40" s="316"/>
      <c r="M40" s="316"/>
      <c r="N40" s="316">
        <v>2459</v>
      </c>
      <c r="O40" s="316">
        <v>18197</v>
      </c>
      <c r="P40" s="317"/>
    </row>
    <row r="41" spans="1:16" ht="27" customHeight="1" x14ac:dyDescent="0.25">
      <c r="A41" s="314">
        <v>32</v>
      </c>
      <c r="B41" s="315" t="s">
        <v>27</v>
      </c>
      <c r="C41" s="314">
        <f t="shared" si="3"/>
        <v>16636</v>
      </c>
      <c r="D41" s="316">
        <f t="shared" si="4"/>
        <v>4158</v>
      </c>
      <c r="E41" s="316">
        <v>4158</v>
      </c>
      <c r="F41" s="316">
        <v>875</v>
      </c>
      <c r="G41" s="316">
        <v>0</v>
      </c>
      <c r="H41" s="316"/>
      <c r="I41" s="316">
        <f t="shared" si="2"/>
        <v>12478</v>
      </c>
      <c r="J41" s="316"/>
      <c r="K41" s="316"/>
      <c r="L41" s="316"/>
      <c r="M41" s="316"/>
      <c r="N41" s="316">
        <v>3505</v>
      </c>
      <c r="O41" s="316">
        <v>8973</v>
      </c>
      <c r="P41" s="317"/>
    </row>
    <row r="42" spans="1:16" ht="27" customHeight="1" x14ac:dyDescent="0.25">
      <c r="A42" s="314">
        <v>33</v>
      </c>
      <c r="B42" s="315" t="s">
        <v>28</v>
      </c>
      <c r="C42" s="314">
        <f t="shared" si="3"/>
        <v>44220</v>
      </c>
      <c r="D42" s="316">
        <f t="shared" si="4"/>
        <v>11040</v>
      </c>
      <c r="E42" s="316">
        <v>11040</v>
      </c>
      <c r="F42" s="316">
        <v>2089</v>
      </c>
      <c r="G42" s="316">
        <v>0</v>
      </c>
      <c r="H42" s="316"/>
      <c r="I42" s="316">
        <f t="shared" si="2"/>
        <v>33180</v>
      </c>
      <c r="J42" s="316"/>
      <c r="K42" s="316"/>
      <c r="L42" s="316"/>
      <c r="M42" s="316"/>
      <c r="N42" s="316">
        <v>3511</v>
      </c>
      <c r="O42" s="316">
        <v>29669</v>
      </c>
      <c r="P42" s="317"/>
    </row>
    <row r="43" spans="1:16" ht="27" customHeight="1" x14ac:dyDescent="0.25">
      <c r="A43" s="314">
        <v>34</v>
      </c>
      <c r="B43" s="315" t="s">
        <v>29</v>
      </c>
      <c r="C43" s="314">
        <f t="shared" si="3"/>
        <v>12892</v>
      </c>
      <c r="D43" s="316">
        <f t="shared" si="4"/>
        <v>3215</v>
      </c>
      <c r="E43" s="316">
        <v>3215</v>
      </c>
      <c r="F43" s="316">
        <v>298</v>
      </c>
      <c r="G43" s="316">
        <v>0</v>
      </c>
      <c r="H43" s="316"/>
      <c r="I43" s="316">
        <f t="shared" si="2"/>
        <v>9677</v>
      </c>
      <c r="J43" s="316"/>
      <c r="K43" s="316"/>
      <c r="L43" s="316"/>
      <c r="M43" s="316"/>
      <c r="N43" s="316">
        <v>1085</v>
      </c>
      <c r="O43" s="316">
        <v>8592</v>
      </c>
      <c r="P43" s="317"/>
    </row>
    <row r="44" spans="1:16" ht="27" customHeight="1" x14ac:dyDescent="0.25">
      <c r="A44" s="314">
        <v>35</v>
      </c>
      <c r="B44" s="315" t="s">
        <v>30</v>
      </c>
      <c r="C44" s="314">
        <f t="shared" si="3"/>
        <v>11818</v>
      </c>
      <c r="D44" s="316">
        <f t="shared" si="4"/>
        <v>2948</v>
      </c>
      <c r="E44" s="316">
        <v>2948</v>
      </c>
      <c r="F44" s="316">
        <v>841</v>
      </c>
      <c r="G44" s="316">
        <v>0</v>
      </c>
      <c r="H44" s="316"/>
      <c r="I44" s="316">
        <f t="shared" si="2"/>
        <v>8870</v>
      </c>
      <c r="J44" s="316"/>
      <c r="K44" s="316"/>
      <c r="L44" s="316"/>
      <c r="M44" s="316"/>
      <c r="N44" s="316">
        <v>3090</v>
      </c>
      <c r="O44" s="316">
        <v>5780</v>
      </c>
      <c r="P44" s="317"/>
    </row>
    <row r="45" spans="1:16" ht="27" customHeight="1" x14ac:dyDescent="0.25">
      <c r="A45" s="314">
        <v>36</v>
      </c>
      <c r="B45" s="315" t="s">
        <v>31</v>
      </c>
      <c r="C45" s="314">
        <f t="shared" si="3"/>
        <v>24139</v>
      </c>
      <c r="D45" s="316">
        <f t="shared" si="4"/>
        <v>6030</v>
      </c>
      <c r="E45" s="316">
        <v>6030</v>
      </c>
      <c r="F45" s="316">
        <v>533</v>
      </c>
      <c r="G45" s="316">
        <v>0</v>
      </c>
      <c r="H45" s="316"/>
      <c r="I45" s="316">
        <f t="shared" si="2"/>
        <v>18109</v>
      </c>
      <c r="J45" s="316"/>
      <c r="K45" s="316"/>
      <c r="L45" s="316"/>
      <c r="M45" s="316"/>
      <c r="N45" s="316">
        <v>1966</v>
      </c>
      <c r="O45" s="316">
        <v>16143</v>
      </c>
      <c r="P45" s="317"/>
    </row>
    <row r="46" spans="1:16" ht="27" customHeight="1" x14ac:dyDescent="0.25">
      <c r="A46" s="314">
        <v>37</v>
      </c>
      <c r="B46" s="315" t="s">
        <v>32</v>
      </c>
      <c r="C46" s="314">
        <f t="shared" si="3"/>
        <v>8605</v>
      </c>
      <c r="D46" s="316">
        <f t="shared" si="4"/>
        <v>2148</v>
      </c>
      <c r="E46" s="316">
        <v>2148</v>
      </c>
      <c r="F46" s="316">
        <v>1</v>
      </c>
      <c r="G46" s="316">
        <v>0</v>
      </c>
      <c r="H46" s="316"/>
      <c r="I46" s="316">
        <f t="shared" si="2"/>
        <v>6457</v>
      </c>
      <c r="J46" s="316"/>
      <c r="K46" s="316"/>
      <c r="L46" s="316"/>
      <c r="M46" s="316"/>
      <c r="N46" s="316">
        <v>0</v>
      </c>
      <c r="O46" s="316">
        <v>6457</v>
      </c>
      <c r="P46" s="317"/>
    </row>
    <row r="47" spans="1:16" ht="27" customHeight="1" x14ac:dyDescent="0.25">
      <c r="A47" s="314">
        <v>38</v>
      </c>
      <c r="B47" s="315" t="s">
        <v>33</v>
      </c>
      <c r="C47" s="314">
        <f t="shared" si="3"/>
        <v>14234</v>
      </c>
      <c r="D47" s="316">
        <f t="shared" si="4"/>
        <v>3555</v>
      </c>
      <c r="E47" s="316">
        <v>3555</v>
      </c>
      <c r="F47" s="316">
        <v>127</v>
      </c>
      <c r="G47" s="316">
        <v>0</v>
      </c>
      <c r="H47" s="316"/>
      <c r="I47" s="316">
        <f t="shared" si="2"/>
        <v>10679</v>
      </c>
      <c r="J47" s="316"/>
      <c r="K47" s="316"/>
      <c r="L47" s="316"/>
      <c r="M47" s="316"/>
      <c r="N47" s="316">
        <v>190</v>
      </c>
      <c r="O47" s="316">
        <v>10489</v>
      </c>
      <c r="P47" s="317"/>
    </row>
    <row r="48" spans="1:16" ht="27" customHeight="1" x14ac:dyDescent="0.25">
      <c r="A48" s="314">
        <v>39</v>
      </c>
      <c r="B48" s="315" t="s">
        <v>34</v>
      </c>
      <c r="C48" s="314">
        <f t="shared" si="3"/>
        <v>15459</v>
      </c>
      <c r="D48" s="316">
        <f t="shared" si="4"/>
        <v>3855</v>
      </c>
      <c r="E48" s="316">
        <v>3855</v>
      </c>
      <c r="F48" s="316">
        <v>199</v>
      </c>
      <c r="G48" s="316">
        <v>0</v>
      </c>
      <c r="H48" s="316"/>
      <c r="I48" s="316">
        <f t="shared" si="2"/>
        <v>11604</v>
      </c>
      <c r="J48" s="316"/>
      <c r="K48" s="316"/>
      <c r="L48" s="316"/>
      <c r="M48" s="316"/>
      <c r="N48" s="316">
        <v>236</v>
      </c>
      <c r="O48" s="316">
        <v>11368</v>
      </c>
      <c r="P48" s="317"/>
    </row>
    <row r="49" spans="1:16" ht="27" customHeight="1" x14ac:dyDescent="0.25">
      <c r="A49" s="314">
        <v>40</v>
      </c>
      <c r="B49" s="315" t="s">
        <v>35</v>
      </c>
      <c r="C49" s="314">
        <f t="shared" si="3"/>
        <v>13413</v>
      </c>
      <c r="D49" s="316">
        <f t="shared" si="4"/>
        <v>3353</v>
      </c>
      <c r="E49" s="316">
        <v>3353</v>
      </c>
      <c r="F49" s="316">
        <v>0</v>
      </c>
      <c r="G49" s="316">
        <v>0</v>
      </c>
      <c r="H49" s="316"/>
      <c r="I49" s="316">
        <f t="shared" si="2"/>
        <v>10060</v>
      </c>
      <c r="J49" s="316"/>
      <c r="K49" s="316"/>
      <c r="L49" s="316"/>
      <c r="M49" s="316"/>
      <c r="N49" s="316">
        <v>0</v>
      </c>
      <c r="O49" s="316">
        <v>10060</v>
      </c>
      <c r="P49" s="317"/>
    </row>
    <row r="50" spans="1:16" ht="27" customHeight="1" x14ac:dyDescent="0.25">
      <c r="A50" s="314">
        <v>41</v>
      </c>
      <c r="B50" s="315" t="s">
        <v>514</v>
      </c>
      <c r="C50" s="314">
        <f t="shared" si="3"/>
        <v>12544</v>
      </c>
      <c r="D50" s="316">
        <f t="shared" si="4"/>
        <v>3071</v>
      </c>
      <c r="E50" s="316">
        <v>3071</v>
      </c>
      <c r="F50" s="316">
        <v>206</v>
      </c>
      <c r="G50" s="316">
        <v>0</v>
      </c>
      <c r="H50" s="316"/>
      <c r="I50" s="316">
        <f t="shared" si="2"/>
        <v>9473</v>
      </c>
      <c r="J50" s="316"/>
      <c r="K50" s="316"/>
      <c r="L50" s="316"/>
      <c r="M50" s="316"/>
      <c r="N50" s="316">
        <v>194</v>
      </c>
      <c r="O50" s="316">
        <v>9279</v>
      </c>
      <c r="P50" s="317"/>
    </row>
    <row r="51" spans="1:16" ht="27" customHeight="1" x14ac:dyDescent="0.25">
      <c r="A51" s="314">
        <v>42</v>
      </c>
      <c r="B51" s="315" t="s">
        <v>36</v>
      </c>
      <c r="C51" s="314">
        <f t="shared" si="3"/>
        <v>32127</v>
      </c>
      <c r="D51" s="316">
        <f t="shared" si="4"/>
        <v>8028</v>
      </c>
      <c r="E51" s="316">
        <v>8028</v>
      </c>
      <c r="F51" s="316">
        <v>1630</v>
      </c>
      <c r="G51" s="316">
        <v>0</v>
      </c>
      <c r="H51" s="316"/>
      <c r="I51" s="316">
        <f t="shared" si="2"/>
        <v>24099</v>
      </c>
      <c r="J51" s="316"/>
      <c r="K51" s="316"/>
      <c r="L51" s="316"/>
      <c r="M51" s="316"/>
      <c r="N51" s="316">
        <v>4270</v>
      </c>
      <c r="O51" s="316">
        <v>19829</v>
      </c>
      <c r="P51" s="317"/>
    </row>
    <row r="52" spans="1:16" ht="27" customHeight="1" x14ac:dyDescent="0.25">
      <c r="A52" s="314">
        <v>43</v>
      </c>
      <c r="B52" s="315" t="s">
        <v>37</v>
      </c>
      <c r="C52" s="314">
        <f t="shared" si="3"/>
        <v>42744</v>
      </c>
      <c r="D52" s="316">
        <f t="shared" si="4"/>
        <v>10659</v>
      </c>
      <c r="E52" s="316">
        <v>10659</v>
      </c>
      <c r="F52" s="316">
        <v>1641</v>
      </c>
      <c r="G52" s="316">
        <v>0</v>
      </c>
      <c r="H52" s="316"/>
      <c r="I52" s="316">
        <f t="shared" si="2"/>
        <v>32085</v>
      </c>
      <c r="J52" s="316"/>
      <c r="K52" s="316"/>
      <c r="L52" s="316"/>
      <c r="M52" s="316"/>
      <c r="N52" s="316">
        <v>4959</v>
      </c>
      <c r="O52" s="316">
        <v>27126</v>
      </c>
      <c r="P52" s="317"/>
    </row>
    <row r="53" spans="1:16" ht="27" customHeight="1" x14ac:dyDescent="0.25">
      <c r="A53" s="314">
        <v>44</v>
      </c>
      <c r="B53" s="315" t="s">
        <v>38</v>
      </c>
      <c r="C53" s="314">
        <f t="shared" si="3"/>
        <v>11485</v>
      </c>
      <c r="D53" s="316">
        <f t="shared" si="4"/>
        <v>2853</v>
      </c>
      <c r="E53" s="316">
        <v>2853</v>
      </c>
      <c r="F53" s="316">
        <v>0</v>
      </c>
      <c r="G53" s="316">
        <v>0</v>
      </c>
      <c r="H53" s="316"/>
      <c r="I53" s="316">
        <f t="shared" si="2"/>
        <v>8632</v>
      </c>
      <c r="J53" s="316"/>
      <c r="K53" s="316"/>
      <c r="L53" s="316"/>
      <c r="M53" s="316"/>
      <c r="N53" s="316">
        <v>0</v>
      </c>
      <c r="O53" s="316">
        <v>8632</v>
      </c>
      <c r="P53" s="317"/>
    </row>
    <row r="54" spans="1:16" ht="27" customHeight="1" x14ac:dyDescent="0.25">
      <c r="A54" s="314">
        <v>45</v>
      </c>
      <c r="B54" s="315" t="s">
        <v>39</v>
      </c>
      <c r="C54" s="314">
        <f t="shared" si="3"/>
        <v>11722</v>
      </c>
      <c r="D54" s="316">
        <f t="shared" si="4"/>
        <v>2922</v>
      </c>
      <c r="E54" s="316">
        <v>2922</v>
      </c>
      <c r="F54" s="316">
        <v>255</v>
      </c>
      <c r="G54" s="316">
        <v>0</v>
      </c>
      <c r="H54" s="316"/>
      <c r="I54" s="316">
        <f t="shared" si="2"/>
        <v>8800</v>
      </c>
      <c r="J54" s="316"/>
      <c r="K54" s="316"/>
      <c r="L54" s="316"/>
      <c r="M54" s="316"/>
      <c r="N54" s="316">
        <v>930</v>
      </c>
      <c r="O54" s="316">
        <v>7870</v>
      </c>
      <c r="P54" s="317"/>
    </row>
    <row r="55" spans="1:16" ht="27" customHeight="1" x14ac:dyDescent="0.25">
      <c r="A55" s="314">
        <v>46</v>
      </c>
      <c r="B55" s="315" t="s">
        <v>40</v>
      </c>
      <c r="C55" s="314">
        <f t="shared" si="3"/>
        <v>13796</v>
      </c>
      <c r="D55" s="316">
        <f t="shared" si="4"/>
        <v>3384</v>
      </c>
      <c r="E55" s="316">
        <v>3384</v>
      </c>
      <c r="F55" s="316">
        <v>545</v>
      </c>
      <c r="G55" s="316">
        <v>0</v>
      </c>
      <c r="H55" s="316"/>
      <c r="I55" s="316">
        <f t="shared" si="2"/>
        <v>10412</v>
      </c>
      <c r="J55" s="316"/>
      <c r="K55" s="316"/>
      <c r="L55" s="316"/>
      <c r="M55" s="316"/>
      <c r="N55" s="316">
        <v>1855</v>
      </c>
      <c r="O55" s="316">
        <v>8557</v>
      </c>
      <c r="P55" s="317"/>
    </row>
    <row r="56" spans="1:16" ht="27" customHeight="1" x14ac:dyDescent="0.25">
      <c r="A56" s="314">
        <v>47</v>
      </c>
      <c r="B56" s="315" t="s">
        <v>515</v>
      </c>
      <c r="C56" s="314">
        <f t="shared" si="3"/>
        <v>29</v>
      </c>
      <c r="D56" s="316">
        <f t="shared" si="4"/>
        <v>22</v>
      </c>
      <c r="E56" s="316">
        <v>22</v>
      </c>
      <c r="F56" s="316">
        <v>22</v>
      </c>
      <c r="G56" s="316">
        <v>0</v>
      </c>
      <c r="H56" s="316"/>
      <c r="I56" s="316">
        <f t="shared" si="2"/>
        <v>7</v>
      </c>
      <c r="J56" s="316"/>
      <c r="K56" s="316"/>
      <c r="L56" s="316"/>
      <c r="M56" s="316">
        <v>7</v>
      </c>
      <c r="N56" s="316"/>
      <c r="O56" s="316"/>
      <c r="P56" s="317"/>
    </row>
    <row r="57" spans="1:16" ht="27" customHeight="1" x14ac:dyDescent="0.25">
      <c r="A57" s="314">
        <v>48</v>
      </c>
      <c r="B57" s="315" t="s">
        <v>41</v>
      </c>
      <c r="C57" s="314">
        <f t="shared" si="3"/>
        <v>9893</v>
      </c>
      <c r="D57" s="316">
        <f t="shared" si="4"/>
        <v>2414</v>
      </c>
      <c r="E57" s="316">
        <v>2414</v>
      </c>
      <c r="F57" s="316">
        <v>368</v>
      </c>
      <c r="G57" s="316">
        <v>0</v>
      </c>
      <c r="H57" s="316"/>
      <c r="I57" s="316">
        <f t="shared" si="2"/>
        <v>7479</v>
      </c>
      <c r="J57" s="316"/>
      <c r="K57" s="316"/>
      <c r="L57" s="316"/>
      <c r="M57" s="316"/>
      <c r="N57" s="316">
        <v>1632</v>
      </c>
      <c r="O57" s="316">
        <v>5847</v>
      </c>
      <c r="P57" s="317"/>
    </row>
    <row r="58" spans="1:16" ht="27" customHeight="1" x14ac:dyDescent="0.25">
      <c r="A58" s="314">
        <v>49</v>
      </c>
      <c r="B58" s="315" t="s">
        <v>42</v>
      </c>
      <c r="C58" s="314">
        <f t="shared" si="3"/>
        <v>13017</v>
      </c>
      <c r="D58" s="316">
        <f t="shared" si="4"/>
        <v>3245</v>
      </c>
      <c r="E58" s="316">
        <v>3245</v>
      </c>
      <c r="F58" s="316">
        <v>172</v>
      </c>
      <c r="G58" s="316">
        <v>0</v>
      </c>
      <c r="H58" s="316"/>
      <c r="I58" s="316">
        <f t="shared" si="2"/>
        <v>9772</v>
      </c>
      <c r="J58" s="316"/>
      <c r="K58" s="316"/>
      <c r="L58" s="316"/>
      <c r="M58" s="316"/>
      <c r="N58" s="316">
        <v>1228</v>
      </c>
      <c r="O58" s="316">
        <v>8544</v>
      </c>
      <c r="P58" s="317"/>
    </row>
    <row r="59" spans="1:16" ht="27" customHeight="1" x14ac:dyDescent="0.25">
      <c r="A59" s="314">
        <v>50</v>
      </c>
      <c r="B59" s="315" t="s">
        <v>43</v>
      </c>
      <c r="C59" s="314">
        <f t="shared" si="3"/>
        <v>9937</v>
      </c>
      <c r="D59" s="316">
        <f t="shared" si="4"/>
        <v>2485</v>
      </c>
      <c r="E59" s="316">
        <v>2485</v>
      </c>
      <c r="F59" s="316">
        <v>0</v>
      </c>
      <c r="G59" s="316">
        <v>0</v>
      </c>
      <c r="H59" s="316"/>
      <c r="I59" s="316">
        <f t="shared" si="2"/>
        <v>7452</v>
      </c>
      <c r="J59" s="316"/>
      <c r="K59" s="316"/>
      <c r="L59" s="316"/>
      <c r="M59" s="316"/>
      <c r="N59" s="316">
        <v>11</v>
      </c>
      <c r="O59" s="316">
        <v>7441</v>
      </c>
      <c r="P59" s="317"/>
    </row>
    <row r="60" spans="1:16" ht="27" customHeight="1" x14ac:dyDescent="0.25">
      <c r="A60" s="314">
        <v>51</v>
      </c>
      <c r="B60" s="315" t="s">
        <v>516</v>
      </c>
      <c r="C60" s="314">
        <f t="shared" si="3"/>
        <v>5151</v>
      </c>
      <c r="D60" s="316">
        <f t="shared" si="4"/>
        <v>5151</v>
      </c>
      <c r="E60" s="316">
        <v>5151</v>
      </c>
      <c r="F60" s="316">
        <v>148</v>
      </c>
      <c r="G60" s="316">
        <v>0</v>
      </c>
      <c r="H60" s="316"/>
      <c r="I60" s="316">
        <f t="shared" si="2"/>
        <v>0</v>
      </c>
      <c r="J60" s="316"/>
      <c r="K60" s="316"/>
      <c r="L60" s="316"/>
      <c r="M60" s="316"/>
      <c r="N60" s="316">
        <v>0</v>
      </c>
      <c r="O60" s="316">
        <v>0</v>
      </c>
      <c r="P60" s="317"/>
    </row>
    <row r="61" spans="1:16" ht="27" customHeight="1" x14ac:dyDescent="0.25">
      <c r="A61" s="314"/>
      <c r="B61" s="315" t="s">
        <v>517</v>
      </c>
      <c r="C61" s="314">
        <f t="shared" si="3"/>
        <v>14201</v>
      </c>
      <c r="D61" s="316">
        <f t="shared" si="4"/>
        <v>0</v>
      </c>
      <c r="E61" s="316">
        <v>0</v>
      </c>
      <c r="F61" s="316">
        <v>0</v>
      </c>
      <c r="G61" s="318">
        <v>0</v>
      </c>
      <c r="H61" s="318"/>
      <c r="I61" s="316">
        <f t="shared" si="2"/>
        <v>14201</v>
      </c>
      <c r="J61" s="318"/>
      <c r="K61" s="318"/>
      <c r="L61" s="318"/>
      <c r="M61" s="318"/>
      <c r="N61" s="316">
        <v>4252</v>
      </c>
      <c r="O61" s="316">
        <v>9949</v>
      </c>
      <c r="P61" s="317"/>
    </row>
    <row r="62" spans="1:16" ht="27" customHeight="1" x14ac:dyDescent="0.25">
      <c r="A62" s="314">
        <v>52</v>
      </c>
      <c r="B62" s="315" t="s">
        <v>44</v>
      </c>
      <c r="C62" s="314">
        <f t="shared" si="3"/>
        <v>12330</v>
      </c>
      <c r="D62" s="316">
        <f t="shared" si="4"/>
        <v>3083</v>
      </c>
      <c r="E62" s="316">
        <v>3083</v>
      </c>
      <c r="F62" s="316">
        <v>468</v>
      </c>
      <c r="G62" s="316">
        <v>0</v>
      </c>
      <c r="H62" s="316"/>
      <c r="I62" s="316">
        <f t="shared" si="2"/>
        <v>9247</v>
      </c>
      <c r="J62" s="316"/>
      <c r="K62" s="316"/>
      <c r="L62" s="316"/>
      <c r="M62" s="316"/>
      <c r="N62" s="316">
        <v>497</v>
      </c>
      <c r="O62" s="316">
        <v>8750</v>
      </c>
      <c r="P62" s="317"/>
    </row>
    <row r="63" spans="1:16" ht="27" customHeight="1" x14ac:dyDescent="0.25">
      <c r="A63" s="314">
        <v>53</v>
      </c>
      <c r="B63" s="315" t="s">
        <v>45</v>
      </c>
      <c r="C63" s="314">
        <f t="shared" si="3"/>
        <v>68685</v>
      </c>
      <c r="D63" s="316">
        <f t="shared" si="4"/>
        <v>17049</v>
      </c>
      <c r="E63" s="316">
        <v>17049</v>
      </c>
      <c r="F63" s="316">
        <v>1044</v>
      </c>
      <c r="G63" s="316">
        <v>0</v>
      </c>
      <c r="H63" s="316"/>
      <c r="I63" s="316">
        <f t="shared" si="2"/>
        <v>51636</v>
      </c>
      <c r="J63" s="316"/>
      <c r="K63" s="316"/>
      <c r="L63" s="316"/>
      <c r="M63" s="316"/>
      <c r="N63" s="316">
        <v>5938</v>
      </c>
      <c r="O63" s="316">
        <v>45698</v>
      </c>
      <c r="P63" s="317"/>
    </row>
    <row r="64" spans="1:16" ht="27" customHeight="1" x14ac:dyDescent="0.25">
      <c r="A64" s="314">
        <v>54</v>
      </c>
      <c r="B64" s="315" t="s">
        <v>518</v>
      </c>
      <c r="C64" s="314">
        <f t="shared" si="3"/>
        <v>33546</v>
      </c>
      <c r="D64" s="316">
        <f t="shared" si="4"/>
        <v>8381</v>
      </c>
      <c r="E64" s="316">
        <v>8381</v>
      </c>
      <c r="F64" s="316">
        <v>274</v>
      </c>
      <c r="G64" s="316">
        <v>0</v>
      </c>
      <c r="H64" s="316"/>
      <c r="I64" s="316">
        <f t="shared" si="2"/>
        <v>25165</v>
      </c>
      <c r="J64" s="316"/>
      <c r="K64" s="316"/>
      <c r="L64" s="316"/>
      <c r="M64" s="316"/>
      <c r="N64" s="316">
        <v>2900</v>
      </c>
      <c r="O64" s="316">
        <v>22265</v>
      </c>
      <c r="P64" s="317"/>
    </row>
    <row r="65" spans="1:16" ht="27" customHeight="1" x14ac:dyDescent="0.25">
      <c r="A65" s="314">
        <v>55</v>
      </c>
      <c r="B65" s="315" t="s">
        <v>480</v>
      </c>
      <c r="C65" s="314">
        <f t="shared" si="3"/>
        <v>37664</v>
      </c>
      <c r="D65" s="316">
        <f t="shared" si="4"/>
        <v>9391</v>
      </c>
      <c r="E65" s="316">
        <v>9391</v>
      </c>
      <c r="F65" s="316">
        <v>1508</v>
      </c>
      <c r="G65" s="316">
        <v>0</v>
      </c>
      <c r="H65" s="316"/>
      <c r="I65" s="316">
        <f t="shared" si="2"/>
        <v>28273</v>
      </c>
      <c r="J65" s="316"/>
      <c r="K65" s="316"/>
      <c r="L65" s="316"/>
      <c r="M65" s="316"/>
      <c r="N65" s="316">
        <v>6191</v>
      </c>
      <c r="O65" s="316">
        <v>22082</v>
      </c>
      <c r="P65" s="317"/>
    </row>
    <row r="66" spans="1:16" ht="27" customHeight="1" x14ac:dyDescent="0.25">
      <c r="A66" s="314">
        <v>56</v>
      </c>
      <c r="B66" s="315" t="s">
        <v>46</v>
      </c>
      <c r="C66" s="314">
        <f t="shared" si="3"/>
        <v>8055</v>
      </c>
      <c r="D66" s="316">
        <f t="shared" si="4"/>
        <v>2013</v>
      </c>
      <c r="E66" s="316">
        <v>2013</v>
      </c>
      <c r="F66" s="316">
        <v>6</v>
      </c>
      <c r="G66" s="316">
        <v>0</v>
      </c>
      <c r="H66" s="316"/>
      <c r="I66" s="316">
        <f t="shared" si="2"/>
        <v>6042</v>
      </c>
      <c r="J66" s="316"/>
      <c r="K66" s="316"/>
      <c r="L66" s="316"/>
      <c r="M66" s="316"/>
      <c r="N66" s="316">
        <v>36</v>
      </c>
      <c r="O66" s="316">
        <v>6006</v>
      </c>
      <c r="P66" s="317"/>
    </row>
    <row r="67" spans="1:16" ht="27" customHeight="1" x14ac:dyDescent="0.25">
      <c r="A67" s="314">
        <v>57</v>
      </c>
      <c r="B67" s="315" t="s">
        <v>47</v>
      </c>
      <c r="C67" s="314">
        <f t="shared" si="3"/>
        <v>15509</v>
      </c>
      <c r="D67" s="316">
        <f t="shared" si="4"/>
        <v>3859</v>
      </c>
      <c r="E67" s="316">
        <v>3859</v>
      </c>
      <c r="F67" s="316">
        <v>781</v>
      </c>
      <c r="G67" s="316">
        <v>0</v>
      </c>
      <c r="H67" s="316"/>
      <c r="I67" s="316">
        <f t="shared" si="2"/>
        <v>11650</v>
      </c>
      <c r="J67" s="316"/>
      <c r="K67" s="316"/>
      <c r="L67" s="316"/>
      <c r="M67" s="316"/>
      <c r="N67" s="316">
        <v>2961</v>
      </c>
      <c r="O67" s="316">
        <v>8689</v>
      </c>
      <c r="P67" s="317"/>
    </row>
    <row r="68" spans="1:16" ht="27" customHeight="1" x14ac:dyDescent="0.25">
      <c r="A68" s="314">
        <v>58</v>
      </c>
      <c r="B68" s="315" t="s">
        <v>48</v>
      </c>
      <c r="C68" s="314">
        <f t="shared" si="3"/>
        <v>14771</v>
      </c>
      <c r="D68" s="316">
        <f t="shared" si="4"/>
        <v>3651</v>
      </c>
      <c r="E68" s="316">
        <v>3651</v>
      </c>
      <c r="F68" s="316">
        <v>859</v>
      </c>
      <c r="G68" s="316">
        <v>0</v>
      </c>
      <c r="H68" s="316"/>
      <c r="I68" s="316">
        <f t="shared" si="2"/>
        <v>11120</v>
      </c>
      <c r="J68" s="316"/>
      <c r="K68" s="316"/>
      <c r="L68" s="316"/>
      <c r="M68" s="316"/>
      <c r="N68" s="316">
        <v>2891</v>
      </c>
      <c r="O68" s="316">
        <v>8229</v>
      </c>
      <c r="P68" s="317"/>
    </row>
    <row r="69" spans="1:16" ht="27" customHeight="1" x14ac:dyDescent="0.25">
      <c r="A69" s="314">
        <v>59</v>
      </c>
      <c r="B69" s="315" t="s">
        <v>49</v>
      </c>
      <c r="C69" s="314">
        <f t="shared" si="3"/>
        <v>24858</v>
      </c>
      <c r="D69" s="316">
        <f t="shared" si="4"/>
        <v>6205</v>
      </c>
      <c r="E69" s="316">
        <v>6205</v>
      </c>
      <c r="F69" s="316">
        <v>26</v>
      </c>
      <c r="G69" s="316">
        <v>0</v>
      </c>
      <c r="H69" s="316"/>
      <c r="I69" s="316">
        <f t="shared" si="2"/>
        <v>18653</v>
      </c>
      <c r="J69" s="316"/>
      <c r="K69" s="316"/>
      <c r="L69" s="316"/>
      <c r="M69" s="316"/>
      <c r="N69" s="316">
        <v>424</v>
      </c>
      <c r="O69" s="316">
        <v>18229</v>
      </c>
      <c r="P69" s="317"/>
    </row>
    <row r="70" spans="1:16" ht="27" customHeight="1" x14ac:dyDescent="0.25">
      <c r="A70" s="314">
        <v>60</v>
      </c>
      <c r="B70" s="315" t="s">
        <v>50</v>
      </c>
      <c r="C70" s="314">
        <f t="shared" si="3"/>
        <v>11087</v>
      </c>
      <c r="D70" s="316">
        <f t="shared" si="4"/>
        <v>2766</v>
      </c>
      <c r="E70" s="316">
        <v>2766</v>
      </c>
      <c r="F70" s="316">
        <v>400</v>
      </c>
      <c r="G70" s="316">
        <v>0</v>
      </c>
      <c r="H70" s="316"/>
      <c r="I70" s="316">
        <f t="shared" si="2"/>
        <v>8321</v>
      </c>
      <c r="J70" s="316"/>
      <c r="K70" s="316"/>
      <c r="L70" s="316"/>
      <c r="M70" s="316"/>
      <c r="N70" s="316">
        <v>817</v>
      </c>
      <c r="O70" s="316">
        <v>7504</v>
      </c>
      <c r="P70" s="317"/>
    </row>
    <row r="71" spans="1:16" ht="27" customHeight="1" x14ac:dyDescent="0.25">
      <c r="A71" s="314">
        <v>61</v>
      </c>
      <c r="B71" s="315" t="s">
        <v>51</v>
      </c>
      <c r="C71" s="314">
        <f t="shared" si="3"/>
        <v>23384</v>
      </c>
      <c r="D71" s="316">
        <f t="shared" si="4"/>
        <v>5843</v>
      </c>
      <c r="E71" s="316">
        <v>5843</v>
      </c>
      <c r="F71" s="316">
        <v>138</v>
      </c>
      <c r="G71" s="316">
        <v>0</v>
      </c>
      <c r="H71" s="316"/>
      <c r="I71" s="316">
        <f t="shared" si="2"/>
        <v>17541</v>
      </c>
      <c r="J71" s="316"/>
      <c r="K71" s="316"/>
      <c r="L71" s="316"/>
      <c r="M71" s="316"/>
      <c r="N71" s="316">
        <v>733</v>
      </c>
      <c r="O71" s="316">
        <v>16808</v>
      </c>
      <c r="P71" s="317"/>
    </row>
    <row r="72" spans="1:16" ht="27" customHeight="1" x14ac:dyDescent="0.25">
      <c r="A72" s="314">
        <v>62</v>
      </c>
      <c r="B72" s="315" t="s">
        <v>179</v>
      </c>
      <c r="C72" s="314">
        <f t="shared" si="3"/>
        <v>7319</v>
      </c>
      <c r="D72" s="316">
        <f t="shared" si="4"/>
        <v>1826</v>
      </c>
      <c r="E72" s="316">
        <v>1826</v>
      </c>
      <c r="F72" s="316">
        <v>635</v>
      </c>
      <c r="G72" s="316">
        <v>0</v>
      </c>
      <c r="H72" s="316"/>
      <c r="I72" s="316">
        <f t="shared" si="2"/>
        <v>5493</v>
      </c>
      <c r="J72" s="316"/>
      <c r="K72" s="316"/>
      <c r="L72" s="316"/>
      <c r="M72" s="316"/>
      <c r="N72" s="316">
        <v>1021</v>
      </c>
      <c r="O72" s="316">
        <v>4472</v>
      </c>
      <c r="P72" s="317"/>
    </row>
    <row r="73" spans="1:16" ht="27" customHeight="1" x14ac:dyDescent="0.25">
      <c r="A73" s="314">
        <v>63</v>
      </c>
      <c r="B73" s="315" t="s">
        <v>382</v>
      </c>
      <c r="C73" s="314">
        <f t="shared" si="3"/>
        <v>72905</v>
      </c>
      <c r="D73" s="316">
        <f t="shared" si="4"/>
        <v>18121</v>
      </c>
      <c r="E73" s="316">
        <v>18121</v>
      </c>
      <c r="F73" s="316">
        <v>2984</v>
      </c>
      <c r="G73" s="316">
        <v>0</v>
      </c>
      <c r="H73" s="316"/>
      <c r="I73" s="316">
        <f t="shared" si="2"/>
        <v>54784</v>
      </c>
      <c r="J73" s="316"/>
      <c r="K73" s="316"/>
      <c r="L73" s="316"/>
      <c r="M73" s="316"/>
      <c r="N73" s="316">
        <v>8696</v>
      </c>
      <c r="O73" s="316">
        <v>46088</v>
      </c>
      <c r="P73" s="317"/>
    </row>
    <row r="74" spans="1:16" ht="33.75" customHeight="1" x14ac:dyDescent="0.25">
      <c r="A74" s="314">
        <v>64</v>
      </c>
      <c r="B74" s="315" t="s">
        <v>519</v>
      </c>
      <c r="C74" s="314">
        <f t="shared" si="3"/>
        <v>20</v>
      </c>
      <c r="D74" s="316">
        <f t="shared" si="4"/>
        <v>20</v>
      </c>
      <c r="E74" s="316">
        <v>20</v>
      </c>
      <c r="F74" s="316">
        <v>20</v>
      </c>
      <c r="G74" s="316">
        <v>0</v>
      </c>
      <c r="H74" s="316"/>
      <c r="I74" s="316">
        <f t="shared" si="2"/>
        <v>0</v>
      </c>
      <c r="J74" s="316"/>
      <c r="K74" s="316"/>
      <c r="L74" s="316"/>
      <c r="M74" s="316"/>
      <c r="N74" s="316"/>
      <c r="O74" s="316"/>
      <c r="P74" s="317"/>
    </row>
    <row r="75" spans="1:16" ht="27" customHeight="1" x14ac:dyDescent="0.25">
      <c r="A75" s="314">
        <v>65</v>
      </c>
      <c r="B75" s="315" t="s">
        <v>520</v>
      </c>
      <c r="C75" s="314">
        <f t="shared" si="3"/>
        <v>11</v>
      </c>
      <c r="D75" s="316">
        <f t="shared" si="4"/>
        <v>6</v>
      </c>
      <c r="E75" s="316">
        <v>6</v>
      </c>
      <c r="F75" s="316">
        <v>6</v>
      </c>
      <c r="G75" s="316">
        <v>0</v>
      </c>
      <c r="H75" s="316"/>
      <c r="I75" s="316">
        <f t="shared" ref="I75:I138" si="5">J75+K75+L75+M75+N75+O75</f>
        <v>5</v>
      </c>
      <c r="J75" s="316"/>
      <c r="K75" s="316"/>
      <c r="L75" s="316"/>
      <c r="M75" s="316">
        <v>5</v>
      </c>
      <c r="N75" s="316"/>
      <c r="O75" s="316"/>
      <c r="P75" s="317"/>
    </row>
    <row r="76" spans="1:16" ht="27" customHeight="1" x14ac:dyDescent="0.25">
      <c r="A76" s="314">
        <v>66</v>
      </c>
      <c r="B76" s="315" t="s">
        <v>521</v>
      </c>
      <c r="C76" s="314">
        <f t="shared" si="3"/>
        <v>20</v>
      </c>
      <c r="D76" s="316">
        <f t="shared" si="4"/>
        <v>16</v>
      </c>
      <c r="E76" s="316">
        <v>16</v>
      </c>
      <c r="F76" s="316">
        <v>16</v>
      </c>
      <c r="G76" s="316">
        <v>0</v>
      </c>
      <c r="H76" s="316"/>
      <c r="I76" s="316">
        <f t="shared" si="5"/>
        <v>4</v>
      </c>
      <c r="J76" s="316"/>
      <c r="K76" s="316"/>
      <c r="L76" s="316"/>
      <c r="M76" s="316">
        <v>4</v>
      </c>
      <c r="N76" s="316"/>
      <c r="O76" s="316"/>
      <c r="P76" s="317"/>
    </row>
    <row r="77" spans="1:16" ht="27" customHeight="1" x14ac:dyDescent="0.25">
      <c r="A77" s="314">
        <v>67</v>
      </c>
      <c r="B77" s="315" t="s">
        <v>522</v>
      </c>
      <c r="C77" s="314">
        <f t="shared" si="3"/>
        <v>20</v>
      </c>
      <c r="D77" s="316">
        <f t="shared" si="4"/>
        <v>0</v>
      </c>
      <c r="E77" s="316">
        <v>0</v>
      </c>
      <c r="F77" s="316">
        <v>0</v>
      </c>
      <c r="G77" s="316">
        <v>0</v>
      </c>
      <c r="H77" s="316"/>
      <c r="I77" s="316">
        <f t="shared" si="5"/>
        <v>20</v>
      </c>
      <c r="J77" s="316"/>
      <c r="K77" s="316"/>
      <c r="L77" s="316"/>
      <c r="M77" s="316">
        <v>20</v>
      </c>
      <c r="N77" s="316"/>
      <c r="O77" s="316"/>
      <c r="P77" s="317"/>
    </row>
    <row r="78" spans="1:16" ht="27" customHeight="1" x14ac:dyDescent="0.25">
      <c r="A78" s="314">
        <v>68</v>
      </c>
      <c r="B78" s="315" t="s">
        <v>523</v>
      </c>
      <c r="C78" s="314">
        <f t="shared" si="3"/>
        <v>20</v>
      </c>
      <c r="D78" s="316">
        <f t="shared" si="4"/>
        <v>16</v>
      </c>
      <c r="E78" s="316">
        <v>16</v>
      </c>
      <c r="F78" s="316">
        <v>16</v>
      </c>
      <c r="G78" s="316">
        <v>0</v>
      </c>
      <c r="H78" s="316"/>
      <c r="I78" s="316">
        <f t="shared" si="5"/>
        <v>4</v>
      </c>
      <c r="J78" s="316"/>
      <c r="K78" s="316"/>
      <c r="L78" s="316"/>
      <c r="M78" s="316">
        <v>4</v>
      </c>
      <c r="N78" s="316"/>
      <c r="O78" s="316"/>
      <c r="P78" s="317"/>
    </row>
    <row r="79" spans="1:16" ht="27" customHeight="1" x14ac:dyDescent="0.25">
      <c r="A79" s="314">
        <v>69</v>
      </c>
      <c r="B79" s="315" t="s">
        <v>524</v>
      </c>
      <c r="C79" s="314">
        <f t="shared" ref="C79:C139" si="6">D79+I79</f>
        <v>20</v>
      </c>
      <c r="D79" s="316">
        <f t="shared" ref="D79:D139" si="7">E79+G79+H79</f>
        <v>0</v>
      </c>
      <c r="E79" s="316">
        <v>0</v>
      </c>
      <c r="F79" s="316">
        <v>0</v>
      </c>
      <c r="G79" s="316">
        <v>0</v>
      </c>
      <c r="H79" s="316"/>
      <c r="I79" s="316">
        <f t="shared" si="5"/>
        <v>20</v>
      </c>
      <c r="J79" s="316"/>
      <c r="K79" s="316"/>
      <c r="L79" s="316"/>
      <c r="M79" s="316">
        <v>20</v>
      </c>
      <c r="N79" s="316"/>
      <c r="O79" s="316"/>
      <c r="P79" s="317"/>
    </row>
    <row r="80" spans="1:16" ht="27" customHeight="1" x14ac:dyDescent="0.25">
      <c r="A80" s="314">
        <v>70</v>
      </c>
      <c r="B80" s="315" t="s">
        <v>525</v>
      </c>
      <c r="C80" s="314">
        <f t="shared" si="6"/>
        <v>9431</v>
      </c>
      <c r="D80" s="316">
        <f t="shared" si="7"/>
        <v>2358</v>
      </c>
      <c r="E80" s="316">
        <v>2358</v>
      </c>
      <c r="F80" s="316">
        <v>1125</v>
      </c>
      <c r="G80" s="316">
        <v>0</v>
      </c>
      <c r="H80" s="316"/>
      <c r="I80" s="316">
        <f t="shared" si="5"/>
        <v>7073</v>
      </c>
      <c r="J80" s="316"/>
      <c r="K80" s="316"/>
      <c r="L80" s="316"/>
      <c r="M80" s="316"/>
      <c r="N80" s="316">
        <v>1105</v>
      </c>
      <c r="O80" s="316">
        <v>5968</v>
      </c>
      <c r="P80" s="317"/>
    </row>
    <row r="81" spans="1:16" ht="27" customHeight="1" x14ac:dyDescent="0.25">
      <c r="A81" s="314">
        <v>71</v>
      </c>
      <c r="B81" s="315" t="s">
        <v>386</v>
      </c>
      <c r="C81" s="314">
        <f t="shared" si="6"/>
        <v>55340</v>
      </c>
      <c r="D81" s="316">
        <f t="shared" si="7"/>
        <v>13174</v>
      </c>
      <c r="E81" s="316">
        <v>13174</v>
      </c>
      <c r="F81" s="316">
        <v>0</v>
      </c>
      <c r="G81" s="316">
        <v>0</v>
      </c>
      <c r="H81" s="316"/>
      <c r="I81" s="316">
        <f t="shared" si="5"/>
        <v>42166</v>
      </c>
      <c r="J81" s="316"/>
      <c r="K81" s="316"/>
      <c r="L81" s="316"/>
      <c r="M81" s="316"/>
      <c r="N81" s="316">
        <v>2432</v>
      </c>
      <c r="O81" s="316">
        <v>39734</v>
      </c>
      <c r="P81" s="317"/>
    </row>
    <row r="82" spans="1:16" ht="27" customHeight="1" x14ac:dyDescent="0.25">
      <c r="A82" s="314">
        <v>72</v>
      </c>
      <c r="B82" s="315" t="s">
        <v>526</v>
      </c>
      <c r="C82" s="314">
        <f t="shared" si="6"/>
        <v>568</v>
      </c>
      <c r="D82" s="316">
        <f t="shared" si="7"/>
        <v>568</v>
      </c>
      <c r="E82" s="316">
        <v>568</v>
      </c>
      <c r="F82" s="316">
        <v>568</v>
      </c>
      <c r="G82" s="316">
        <v>0</v>
      </c>
      <c r="H82" s="316"/>
      <c r="I82" s="316">
        <f t="shared" si="5"/>
        <v>0</v>
      </c>
      <c r="J82" s="316"/>
      <c r="K82" s="316"/>
      <c r="L82" s="316"/>
      <c r="M82" s="316"/>
      <c r="N82" s="316">
        <v>0</v>
      </c>
      <c r="O82" s="316">
        <v>0</v>
      </c>
      <c r="P82" s="317"/>
    </row>
    <row r="83" spans="1:16" ht="27" customHeight="1" x14ac:dyDescent="0.25">
      <c r="A83" s="314">
        <v>73</v>
      </c>
      <c r="B83" s="315" t="s">
        <v>52</v>
      </c>
      <c r="C83" s="314">
        <f t="shared" si="6"/>
        <v>32337</v>
      </c>
      <c r="D83" s="316">
        <f t="shared" si="7"/>
        <v>7735</v>
      </c>
      <c r="E83" s="316">
        <v>7735</v>
      </c>
      <c r="F83" s="316">
        <v>0</v>
      </c>
      <c r="G83" s="316">
        <v>0</v>
      </c>
      <c r="H83" s="316"/>
      <c r="I83" s="316">
        <f t="shared" si="5"/>
        <v>24602</v>
      </c>
      <c r="J83" s="316"/>
      <c r="K83" s="316"/>
      <c r="L83" s="316"/>
      <c r="M83" s="316"/>
      <c r="N83" s="316">
        <v>1355</v>
      </c>
      <c r="O83" s="316">
        <v>23247</v>
      </c>
      <c r="P83" s="317"/>
    </row>
    <row r="84" spans="1:16" ht="27" customHeight="1" x14ac:dyDescent="0.25">
      <c r="A84" s="314">
        <v>74</v>
      </c>
      <c r="B84" s="315" t="s">
        <v>178</v>
      </c>
      <c r="C84" s="314">
        <f t="shared" si="6"/>
        <v>445</v>
      </c>
      <c r="D84" s="316">
        <f t="shared" si="7"/>
        <v>445</v>
      </c>
      <c r="E84" s="316">
        <v>445</v>
      </c>
      <c r="F84" s="316">
        <v>445</v>
      </c>
      <c r="G84" s="316">
        <v>0</v>
      </c>
      <c r="H84" s="316"/>
      <c r="I84" s="316">
        <f t="shared" si="5"/>
        <v>0</v>
      </c>
      <c r="J84" s="316"/>
      <c r="K84" s="316"/>
      <c r="L84" s="316"/>
      <c r="M84" s="316"/>
      <c r="N84" s="316">
        <v>0</v>
      </c>
      <c r="O84" s="316">
        <v>0</v>
      </c>
      <c r="P84" s="317"/>
    </row>
    <row r="85" spans="1:16" ht="27" customHeight="1" x14ac:dyDescent="0.25">
      <c r="A85" s="314">
        <v>75</v>
      </c>
      <c r="B85" s="315" t="s">
        <v>527</v>
      </c>
      <c r="C85" s="314">
        <f t="shared" si="6"/>
        <v>7616</v>
      </c>
      <c r="D85" s="316">
        <f t="shared" si="7"/>
        <v>746</v>
      </c>
      <c r="E85" s="316">
        <v>746</v>
      </c>
      <c r="F85" s="316">
        <v>128</v>
      </c>
      <c r="G85" s="316">
        <v>0</v>
      </c>
      <c r="H85" s="316"/>
      <c r="I85" s="316">
        <f t="shared" si="5"/>
        <v>6870</v>
      </c>
      <c r="J85" s="316"/>
      <c r="K85" s="316"/>
      <c r="L85" s="316"/>
      <c r="M85" s="316"/>
      <c r="N85" s="316">
        <v>972</v>
      </c>
      <c r="O85" s="316">
        <v>5898</v>
      </c>
      <c r="P85" s="317"/>
    </row>
    <row r="86" spans="1:16" ht="27" customHeight="1" x14ac:dyDescent="0.25">
      <c r="A86" s="314">
        <v>76</v>
      </c>
      <c r="B86" s="315" t="s">
        <v>53</v>
      </c>
      <c r="C86" s="314">
        <f t="shared" si="6"/>
        <v>43963</v>
      </c>
      <c r="D86" s="316">
        <f t="shared" si="7"/>
        <v>9908</v>
      </c>
      <c r="E86" s="316">
        <v>9908</v>
      </c>
      <c r="F86" s="316">
        <v>0</v>
      </c>
      <c r="G86" s="316">
        <v>0</v>
      </c>
      <c r="H86" s="316"/>
      <c r="I86" s="316">
        <f t="shared" si="5"/>
        <v>34055</v>
      </c>
      <c r="J86" s="316"/>
      <c r="K86" s="316"/>
      <c r="L86" s="316"/>
      <c r="M86" s="316"/>
      <c r="N86" s="316">
        <v>4285</v>
      </c>
      <c r="O86" s="316">
        <v>29770</v>
      </c>
      <c r="P86" s="317"/>
    </row>
    <row r="87" spans="1:16" ht="27" customHeight="1" x14ac:dyDescent="0.25">
      <c r="A87" s="314">
        <v>77</v>
      </c>
      <c r="B87" s="315" t="s">
        <v>188</v>
      </c>
      <c r="C87" s="314">
        <f t="shared" si="6"/>
        <v>1425</v>
      </c>
      <c r="D87" s="316">
        <f t="shared" si="7"/>
        <v>1425</v>
      </c>
      <c r="E87" s="316">
        <v>1425</v>
      </c>
      <c r="F87" s="316">
        <v>1425</v>
      </c>
      <c r="G87" s="316">
        <v>0</v>
      </c>
      <c r="H87" s="316"/>
      <c r="I87" s="316">
        <f t="shared" si="5"/>
        <v>0</v>
      </c>
      <c r="J87" s="316"/>
      <c r="K87" s="316"/>
      <c r="L87" s="316"/>
      <c r="M87" s="316"/>
      <c r="N87" s="316">
        <v>0</v>
      </c>
      <c r="O87" s="316">
        <v>0</v>
      </c>
      <c r="P87" s="317"/>
    </row>
    <row r="88" spans="1:16" ht="27" customHeight="1" x14ac:dyDescent="0.25">
      <c r="A88" s="314">
        <v>78</v>
      </c>
      <c r="B88" s="315" t="s">
        <v>528</v>
      </c>
      <c r="C88" s="314">
        <f t="shared" si="6"/>
        <v>19130</v>
      </c>
      <c r="D88" s="316">
        <f t="shared" si="7"/>
        <v>4781</v>
      </c>
      <c r="E88" s="316">
        <v>4781</v>
      </c>
      <c r="F88" s="316">
        <v>0</v>
      </c>
      <c r="G88" s="316">
        <v>0</v>
      </c>
      <c r="H88" s="316"/>
      <c r="I88" s="316">
        <f t="shared" si="5"/>
        <v>14349</v>
      </c>
      <c r="J88" s="316"/>
      <c r="K88" s="316"/>
      <c r="L88" s="316"/>
      <c r="M88" s="316"/>
      <c r="N88" s="316">
        <v>0</v>
      </c>
      <c r="O88" s="316">
        <v>14349</v>
      </c>
      <c r="P88" s="317"/>
    </row>
    <row r="89" spans="1:16" ht="33.75" customHeight="1" x14ac:dyDescent="0.25">
      <c r="A89" s="314">
        <v>79</v>
      </c>
      <c r="B89" s="315" t="s">
        <v>187</v>
      </c>
      <c r="C89" s="314">
        <f t="shared" si="6"/>
        <v>1093</v>
      </c>
      <c r="D89" s="316">
        <f t="shared" si="7"/>
        <v>272</v>
      </c>
      <c r="E89" s="316">
        <v>272</v>
      </c>
      <c r="F89" s="316">
        <v>0</v>
      </c>
      <c r="G89" s="316">
        <v>0</v>
      </c>
      <c r="H89" s="316"/>
      <c r="I89" s="316">
        <f t="shared" si="5"/>
        <v>821</v>
      </c>
      <c r="J89" s="316"/>
      <c r="K89" s="316"/>
      <c r="L89" s="316"/>
      <c r="M89" s="316">
        <v>821</v>
      </c>
      <c r="N89" s="316">
        <v>0</v>
      </c>
      <c r="O89" s="316">
        <v>0</v>
      </c>
      <c r="P89" s="317"/>
    </row>
    <row r="90" spans="1:16" ht="27" customHeight="1" x14ac:dyDescent="0.25">
      <c r="A90" s="314">
        <v>80</v>
      </c>
      <c r="B90" s="315" t="s">
        <v>100</v>
      </c>
      <c r="C90" s="314">
        <f t="shared" si="6"/>
        <v>43587</v>
      </c>
      <c r="D90" s="316">
        <f t="shared" si="7"/>
        <v>8298</v>
      </c>
      <c r="E90" s="316">
        <v>8298</v>
      </c>
      <c r="F90" s="316">
        <v>2</v>
      </c>
      <c r="G90" s="316">
        <v>0</v>
      </c>
      <c r="H90" s="316"/>
      <c r="I90" s="316">
        <f t="shared" si="5"/>
        <v>35289</v>
      </c>
      <c r="J90" s="316"/>
      <c r="K90" s="316"/>
      <c r="L90" s="316"/>
      <c r="M90" s="316"/>
      <c r="N90" s="316">
        <v>3398</v>
      </c>
      <c r="O90" s="316">
        <v>31891</v>
      </c>
      <c r="P90" s="317"/>
    </row>
    <row r="91" spans="1:16" ht="27" customHeight="1" x14ac:dyDescent="0.25">
      <c r="A91" s="314">
        <v>81</v>
      </c>
      <c r="B91" s="315" t="s">
        <v>385</v>
      </c>
      <c r="C91" s="314">
        <f t="shared" si="6"/>
        <v>4096</v>
      </c>
      <c r="D91" s="316">
        <f t="shared" si="7"/>
        <v>4096</v>
      </c>
      <c r="E91" s="316">
        <v>4096</v>
      </c>
      <c r="F91" s="316">
        <v>0</v>
      </c>
      <c r="G91" s="316">
        <v>0</v>
      </c>
      <c r="H91" s="316"/>
      <c r="I91" s="316">
        <f t="shared" si="5"/>
        <v>0</v>
      </c>
      <c r="J91" s="316"/>
      <c r="K91" s="316"/>
      <c r="L91" s="316"/>
      <c r="M91" s="316"/>
      <c r="N91" s="316">
        <v>0</v>
      </c>
      <c r="O91" s="316">
        <v>0</v>
      </c>
      <c r="P91" s="317"/>
    </row>
    <row r="92" spans="1:16" ht="39" customHeight="1" x14ac:dyDescent="0.25">
      <c r="A92" s="314">
        <v>82</v>
      </c>
      <c r="B92" s="315" t="s">
        <v>529</v>
      </c>
      <c r="C92" s="314">
        <f t="shared" si="6"/>
        <v>5784</v>
      </c>
      <c r="D92" s="316">
        <f t="shared" si="7"/>
        <v>5784</v>
      </c>
      <c r="E92" s="316">
        <v>5784</v>
      </c>
      <c r="F92" s="316">
        <v>0</v>
      </c>
      <c r="G92" s="316">
        <v>0</v>
      </c>
      <c r="H92" s="316"/>
      <c r="I92" s="316">
        <f t="shared" si="5"/>
        <v>0</v>
      </c>
      <c r="J92" s="316"/>
      <c r="K92" s="316"/>
      <c r="L92" s="316"/>
      <c r="M92" s="316"/>
      <c r="N92" s="316">
        <v>0</v>
      </c>
      <c r="O92" s="316">
        <v>0</v>
      </c>
      <c r="P92" s="317"/>
    </row>
    <row r="93" spans="1:16" ht="27" customHeight="1" x14ac:dyDescent="0.25">
      <c r="A93" s="426">
        <v>83</v>
      </c>
      <c r="B93" s="315" t="s">
        <v>91</v>
      </c>
      <c r="C93" s="314">
        <f t="shared" si="6"/>
        <v>32781</v>
      </c>
      <c r="D93" s="316">
        <f t="shared" si="7"/>
        <v>8131</v>
      </c>
      <c r="E93" s="316">
        <v>6537</v>
      </c>
      <c r="F93" s="316">
        <v>0</v>
      </c>
      <c r="G93" s="319">
        <v>1594</v>
      </c>
      <c r="H93" s="316"/>
      <c r="I93" s="316">
        <f t="shared" si="5"/>
        <v>24650</v>
      </c>
      <c r="J93" s="316">
        <v>4950</v>
      </c>
      <c r="K93" s="316"/>
      <c r="L93" s="316"/>
      <c r="M93" s="316"/>
      <c r="N93" s="316">
        <v>0</v>
      </c>
      <c r="O93" s="316">
        <v>19700</v>
      </c>
      <c r="P93" s="317"/>
    </row>
    <row r="94" spans="1:16" ht="58.5" customHeight="1" x14ac:dyDescent="0.25">
      <c r="A94" s="427"/>
      <c r="B94" s="315" t="s">
        <v>530</v>
      </c>
      <c r="C94" s="314">
        <f t="shared" si="6"/>
        <v>26657</v>
      </c>
      <c r="D94" s="316">
        <f t="shared" si="7"/>
        <v>3024</v>
      </c>
      <c r="E94" s="316">
        <v>3024</v>
      </c>
      <c r="F94" s="316">
        <v>0</v>
      </c>
      <c r="G94" s="316">
        <v>0</v>
      </c>
      <c r="H94" s="316"/>
      <c r="I94" s="316">
        <f t="shared" si="5"/>
        <v>23633</v>
      </c>
      <c r="J94" s="316"/>
      <c r="K94" s="316"/>
      <c r="L94" s="316"/>
      <c r="M94" s="316"/>
      <c r="N94" s="316">
        <v>0</v>
      </c>
      <c r="O94" s="316">
        <v>23633</v>
      </c>
      <c r="P94" s="317"/>
    </row>
    <row r="95" spans="1:16" ht="27" customHeight="1" x14ac:dyDescent="0.25">
      <c r="A95" s="314">
        <v>84</v>
      </c>
      <c r="B95" s="315" t="s">
        <v>531</v>
      </c>
      <c r="C95" s="314">
        <f t="shared" si="6"/>
        <v>25243</v>
      </c>
      <c r="D95" s="316">
        <f t="shared" si="7"/>
        <v>5499</v>
      </c>
      <c r="E95" s="316">
        <v>5499</v>
      </c>
      <c r="F95" s="316">
        <v>0</v>
      </c>
      <c r="G95" s="316">
        <v>0</v>
      </c>
      <c r="H95" s="316"/>
      <c r="I95" s="316">
        <f t="shared" si="5"/>
        <v>19744</v>
      </c>
      <c r="J95" s="316">
        <v>8954</v>
      </c>
      <c r="K95" s="316"/>
      <c r="L95" s="316"/>
      <c r="M95" s="316"/>
      <c r="N95" s="316">
        <v>0</v>
      </c>
      <c r="O95" s="316">
        <v>10790</v>
      </c>
      <c r="P95" s="317"/>
    </row>
    <row r="96" spans="1:16" ht="27" customHeight="1" x14ac:dyDescent="0.25">
      <c r="A96" s="314">
        <v>85</v>
      </c>
      <c r="B96" s="315" t="s">
        <v>532</v>
      </c>
      <c r="C96" s="314">
        <f t="shared" si="6"/>
        <v>11000</v>
      </c>
      <c r="D96" s="316">
        <f t="shared" si="7"/>
        <v>2750</v>
      </c>
      <c r="E96" s="316">
        <v>2750</v>
      </c>
      <c r="F96" s="316">
        <v>2750</v>
      </c>
      <c r="G96" s="316">
        <v>0</v>
      </c>
      <c r="H96" s="316"/>
      <c r="I96" s="316">
        <f t="shared" si="5"/>
        <v>8250</v>
      </c>
      <c r="J96" s="316"/>
      <c r="K96" s="316"/>
      <c r="L96" s="316"/>
      <c r="M96" s="316"/>
      <c r="N96" s="316">
        <v>8250</v>
      </c>
      <c r="O96" s="316">
        <v>0</v>
      </c>
      <c r="P96" s="317"/>
    </row>
    <row r="97" spans="1:16" ht="27" customHeight="1" x14ac:dyDescent="0.25">
      <c r="A97" s="314">
        <v>86</v>
      </c>
      <c r="B97" s="315" t="s">
        <v>190</v>
      </c>
      <c r="C97" s="314">
        <f t="shared" si="6"/>
        <v>3838</v>
      </c>
      <c r="D97" s="316">
        <f t="shared" si="7"/>
        <v>959</v>
      </c>
      <c r="E97" s="316">
        <v>959</v>
      </c>
      <c r="F97" s="316">
        <v>0</v>
      </c>
      <c r="G97" s="316">
        <v>0</v>
      </c>
      <c r="H97" s="316"/>
      <c r="I97" s="316">
        <f t="shared" si="5"/>
        <v>2879</v>
      </c>
      <c r="J97" s="316"/>
      <c r="K97" s="316"/>
      <c r="L97" s="316"/>
      <c r="M97" s="316"/>
      <c r="N97" s="316">
        <v>0</v>
      </c>
      <c r="O97" s="316">
        <v>2879</v>
      </c>
      <c r="P97" s="317"/>
    </row>
    <row r="98" spans="1:16" ht="27" customHeight="1" x14ac:dyDescent="0.25">
      <c r="A98" s="314">
        <v>87</v>
      </c>
      <c r="B98" s="315" t="s">
        <v>205</v>
      </c>
      <c r="C98" s="314">
        <f t="shared" si="6"/>
        <v>25220</v>
      </c>
      <c r="D98" s="316">
        <f t="shared" si="7"/>
        <v>6272</v>
      </c>
      <c r="E98" s="316">
        <v>6272</v>
      </c>
      <c r="F98" s="316">
        <v>0</v>
      </c>
      <c r="G98" s="316">
        <v>0</v>
      </c>
      <c r="H98" s="316"/>
      <c r="I98" s="316">
        <f t="shared" si="5"/>
        <v>18948</v>
      </c>
      <c r="J98" s="316"/>
      <c r="K98" s="316"/>
      <c r="L98" s="316"/>
      <c r="M98" s="316"/>
      <c r="N98" s="316">
        <v>0</v>
      </c>
      <c r="O98" s="316">
        <v>18948</v>
      </c>
      <c r="P98" s="317"/>
    </row>
    <row r="99" spans="1:16" ht="27" customHeight="1" x14ac:dyDescent="0.25">
      <c r="A99" s="314">
        <v>88</v>
      </c>
      <c r="B99" s="315" t="s">
        <v>206</v>
      </c>
      <c r="C99" s="314">
        <f t="shared" si="6"/>
        <v>15142</v>
      </c>
      <c r="D99" s="316">
        <f t="shared" si="7"/>
        <v>3772</v>
      </c>
      <c r="E99" s="316">
        <v>3772</v>
      </c>
      <c r="F99" s="316">
        <v>0</v>
      </c>
      <c r="G99" s="316">
        <v>0</v>
      </c>
      <c r="H99" s="316"/>
      <c r="I99" s="316">
        <f t="shared" si="5"/>
        <v>11370</v>
      </c>
      <c r="J99" s="316"/>
      <c r="K99" s="316"/>
      <c r="L99" s="316"/>
      <c r="M99" s="316"/>
      <c r="N99" s="316">
        <v>0</v>
      </c>
      <c r="O99" s="316">
        <v>11370</v>
      </c>
      <c r="P99" s="317"/>
    </row>
    <row r="100" spans="1:16" ht="27" customHeight="1" x14ac:dyDescent="0.25">
      <c r="A100" s="314">
        <v>89</v>
      </c>
      <c r="B100" s="315" t="s">
        <v>207</v>
      </c>
      <c r="C100" s="314">
        <f t="shared" si="6"/>
        <v>14590</v>
      </c>
      <c r="D100" s="316">
        <f t="shared" si="7"/>
        <v>3648</v>
      </c>
      <c r="E100" s="316">
        <v>3648</v>
      </c>
      <c r="F100" s="316">
        <v>224</v>
      </c>
      <c r="G100" s="316">
        <v>0</v>
      </c>
      <c r="H100" s="316"/>
      <c r="I100" s="316">
        <f t="shared" si="5"/>
        <v>10942</v>
      </c>
      <c r="J100" s="316"/>
      <c r="K100" s="316"/>
      <c r="L100" s="316"/>
      <c r="M100" s="316"/>
      <c r="N100" s="316">
        <v>1305</v>
      </c>
      <c r="O100" s="316">
        <v>9637</v>
      </c>
      <c r="P100" s="317"/>
    </row>
    <row r="101" spans="1:16" ht="27" customHeight="1" x14ac:dyDescent="0.25">
      <c r="A101" s="314">
        <v>90</v>
      </c>
      <c r="B101" s="315" t="s">
        <v>208</v>
      </c>
      <c r="C101" s="314">
        <f t="shared" si="6"/>
        <v>11014</v>
      </c>
      <c r="D101" s="316">
        <f t="shared" si="7"/>
        <v>2750</v>
      </c>
      <c r="E101" s="316">
        <v>2750</v>
      </c>
      <c r="F101" s="316">
        <v>0</v>
      </c>
      <c r="G101" s="316">
        <v>0</v>
      </c>
      <c r="H101" s="316"/>
      <c r="I101" s="316">
        <f t="shared" si="5"/>
        <v>8264</v>
      </c>
      <c r="J101" s="316"/>
      <c r="K101" s="316"/>
      <c r="L101" s="316"/>
      <c r="M101" s="316"/>
      <c r="N101" s="316">
        <v>0</v>
      </c>
      <c r="O101" s="316">
        <v>8264</v>
      </c>
      <c r="P101" s="317"/>
    </row>
    <row r="102" spans="1:16" ht="27" customHeight="1" x14ac:dyDescent="0.25">
      <c r="A102" s="314">
        <v>91</v>
      </c>
      <c r="B102" s="315" t="s">
        <v>209</v>
      </c>
      <c r="C102" s="314">
        <f t="shared" si="6"/>
        <v>28684</v>
      </c>
      <c r="D102" s="316">
        <f t="shared" si="7"/>
        <v>7163</v>
      </c>
      <c r="E102" s="316">
        <v>7163</v>
      </c>
      <c r="F102" s="316">
        <v>0</v>
      </c>
      <c r="G102" s="316">
        <v>0</v>
      </c>
      <c r="H102" s="316"/>
      <c r="I102" s="316">
        <f t="shared" si="5"/>
        <v>21521</v>
      </c>
      <c r="J102" s="316"/>
      <c r="K102" s="316"/>
      <c r="L102" s="316"/>
      <c r="M102" s="316"/>
      <c r="N102" s="316">
        <v>0</v>
      </c>
      <c r="O102" s="316">
        <v>21521</v>
      </c>
      <c r="P102" s="317"/>
    </row>
    <row r="103" spans="1:16" ht="27" customHeight="1" x14ac:dyDescent="0.25">
      <c r="A103" s="314">
        <v>92</v>
      </c>
      <c r="B103" s="315" t="s">
        <v>210</v>
      </c>
      <c r="C103" s="314">
        <f t="shared" si="6"/>
        <v>14621</v>
      </c>
      <c r="D103" s="316">
        <f t="shared" si="7"/>
        <v>3650</v>
      </c>
      <c r="E103" s="316">
        <v>3650</v>
      </c>
      <c r="F103" s="316">
        <v>0</v>
      </c>
      <c r="G103" s="316">
        <v>0</v>
      </c>
      <c r="H103" s="316"/>
      <c r="I103" s="316">
        <f t="shared" si="5"/>
        <v>10971</v>
      </c>
      <c r="J103" s="316"/>
      <c r="K103" s="316"/>
      <c r="L103" s="316"/>
      <c r="M103" s="316"/>
      <c r="N103" s="316">
        <v>0</v>
      </c>
      <c r="O103" s="316">
        <v>10971</v>
      </c>
      <c r="P103" s="317"/>
    </row>
    <row r="104" spans="1:16" ht="27" customHeight="1" x14ac:dyDescent="0.25">
      <c r="A104" s="314">
        <v>93</v>
      </c>
      <c r="B104" s="315" t="s">
        <v>123</v>
      </c>
      <c r="C104" s="314">
        <f t="shared" si="6"/>
        <v>16531</v>
      </c>
      <c r="D104" s="316">
        <f t="shared" si="7"/>
        <v>4113</v>
      </c>
      <c r="E104" s="316">
        <v>4113</v>
      </c>
      <c r="F104" s="316">
        <v>0</v>
      </c>
      <c r="G104" s="316">
        <v>0</v>
      </c>
      <c r="H104" s="316"/>
      <c r="I104" s="316">
        <f t="shared" si="5"/>
        <v>12418</v>
      </c>
      <c r="J104" s="316"/>
      <c r="K104" s="316"/>
      <c r="L104" s="316"/>
      <c r="M104" s="316"/>
      <c r="N104" s="316">
        <v>0</v>
      </c>
      <c r="O104" s="316">
        <v>12418</v>
      </c>
      <c r="P104" s="317"/>
    </row>
    <row r="105" spans="1:16" ht="27" customHeight="1" x14ac:dyDescent="0.25">
      <c r="A105" s="314">
        <v>94</v>
      </c>
      <c r="B105" s="315" t="s">
        <v>533</v>
      </c>
      <c r="C105" s="314">
        <f t="shared" si="6"/>
        <v>37331</v>
      </c>
      <c r="D105" s="316">
        <f t="shared" si="7"/>
        <v>9310</v>
      </c>
      <c r="E105" s="316">
        <v>7003</v>
      </c>
      <c r="F105" s="316">
        <v>0</v>
      </c>
      <c r="G105" s="316">
        <v>2307</v>
      </c>
      <c r="H105" s="316"/>
      <c r="I105" s="316">
        <f t="shared" si="5"/>
        <v>28021</v>
      </c>
      <c r="J105" s="316">
        <v>6934</v>
      </c>
      <c r="K105" s="316"/>
      <c r="L105" s="316"/>
      <c r="M105" s="316"/>
      <c r="N105" s="316">
        <v>0</v>
      </c>
      <c r="O105" s="316">
        <v>21087</v>
      </c>
      <c r="P105" s="317"/>
    </row>
    <row r="106" spans="1:16" ht="27" customHeight="1" x14ac:dyDescent="0.25">
      <c r="A106" s="314">
        <v>95</v>
      </c>
      <c r="B106" s="315" t="s">
        <v>211</v>
      </c>
      <c r="C106" s="314">
        <f t="shared" si="6"/>
        <v>9837</v>
      </c>
      <c r="D106" s="316">
        <f t="shared" si="7"/>
        <v>2458</v>
      </c>
      <c r="E106" s="316">
        <v>2458</v>
      </c>
      <c r="F106" s="316">
        <v>0</v>
      </c>
      <c r="G106" s="316">
        <v>0</v>
      </c>
      <c r="H106" s="316"/>
      <c r="I106" s="316">
        <f t="shared" si="5"/>
        <v>7379</v>
      </c>
      <c r="J106" s="316"/>
      <c r="K106" s="316"/>
      <c r="L106" s="316"/>
      <c r="M106" s="316"/>
      <c r="N106" s="316">
        <v>0</v>
      </c>
      <c r="O106" s="316">
        <v>7379</v>
      </c>
      <c r="P106" s="317"/>
    </row>
    <row r="107" spans="1:16" ht="27" customHeight="1" x14ac:dyDescent="0.25">
      <c r="A107" s="314">
        <v>96</v>
      </c>
      <c r="B107" s="315" t="s">
        <v>145</v>
      </c>
      <c r="C107" s="314">
        <f t="shared" si="6"/>
        <v>28000</v>
      </c>
      <c r="D107" s="316">
        <f t="shared" si="7"/>
        <v>6999</v>
      </c>
      <c r="E107" s="316">
        <v>6999</v>
      </c>
      <c r="F107" s="316">
        <v>0</v>
      </c>
      <c r="G107" s="316">
        <v>0</v>
      </c>
      <c r="H107" s="316"/>
      <c r="I107" s="316">
        <f t="shared" si="5"/>
        <v>21001</v>
      </c>
      <c r="J107" s="316"/>
      <c r="K107" s="316"/>
      <c r="L107" s="316"/>
      <c r="M107" s="316"/>
      <c r="N107" s="316">
        <v>0</v>
      </c>
      <c r="O107" s="316">
        <v>21001</v>
      </c>
      <c r="P107" s="317"/>
    </row>
    <row r="108" spans="1:16" ht="27" customHeight="1" x14ac:dyDescent="0.25">
      <c r="A108" s="314">
        <v>97</v>
      </c>
      <c r="B108" s="315" t="s">
        <v>212</v>
      </c>
      <c r="C108" s="314">
        <f t="shared" si="6"/>
        <v>12904</v>
      </c>
      <c r="D108" s="316">
        <f t="shared" si="7"/>
        <v>4287</v>
      </c>
      <c r="E108" s="316">
        <v>4287</v>
      </c>
      <c r="F108" s="316">
        <v>0</v>
      </c>
      <c r="G108" s="316">
        <v>0</v>
      </c>
      <c r="H108" s="316"/>
      <c r="I108" s="316">
        <f t="shared" si="5"/>
        <v>8617</v>
      </c>
      <c r="J108" s="316"/>
      <c r="K108" s="316"/>
      <c r="L108" s="316"/>
      <c r="M108" s="316"/>
      <c r="N108" s="316">
        <v>0</v>
      </c>
      <c r="O108" s="316">
        <v>8617</v>
      </c>
      <c r="P108" s="317"/>
    </row>
    <row r="109" spans="1:16" ht="27" customHeight="1" x14ac:dyDescent="0.25">
      <c r="A109" s="314">
        <v>98</v>
      </c>
      <c r="B109" s="315" t="s">
        <v>213</v>
      </c>
      <c r="C109" s="314">
        <f t="shared" si="6"/>
        <v>12543</v>
      </c>
      <c r="D109" s="316">
        <f t="shared" si="7"/>
        <v>3133</v>
      </c>
      <c r="E109" s="316">
        <v>3133</v>
      </c>
      <c r="F109" s="316">
        <v>0</v>
      </c>
      <c r="G109" s="316">
        <v>0</v>
      </c>
      <c r="H109" s="316"/>
      <c r="I109" s="316">
        <f t="shared" si="5"/>
        <v>9410</v>
      </c>
      <c r="J109" s="316"/>
      <c r="K109" s="316"/>
      <c r="L109" s="316"/>
      <c r="M109" s="316"/>
      <c r="N109" s="316">
        <v>0</v>
      </c>
      <c r="O109" s="316">
        <v>9410</v>
      </c>
      <c r="P109" s="317"/>
    </row>
    <row r="110" spans="1:16" ht="27" customHeight="1" x14ac:dyDescent="0.25">
      <c r="A110" s="314">
        <v>99</v>
      </c>
      <c r="B110" s="315" t="s">
        <v>55</v>
      </c>
      <c r="C110" s="314">
        <f t="shared" si="6"/>
        <v>8052</v>
      </c>
      <c r="D110" s="316">
        <f t="shared" si="7"/>
        <v>2004</v>
      </c>
      <c r="E110" s="316">
        <v>2004</v>
      </c>
      <c r="F110" s="316">
        <v>0</v>
      </c>
      <c r="G110" s="316">
        <v>0</v>
      </c>
      <c r="H110" s="316"/>
      <c r="I110" s="316">
        <f t="shared" si="5"/>
        <v>6048</v>
      </c>
      <c r="J110" s="316"/>
      <c r="K110" s="316"/>
      <c r="L110" s="316"/>
      <c r="M110" s="316"/>
      <c r="N110" s="316">
        <v>0</v>
      </c>
      <c r="O110" s="316">
        <v>6048</v>
      </c>
      <c r="P110" s="317"/>
    </row>
    <row r="111" spans="1:16" ht="27" customHeight="1" x14ac:dyDescent="0.25">
      <c r="A111" s="314">
        <v>100</v>
      </c>
      <c r="B111" s="315" t="s">
        <v>56</v>
      </c>
      <c r="C111" s="314">
        <f t="shared" si="6"/>
        <v>14053</v>
      </c>
      <c r="D111" s="316">
        <f t="shared" si="7"/>
        <v>3575</v>
      </c>
      <c r="E111" s="316">
        <v>3575</v>
      </c>
      <c r="F111" s="316">
        <v>142</v>
      </c>
      <c r="G111" s="316">
        <v>0</v>
      </c>
      <c r="H111" s="316"/>
      <c r="I111" s="316">
        <f t="shared" si="5"/>
        <v>10478</v>
      </c>
      <c r="J111" s="316"/>
      <c r="K111" s="316"/>
      <c r="L111" s="316"/>
      <c r="M111" s="316"/>
      <c r="N111" s="316">
        <v>308</v>
      </c>
      <c r="O111" s="316">
        <v>10170</v>
      </c>
      <c r="P111" s="317"/>
    </row>
    <row r="112" spans="1:16" ht="27" customHeight="1" x14ac:dyDescent="0.25">
      <c r="A112" s="314">
        <v>101</v>
      </c>
      <c r="B112" s="315" t="s">
        <v>57</v>
      </c>
      <c r="C112" s="314">
        <f t="shared" si="6"/>
        <v>45477</v>
      </c>
      <c r="D112" s="316">
        <f t="shared" si="7"/>
        <v>11320</v>
      </c>
      <c r="E112" s="316">
        <v>902</v>
      </c>
      <c r="F112" s="316">
        <v>0</v>
      </c>
      <c r="G112" s="316">
        <v>6787</v>
      </c>
      <c r="H112" s="316">
        <v>3631</v>
      </c>
      <c r="I112" s="316">
        <f t="shared" si="5"/>
        <v>34157</v>
      </c>
      <c r="J112" s="316">
        <v>20527</v>
      </c>
      <c r="K112" s="316">
        <v>10801</v>
      </c>
      <c r="L112" s="316"/>
      <c r="M112" s="316"/>
      <c r="N112" s="316">
        <v>0</v>
      </c>
      <c r="O112" s="316">
        <v>2829</v>
      </c>
      <c r="P112" s="317"/>
    </row>
    <row r="113" spans="1:16" ht="27" customHeight="1" x14ac:dyDescent="0.25">
      <c r="A113" s="314">
        <v>102</v>
      </c>
      <c r="B113" s="315" t="s">
        <v>58</v>
      </c>
      <c r="C113" s="314">
        <f t="shared" si="6"/>
        <v>804</v>
      </c>
      <c r="D113" s="316">
        <f t="shared" si="7"/>
        <v>804</v>
      </c>
      <c r="E113" s="316">
        <v>804</v>
      </c>
      <c r="F113" s="316">
        <v>30</v>
      </c>
      <c r="G113" s="316">
        <v>0</v>
      </c>
      <c r="H113" s="316"/>
      <c r="I113" s="316">
        <f t="shared" si="5"/>
        <v>0</v>
      </c>
      <c r="J113" s="316"/>
      <c r="K113" s="316"/>
      <c r="L113" s="316"/>
      <c r="M113" s="316"/>
      <c r="N113" s="316">
        <v>0</v>
      </c>
      <c r="O113" s="316">
        <v>0</v>
      </c>
      <c r="P113" s="317"/>
    </row>
    <row r="114" spans="1:16" ht="35.25" customHeight="1" x14ac:dyDescent="0.25">
      <c r="A114" s="426">
        <v>103</v>
      </c>
      <c r="B114" s="315" t="s">
        <v>534</v>
      </c>
      <c r="C114" s="314">
        <f t="shared" si="6"/>
        <v>5926</v>
      </c>
      <c r="D114" s="316">
        <f t="shared" si="7"/>
        <v>1796</v>
      </c>
      <c r="E114" s="316">
        <v>1796</v>
      </c>
      <c r="F114" s="316">
        <v>69</v>
      </c>
      <c r="G114" s="316">
        <v>0</v>
      </c>
      <c r="H114" s="316"/>
      <c r="I114" s="316">
        <f t="shared" si="5"/>
        <v>4130</v>
      </c>
      <c r="J114" s="316"/>
      <c r="K114" s="316"/>
      <c r="L114" s="316"/>
      <c r="M114" s="316"/>
      <c r="N114" s="316">
        <v>331</v>
      </c>
      <c r="O114" s="316">
        <v>3799</v>
      </c>
      <c r="P114" s="317"/>
    </row>
    <row r="115" spans="1:16" ht="27" customHeight="1" x14ac:dyDescent="0.25">
      <c r="A115" s="427"/>
      <c r="B115" s="315" t="s">
        <v>59</v>
      </c>
      <c r="C115" s="314">
        <f t="shared" si="6"/>
        <v>42574</v>
      </c>
      <c r="D115" s="316">
        <f t="shared" si="7"/>
        <v>10640</v>
      </c>
      <c r="E115" s="316">
        <v>10640</v>
      </c>
      <c r="F115" s="316">
        <v>26</v>
      </c>
      <c r="G115" s="316">
        <v>0</v>
      </c>
      <c r="H115" s="316"/>
      <c r="I115" s="316">
        <f t="shared" si="5"/>
        <v>31934</v>
      </c>
      <c r="J115" s="316"/>
      <c r="K115" s="316"/>
      <c r="L115" s="316"/>
      <c r="M115" s="316"/>
      <c r="N115" s="316">
        <v>623</v>
      </c>
      <c r="O115" s="316">
        <v>31311</v>
      </c>
      <c r="P115" s="317"/>
    </row>
    <row r="116" spans="1:16" ht="27" customHeight="1" x14ac:dyDescent="0.25">
      <c r="A116" s="314">
        <v>104</v>
      </c>
      <c r="B116" s="315" t="s">
        <v>535</v>
      </c>
      <c r="C116" s="314">
        <f t="shared" si="6"/>
        <v>15932</v>
      </c>
      <c r="D116" s="316">
        <f t="shared" si="7"/>
        <v>3969</v>
      </c>
      <c r="E116" s="316">
        <v>3969</v>
      </c>
      <c r="F116" s="316">
        <v>77</v>
      </c>
      <c r="G116" s="316">
        <v>0</v>
      </c>
      <c r="H116" s="316"/>
      <c r="I116" s="316">
        <f t="shared" si="5"/>
        <v>11963</v>
      </c>
      <c r="J116" s="316"/>
      <c r="K116" s="316"/>
      <c r="L116" s="316"/>
      <c r="M116" s="316"/>
      <c r="N116" s="316">
        <v>263</v>
      </c>
      <c r="O116" s="316">
        <v>11700</v>
      </c>
      <c r="P116" s="317"/>
    </row>
    <row r="117" spans="1:16" ht="27" customHeight="1" x14ac:dyDescent="0.25">
      <c r="A117" s="314">
        <v>105</v>
      </c>
      <c r="B117" s="315" t="s">
        <v>60</v>
      </c>
      <c r="C117" s="314">
        <f t="shared" si="6"/>
        <v>41449</v>
      </c>
      <c r="D117" s="316">
        <f t="shared" si="7"/>
        <v>10359</v>
      </c>
      <c r="E117" s="316">
        <v>4044</v>
      </c>
      <c r="F117" s="316">
        <v>0</v>
      </c>
      <c r="G117" s="316">
        <v>6315</v>
      </c>
      <c r="H117" s="316"/>
      <c r="I117" s="316">
        <f t="shared" si="5"/>
        <v>31090</v>
      </c>
      <c r="J117" s="316">
        <v>18957</v>
      </c>
      <c r="K117" s="316"/>
      <c r="L117" s="316"/>
      <c r="M117" s="316"/>
      <c r="N117" s="316">
        <v>0</v>
      </c>
      <c r="O117" s="316">
        <v>12133</v>
      </c>
      <c r="P117" s="317"/>
    </row>
    <row r="118" spans="1:16" ht="27" customHeight="1" x14ac:dyDescent="0.25">
      <c r="A118" s="314">
        <v>106</v>
      </c>
      <c r="B118" s="315" t="s">
        <v>61</v>
      </c>
      <c r="C118" s="314">
        <f t="shared" si="6"/>
        <v>30005</v>
      </c>
      <c r="D118" s="316">
        <f t="shared" si="7"/>
        <v>7493</v>
      </c>
      <c r="E118" s="316">
        <v>7493</v>
      </c>
      <c r="F118" s="316">
        <v>0</v>
      </c>
      <c r="G118" s="316">
        <v>0</v>
      </c>
      <c r="H118" s="316"/>
      <c r="I118" s="316">
        <f t="shared" si="5"/>
        <v>22512</v>
      </c>
      <c r="J118" s="316"/>
      <c r="K118" s="316"/>
      <c r="L118" s="316">
        <v>18000</v>
      </c>
      <c r="M118" s="316"/>
      <c r="N118" s="316">
        <v>0</v>
      </c>
      <c r="O118" s="316">
        <v>4512</v>
      </c>
      <c r="P118" s="317"/>
    </row>
    <row r="119" spans="1:16" ht="27" customHeight="1" x14ac:dyDescent="0.25">
      <c r="A119" s="314">
        <v>107</v>
      </c>
      <c r="B119" s="315" t="s">
        <v>198</v>
      </c>
      <c r="C119" s="314">
        <f t="shared" si="6"/>
        <v>11163</v>
      </c>
      <c r="D119" s="316">
        <f t="shared" si="7"/>
        <v>2784</v>
      </c>
      <c r="E119" s="316">
        <v>2784</v>
      </c>
      <c r="F119" s="316">
        <v>0</v>
      </c>
      <c r="G119" s="316">
        <v>0</v>
      </c>
      <c r="H119" s="316"/>
      <c r="I119" s="316">
        <f t="shared" si="5"/>
        <v>8379</v>
      </c>
      <c r="J119" s="316"/>
      <c r="K119" s="316"/>
      <c r="L119" s="316"/>
      <c r="M119" s="316"/>
      <c r="N119" s="316">
        <v>0</v>
      </c>
      <c r="O119" s="316">
        <v>8379</v>
      </c>
      <c r="P119" s="317"/>
    </row>
    <row r="120" spans="1:16" ht="27" customHeight="1" x14ac:dyDescent="0.25">
      <c r="A120" s="314">
        <v>108</v>
      </c>
      <c r="B120" s="315" t="s">
        <v>199</v>
      </c>
      <c r="C120" s="314">
        <f t="shared" si="6"/>
        <v>9539</v>
      </c>
      <c r="D120" s="316">
        <f t="shared" si="7"/>
        <v>2382</v>
      </c>
      <c r="E120" s="316">
        <v>2382</v>
      </c>
      <c r="F120" s="316">
        <v>0</v>
      </c>
      <c r="G120" s="316">
        <v>0</v>
      </c>
      <c r="H120" s="316"/>
      <c r="I120" s="316">
        <f t="shared" si="5"/>
        <v>7157</v>
      </c>
      <c r="J120" s="316"/>
      <c r="K120" s="316"/>
      <c r="L120" s="316"/>
      <c r="M120" s="316"/>
      <c r="N120" s="316">
        <v>0</v>
      </c>
      <c r="O120" s="316">
        <v>7157</v>
      </c>
      <c r="P120" s="317"/>
    </row>
    <row r="121" spans="1:16" ht="27" customHeight="1" x14ac:dyDescent="0.25">
      <c r="A121" s="314">
        <v>109</v>
      </c>
      <c r="B121" s="315" t="s">
        <v>200</v>
      </c>
      <c r="C121" s="314">
        <f t="shared" si="6"/>
        <v>26459</v>
      </c>
      <c r="D121" s="316">
        <f t="shared" si="7"/>
        <v>6603</v>
      </c>
      <c r="E121" s="316">
        <v>3280</v>
      </c>
      <c r="F121" s="316">
        <v>0</v>
      </c>
      <c r="G121" s="316">
        <v>3323</v>
      </c>
      <c r="H121" s="316"/>
      <c r="I121" s="316">
        <f t="shared" si="5"/>
        <v>19856</v>
      </c>
      <c r="J121" s="316">
        <v>9988</v>
      </c>
      <c r="K121" s="316"/>
      <c r="L121" s="316"/>
      <c r="M121" s="316"/>
      <c r="N121" s="316">
        <v>0</v>
      </c>
      <c r="O121" s="316">
        <v>9868</v>
      </c>
      <c r="P121" s="317"/>
    </row>
    <row r="122" spans="1:16" ht="27" customHeight="1" x14ac:dyDescent="0.25">
      <c r="A122" s="314">
        <v>110</v>
      </c>
      <c r="B122" s="315" t="s">
        <v>201</v>
      </c>
      <c r="C122" s="314">
        <f t="shared" si="6"/>
        <v>28531</v>
      </c>
      <c r="D122" s="316">
        <f t="shared" si="7"/>
        <v>7121</v>
      </c>
      <c r="E122" s="316">
        <v>3992</v>
      </c>
      <c r="F122" s="316">
        <v>0</v>
      </c>
      <c r="G122" s="316">
        <v>3129</v>
      </c>
      <c r="H122" s="316"/>
      <c r="I122" s="316">
        <f t="shared" si="5"/>
        <v>21410</v>
      </c>
      <c r="J122" s="316">
        <v>9382</v>
      </c>
      <c r="K122" s="316"/>
      <c r="L122" s="316"/>
      <c r="M122" s="316"/>
      <c r="N122" s="316">
        <v>0</v>
      </c>
      <c r="O122" s="316">
        <v>12028</v>
      </c>
      <c r="P122" s="317"/>
    </row>
    <row r="123" spans="1:16" ht="27" customHeight="1" x14ac:dyDescent="0.25">
      <c r="A123" s="314">
        <v>111</v>
      </c>
      <c r="B123" s="315" t="s">
        <v>202</v>
      </c>
      <c r="C123" s="314">
        <f t="shared" si="6"/>
        <v>5997</v>
      </c>
      <c r="D123" s="316">
        <f t="shared" si="7"/>
        <v>1500</v>
      </c>
      <c r="E123" s="316">
        <v>1500</v>
      </c>
      <c r="F123" s="316">
        <v>77</v>
      </c>
      <c r="G123" s="316">
        <v>0</v>
      </c>
      <c r="H123" s="316"/>
      <c r="I123" s="316">
        <f t="shared" si="5"/>
        <v>4497</v>
      </c>
      <c r="J123" s="316">
        <v>0</v>
      </c>
      <c r="K123" s="316"/>
      <c r="L123" s="316"/>
      <c r="M123" s="316"/>
      <c r="N123" s="316">
        <v>523</v>
      </c>
      <c r="O123" s="316">
        <v>3974</v>
      </c>
      <c r="P123" s="317"/>
    </row>
    <row r="124" spans="1:16" ht="37.5" customHeight="1" x14ac:dyDescent="0.25">
      <c r="A124" s="314">
        <v>112</v>
      </c>
      <c r="B124" s="315" t="s">
        <v>204</v>
      </c>
      <c r="C124" s="314">
        <f t="shared" si="6"/>
        <v>9800</v>
      </c>
      <c r="D124" s="316">
        <f t="shared" si="7"/>
        <v>2844</v>
      </c>
      <c r="E124" s="316">
        <v>2844</v>
      </c>
      <c r="F124" s="316">
        <v>2844</v>
      </c>
      <c r="G124" s="316">
        <v>0</v>
      </c>
      <c r="H124" s="316"/>
      <c r="I124" s="316">
        <f t="shared" si="5"/>
        <v>6956</v>
      </c>
      <c r="J124" s="316">
        <v>0</v>
      </c>
      <c r="K124" s="316"/>
      <c r="L124" s="316"/>
      <c r="M124" s="316"/>
      <c r="N124" s="316">
        <v>6956</v>
      </c>
      <c r="O124" s="316">
        <v>0</v>
      </c>
      <c r="P124" s="317"/>
    </row>
    <row r="125" spans="1:16" ht="27" customHeight="1" x14ac:dyDescent="0.25">
      <c r="A125" s="314">
        <v>113</v>
      </c>
      <c r="B125" s="315" t="s">
        <v>215</v>
      </c>
      <c r="C125" s="314">
        <f t="shared" si="6"/>
        <v>23001</v>
      </c>
      <c r="D125" s="316">
        <f t="shared" si="7"/>
        <v>5742</v>
      </c>
      <c r="E125" s="316">
        <v>5742</v>
      </c>
      <c r="F125" s="316">
        <v>5742</v>
      </c>
      <c r="G125" s="316">
        <v>0</v>
      </c>
      <c r="H125" s="316"/>
      <c r="I125" s="316">
        <f t="shared" si="5"/>
        <v>17259</v>
      </c>
      <c r="J125" s="316">
        <v>0</v>
      </c>
      <c r="K125" s="316"/>
      <c r="L125" s="316"/>
      <c r="M125" s="316"/>
      <c r="N125" s="316">
        <v>17259</v>
      </c>
      <c r="O125" s="316">
        <v>0</v>
      </c>
      <c r="P125" s="317"/>
    </row>
    <row r="126" spans="1:16" ht="27" customHeight="1" x14ac:dyDescent="0.25">
      <c r="A126" s="314">
        <v>114</v>
      </c>
      <c r="B126" s="315" t="s">
        <v>536</v>
      </c>
      <c r="C126" s="314">
        <f t="shared" si="6"/>
        <v>12</v>
      </c>
      <c r="D126" s="316">
        <f t="shared" si="7"/>
        <v>0</v>
      </c>
      <c r="E126" s="316">
        <v>0</v>
      </c>
      <c r="F126" s="316">
        <v>0</v>
      </c>
      <c r="G126" s="316">
        <v>0</v>
      </c>
      <c r="H126" s="316"/>
      <c r="I126" s="316">
        <f t="shared" si="5"/>
        <v>12</v>
      </c>
      <c r="J126" s="316">
        <v>0</v>
      </c>
      <c r="K126" s="316"/>
      <c r="L126" s="316"/>
      <c r="M126" s="316">
        <v>12</v>
      </c>
      <c r="N126" s="316"/>
      <c r="O126" s="316">
        <v>0</v>
      </c>
      <c r="P126" s="317"/>
    </row>
    <row r="127" spans="1:16" ht="27" customHeight="1" x14ac:dyDescent="0.25">
      <c r="A127" s="314">
        <v>115</v>
      </c>
      <c r="B127" s="315" t="s">
        <v>537</v>
      </c>
      <c r="C127" s="314">
        <f t="shared" si="6"/>
        <v>6</v>
      </c>
      <c r="D127" s="316">
        <f t="shared" si="7"/>
        <v>0</v>
      </c>
      <c r="E127" s="316">
        <v>0</v>
      </c>
      <c r="F127" s="316">
        <v>0</v>
      </c>
      <c r="G127" s="316">
        <v>0</v>
      </c>
      <c r="H127" s="316"/>
      <c r="I127" s="316">
        <f t="shared" si="5"/>
        <v>6</v>
      </c>
      <c r="J127" s="316">
        <v>0</v>
      </c>
      <c r="K127" s="316"/>
      <c r="L127" s="316"/>
      <c r="M127" s="316">
        <v>6</v>
      </c>
      <c r="N127" s="316"/>
      <c r="O127" s="316">
        <v>0</v>
      </c>
      <c r="P127" s="317"/>
    </row>
    <row r="128" spans="1:16" ht="27" customHeight="1" x14ac:dyDescent="0.25">
      <c r="A128" s="314">
        <v>116</v>
      </c>
      <c r="B128" s="315" t="s">
        <v>538</v>
      </c>
      <c r="C128" s="314">
        <f t="shared" si="6"/>
        <v>6</v>
      </c>
      <c r="D128" s="316">
        <f t="shared" si="7"/>
        <v>0</v>
      </c>
      <c r="E128" s="316">
        <v>0</v>
      </c>
      <c r="F128" s="316">
        <v>0</v>
      </c>
      <c r="G128" s="316">
        <v>0</v>
      </c>
      <c r="H128" s="316"/>
      <c r="I128" s="316">
        <f t="shared" si="5"/>
        <v>6</v>
      </c>
      <c r="J128" s="316">
        <v>0</v>
      </c>
      <c r="K128" s="316"/>
      <c r="L128" s="316"/>
      <c r="M128" s="316">
        <v>6</v>
      </c>
      <c r="N128" s="316"/>
      <c r="O128" s="316">
        <v>0</v>
      </c>
      <c r="P128" s="317"/>
    </row>
    <row r="129" spans="1:16" ht="27" customHeight="1" x14ac:dyDescent="0.25">
      <c r="A129" s="314">
        <v>117</v>
      </c>
      <c r="B129" s="315" t="s">
        <v>539</v>
      </c>
      <c r="C129" s="314">
        <f t="shared" si="6"/>
        <v>6</v>
      </c>
      <c r="D129" s="316">
        <f t="shared" si="7"/>
        <v>0</v>
      </c>
      <c r="E129" s="316">
        <v>0</v>
      </c>
      <c r="F129" s="316">
        <v>0</v>
      </c>
      <c r="G129" s="316">
        <v>0</v>
      </c>
      <c r="H129" s="316"/>
      <c r="I129" s="316">
        <f t="shared" si="5"/>
        <v>6</v>
      </c>
      <c r="J129" s="316">
        <v>0</v>
      </c>
      <c r="K129" s="316"/>
      <c r="L129" s="316"/>
      <c r="M129" s="316">
        <v>6</v>
      </c>
      <c r="N129" s="316"/>
      <c r="O129" s="316">
        <v>0</v>
      </c>
      <c r="P129" s="317"/>
    </row>
    <row r="130" spans="1:16" ht="27" customHeight="1" x14ac:dyDescent="0.25">
      <c r="A130" s="314">
        <v>118</v>
      </c>
      <c r="B130" s="315" t="s">
        <v>119</v>
      </c>
      <c r="C130" s="314">
        <f t="shared" si="6"/>
        <v>6</v>
      </c>
      <c r="D130" s="316">
        <f t="shared" si="7"/>
        <v>6</v>
      </c>
      <c r="E130" s="316">
        <v>6</v>
      </c>
      <c r="F130" s="316">
        <v>6</v>
      </c>
      <c r="G130" s="316">
        <v>0</v>
      </c>
      <c r="H130" s="316"/>
      <c r="I130" s="316">
        <f t="shared" si="5"/>
        <v>0</v>
      </c>
      <c r="J130" s="316">
        <v>0</v>
      </c>
      <c r="K130" s="316"/>
      <c r="L130" s="316"/>
      <c r="M130" s="316">
        <v>0</v>
      </c>
      <c r="N130" s="316"/>
      <c r="O130" s="316">
        <v>0</v>
      </c>
      <c r="P130" s="317"/>
    </row>
    <row r="131" spans="1:16" ht="27" customHeight="1" x14ac:dyDescent="0.25">
      <c r="A131" s="314">
        <v>119</v>
      </c>
      <c r="B131" s="315" t="s">
        <v>540</v>
      </c>
      <c r="C131" s="314">
        <f t="shared" si="6"/>
        <v>0</v>
      </c>
      <c r="D131" s="316">
        <f t="shared" si="7"/>
        <v>0</v>
      </c>
      <c r="E131" s="316">
        <v>0</v>
      </c>
      <c r="F131" s="316">
        <v>0</v>
      </c>
      <c r="G131" s="316">
        <v>0</v>
      </c>
      <c r="H131" s="316"/>
      <c r="I131" s="316">
        <f t="shared" si="5"/>
        <v>0</v>
      </c>
      <c r="J131" s="316">
        <v>0</v>
      </c>
      <c r="K131" s="316"/>
      <c r="L131" s="316"/>
      <c r="M131" s="316">
        <v>0</v>
      </c>
      <c r="N131" s="316"/>
      <c r="O131" s="316">
        <v>0</v>
      </c>
      <c r="P131" s="317"/>
    </row>
    <row r="132" spans="1:16" ht="27" customHeight="1" x14ac:dyDescent="0.25">
      <c r="A132" s="314">
        <v>120</v>
      </c>
      <c r="B132" s="315" t="s">
        <v>409</v>
      </c>
      <c r="C132" s="314">
        <f t="shared" si="6"/>
        <v>2245</v>
      </c>
      <c r="D132" s="316">
        <f t="shared" si="7"/>
        <v>559</v>
      </c>
      <c r="E132" s="316">
        <v>559</v>
      </c>
      <c r="F132" s="316">
        <v>242</v>
      </c>
      <c r="G132" s="316">
        <v>0</v>
      </c>
      <c r="H132" s="316"/>
      <c r="I132" s="316">
        <f t="shared" si="5"/>
        <v>1686</v>
      </c>
      <c r="J132" s="316"/>
      <c r="K132" s="316"/>
      <c r="L132" s="316"/>
      <c r="M132" s="316"/>
      <c r="N132" s="316">
        <v>803</v>
      </c>
      <c r="O132" s="316">
        <v>883</v>
      </c>
      <c r="P132" s="317"/>
    </row>
    <row r="133" spans="1:16" ht="27" customHeight="1" x14ac:dyDescent="0.25">
      <c r="A133" s="314">
        <v>121</v>
      </c>
      <c r="B133" s="315" t="s">
        <v>224</v>
      </c>
      <c r="C133" s="314">
        <f t="shared" si="6"/>
        <v>7270</v>
      </c>
      <c r="D133" s="316">
        <f t="shared" si="7"/>
        <v>1813</v>
      </c>
      <c r="E133" s="316">
        <v>1813</v>
      </c>
      <c r="F133" s="316">
        <v>0</v>
      </c>
      <c r="G133" s="316">
        <v>0</v>
      </c>
      <c r="H133" s="316"/>
      <c r="I133" s="316">
        <f t="shared" si="5"/>
        <v>5457</v>
      </c>
      <c r="J133" s="316"/>
      <c r="K133" s="316"/>
      <c r="L133" s="316"/>
      <c r="M133" s="316"/>
      <c r="N133" s="316">
        <v>1648</v>
      </c>
      <c r="O133" s="316">
        <v>3809</v>
      </c>
      <c r="P133" s="317"/>
    </row>
    <row r="134" spans="1:16" ht="27" customHeight="1" x14ac:dyDescent="0.25">
      <c r="A134" s="314">
        <v>122</v>
      </c>
      <c r="B134" s="315" t="s">
        <v>62</v>
      </c>
      <c r="C134" s="314">
        <f t="shared" si="6"/>
        <v>4028</v>
      </c>
      <c r="D134" s="316">
        <f t="shared" si="7"/>
        <v>1001</v>
      </c>
      <c r="E134" s="316">
        <v>1001</v>
      </c>
      <c r="F134" s="316">
        <v>0</v>
      </c>
      <c r="G134" s="316">
        <v>0</v>
      </c>
      <c r="H134" s="316"/>
      <c r="I134" s="316">
        <f t="shared" si="5"/>
        <v>3027</v>
      </c>
      <c r="J134" s="316"/>
      <c r="K134" s="316"/>
      <c r="L134" s="316"/>
      <c r="M134" s="316"/>
      <c r="N134" s="316">
        <v>0</v>
      </c>
      <c r="O134" s="316">
        <v>3027</v>
      </c>
      <c r="P134" s="320"/>
    </row>
    <row r="135" spans="1:16" ht="33" customHeight="1" x14ac:dyDescent="0.25">
      <c r="A135" s="314">
        <v>123</v>
      </c>
      <c r="B135" s="315" t="s">
        <v>541</v>
      </c>
      <c r="C135" s="314">
        <f t="shared" si="6"/>
        <v>12716</v>
      </c>
      <c r="D135" s="316">
        <f t="shared" si="7"/>
        <v>3170</v>
      </c>
      <c r="E135" s="316">
        <v>0</v>
      </c>
      <c r="F135" s="316">
        <v>0</v>
      </c>
      <c r="G135" s="316">
        <v>0</v>
      </c>
      <c r="H135" s="316">
        <v>3170</v>
      </c>
      <c r="I135" s="316">
        <f t="shared" si="5"/>
        <v>9546</v>
      </c>
      <c r="J135" s="316"/>
      <c r="K135" s="316">
        <v>9546</v>
      </c>
      <c r="L135" s="316"/>
      <c r="M135" s="316"/>
      <c r="N135" s="316">
        <v>0</v>
      </c>
      <c r="O135" s="316">
        <v>0</v>
      </c>
      <c r="P135" s="317"/>
    </row>
    <row r="136" spans="1:16" s="313" customFormat="1" ht="27" customHeight="1" x14ac:dyDescent="0.25">
      <c r="A136" s="314">
        <v>124</v>
      </c>
      <c r="B136" s="315" t="s">
        <v>63</v>
      </c>
      <c r="C136" s="314">
        <f t="shared" si="6"/>
        <v>23850</v>
      </c>
      <c r="D136" s="316">
        <f t="shared" si="7"/>
        <v>5951</v>
      </c>
      <c r="E136" s="316">
        <v>963</v>
      </c>
      <c r="F136" s="316">
        <v>0</v>
      </c>
      <c r="G136" s="316">
        <v>4988</v>
      </c>
      <c r="H136" s="316"/>
      <c r="I136" s="316">
        <f t="shared" si="5"/>
        <v>17899</v>
      </c>
      <c r="J136" s="319">
        <v>14986</v>
      </c>
      <c r="K136" s="319"/>
      <c r="L136" s="319">
        <f>2913-2913</f>
        <v>0</v>
      </c>
      <c r="M136" s="319">
        <v>2913</v>
      </c>
      <c r="N136" s="316">
        <v>0</v>
      </c>
      <c r="O136" s="316">
        <v>0</v>
      </c>
      <c r="P136" s="321"/>
    </row>
    <row r="137" spans="1:16" ht="27" customHeight="1" x14ac:dyDescent="0.25">
      <c r="A137" s="314">
        <v>125</v>
      </c>
      <c r="B137" s="315" t="s">
        <v>542</v>
      </c>
      <c r="C137" s="314">
        <f t="shared" si="6"/>
        <v>49841</v>
      </c>
      <c r="D137" s="316">
        <f t="shared" si="7"/>
        <v>10204</v>
      </c>
      <c r="E137" s="316">
        <v>3255</v>
      </c>
      <c r="F137" s="316">
        <v>0</v>
      </c>
      <c r="G137" s="316">
        <v>6949</v>
      </c>
      <c r="H137" s="316"/>
      <c r="I137" s="316">
        <f t="shared" si="5"/>
        <v>39637</v>
      </c>
      <c r="J137" s="319">
        <v>19840</v>
      </c>
      <c r="K137" s="316"/>
      <c r="L137" s="316">
        <v>13052</v>
      </c>
      <c r="M137" s="316"/>
      <c r="N137" s="316">
        <v>0</v>
      </c>
      <c r="O137" s="316">
        <v>6745</v>
      </c>
      <c r="P137" s="317"/>
    </row>
    <row r="138" spans="1:16" ht="27" customHeight="1" x14ac:dyDescent="0.25">
      <c r="A138" s="314">
        <v>126</v>
      </c>
      <c r="B138" s="315" t="s">
        <v>64</v>
      </c>
      <c r="C138" s="314">
        <f t="shared" si="6"/>
        <v>30000</v>
      </c>
      <c r="D138" s="316">
        <f t="shared" si="7"/>
        <v>7482</v>
      </c>
      <c r="E138" s="316">
        <v>7482</v>
      </c>
      <c r="F138" s="316">
        <v>0</v>
      </c>
      <c r="G138" s="316">
        <v>0</v>
      </c>
      <c r="H138" s="316"/>
      <c r="I138" s="316">
        <f t="shared" si="5"/>
        <v>22518</v>
      </c>
      <c r="J138" s="316"/>
      <c r="K138" s="316"/>
      <c r="L138" s="316">
        <v>22518</v>
      </c>
      <c r="M138" s="316">
        <f>22518-22518</f>
        <v>0</v>
      </c>
      <c r="N138" s="316">
        <v>0</v>
      </c>
      <c r="O138" s="316">
        <v>0</v>
      </c>
      <c r="P138" s="317"/>
    </row>
    <row r="139" spans="1:16" ht="27" customHeight="1" x14ac:dyDescent="0.25">
      <c r="A139" s="314">
        <v>127</v>
      </c>
      <c r="B139" s="315" t="s">
        <v>543</v>
      </c>
      <c r="C139" s="314">
        <f t="shared" si="6"/>
        <v>4000</v>
      </c>
      <c r="D139" s="316">
        <f t="shared" si="7"/>
        <v>998</v>
      </c>
      <c r="E139" s="316">
        <v>998</v>
      </c>
      <c r="F139" s="316">
        <v>0</v>
      </c>
      <c r="G139" s="316">
        <v>0</v>
      </c>
      <c r="H139" s="316"/>
      <c r="I139" s="316">
        <f t="shared" ref="I139" si="8">J139+K139+L139+M139+N139+O139</f>
        <v>3002</v>
      </c>
      <c r="J139" s="316"/>
      <c r="K139" s="316"/>
      <c r="L139" s="316"/>
      <c r="M139" s="316">
        <v>3002</v>
      </c>
      <c r="N139" s="316">
        <v>0</v>
      </c>
      <c r="O139" s="316">
        <v>0</v>
      </c>
      <c r="P139" s="317"/>
    </row>
    <row r="140" spans="1:16" ht="27" customHeight="1" x14ac:dyDescent="0.25">
      <c r="A140" s="314"/>
      <c r="B140" s="315" t="s">
        <v>65</v>
      </c>
      <c r="C140" s="314">
        <v>9178</v>
      </c>
      <c r="D140" s="316">
        <v>0</v>
      </c>
      <c r="E140" s="316">
        <v>0</v>
      </c>
      <c r="F140" s="316">
        <v>0</v>
      </c>
      <c r="G140" s="316">
        <v>0</v>
      </c>
      <c r="H140" s="316"/>
      <c r="I140" s="316"/>
      <c r="J140" s="316"/>
      <c r="K140" s="316"/>
      <c r="L140" s="316"/>
      <c r="M140" s="316"/>
      <c r="N140" s="316">
        <v>0</v>
      </c>
      <c r="O140" s="316">
        <v>0</v>
      </c>
      <c r="P140" s="317"/>
    </row>
    <row r="141" spans="1:16" s="325" customFormat="1" ht="26.25" customHeight="1" x14ac:dyDescent="0.25">
      <c r="A141" s="322"/>
      <c r="B141" s="323" t="s">
        <v>87</v>
      </c>
      <c r="C141" s="324">
        <f>SUM(C10:C140)</f>
        <v>2175000</v>
      </c>
      <c r="D141" s="324">
        <f t="shared" ref="D141:O141" si="9">SUM(D10:D140)</f>
        <v>538864</v>
      </c>
      <c r="E141" s="324">
        <f t="shared" si="9"/>
        <v>496671</v>
      </c>
      <c r="F141" s="324">
        <f t="shared" si="9"/>
        <v>47995</v>
      </c>
      <c r="G141" s="324">
        <f t="shared" si="9"/>
        <v>35392</v>
      </c>
      <c r="H141" s="324">
        <f t="shared" si="9"/>
        <v>6801</v>
      </c>
      <c r="I141" s="324">
        <f t="shared" si="9"/>
        <v>1626958</v>
      </c>
      <c r="J141" s="324">
        <f t="shared" si="9"/>
        <v>114518</v>
      </c>
      <c r="K141" s="324">
        <f t="shared" si="9"/>
        <v>20347</v>
      </c>
      <c r="L141" s="324">
        <f t="shared" si="9"/>
        <v>53570</v>
      </c>
      <c r="M141" s="324">
        <f t="shared" si="9"/>
        <v>6879</v>
      </c>
      <c r="N141" s="324">
        <f t="shared" si="9"/>
        <v>152986</v>
      </c>
      <c r="O141" s="324">
        <f t="shared" si="9"/>
        <v>1278658</v>
      </c>
    </row>
  </sheetData>
  <mergeCells count="22">
    <mergeCell ref="D4:H4"/>
    <mergeCell ref="I4:O4"/>
    <mergeCell ref="D5:D8"/>
    <mergeCell ref="E5:H5"/>
    <mergeCell ref="N7:N8"/>
    <mergeCell ref="O7:O8"/>
    <mergeCell ref="A93:A94"/>
    <mergeCell ref="A114:A115"/>
    <mergeCell ref="A2:O2"/>
    <mergeCell ref="I5:I8"/>
    <mergeCell ref="J5:O5"/>
    <mergeCell ref="E6:E8"/>
    <mergeCell ref="G6:H7"/>
    <mergeCell ref="J6:M6"/>
    <mergeCell ref="N6:O6"/>
    <mergeCell ref="F7:F8"/>
    <mergeCell ref="J7:K7"/>
    <mergeCell ref="L7:L8"/>
    <mergeCell ref="M7:M8"/>
    <mergeCell ref="A4:A8"/>
    <mergeCell ref="B4:B8"/>
    <mergeCell ref="C4:C8"/>
  </mergeCells>
  <conditionalFormatting sqref="B1:C1 B9 B167:C1048576 B141:C165 B4 D141:O141">
    <cfRule type="containsText" dxfId="2" priority="3" operator="containsText" text="агид">
      <formula>NOT(ISERROR(SEARCH("агид",B1)))</formula>
    </cfRule>
  </conditionalFormatting>
  <conditionalFormatting sqref="B3:C3">
    <cfRule type="containsText" dxfId="1" priority="2" operator="containsText" text="агид">
      <formula>NOT(ISERROR(SEARCH("агид",B3)))</formula>
    </cfRule>
  </conditionalFormatting>
  <conditionalFormatting sqref="C9:O9">
    <cfRule type="containsText" dxfId="0" priority="1" operator="containsText" text="агид">
      <formula>NOT(ISERROR(SEARCH("агид",C9)))</formula>
    </cfRule>
  </conditionalFormatting>
  <pageMargins left="0.78740157480314965" right="0" top="0" bottom="0" header="0.31496062992125984" footer="0.31496062992125984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="90" zoomScaleNormal="90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G59" sqref="G59"/>
    </sheetView>
  </sheetViews>
  <sheetFormatPr defaultRowHeight="12.75" x14ac:dyDescent="0.25"/>
  <cols>
    <col min="1" max="1" width="6.140625" style="3" customWidth="1"/>
    <col min="2" max="2" width="37.42578125" style="2" customWidth="1"/>
    <col min="3" max="3" width="10.7109375" style="2" customWidth="1"/>
    <col min="4" max="4" width="10.5703125" style="4" customWidth="1"/>
    <col min="5" max="5" width="11" style="4" customWidth="1"/>
    <col min="6" max="6" width="11.7109375" style="4" customWidth="1"/>
    <col min="7" max="7" width="10.85546875" style="4" customWidth="1"/>
    <col min="8" max="8" width="10.42578125" style="4" customWidth="1"/>
    <col min="9" max="9" width="9" style="4" customWidth="1"/>
    <col min="10" max="10" width="10.42578125" style="4" customWidth="1"/>
    <col min="11" max="11" width="13.85546875" style="4" customWidth="1"/>
    <col min="12" max="12" width="10.7109375" style="4" customWidth="1"/>
    <col min="13" max="13" width="9.5703125" style="2" bestFit="1" customWidth="1"/>
    <col min="14" max="14" width="11.85546875" style="2" customWidth="1"/>
    <col min="15" max="16384" width="9.140625" style="2"/>
  </cols>
  <sheetData>
    <row r="1" spans="1:13" ht="22.5" customHeight="1" x14ac:dyDescent="0.25">
      <c r="A1" s="439" t="s">
        <v>286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3" ht="13.5" thickBot="1" x14ac:dyDescent="0.3"/>
    <row r="3" spans="1:13" ht="15.75" customHeight="1" x14ac:dyDescent="0.25">
      <c r="A3" s="440" t="s">
        <v>0</v>
      </c>
      <c r="B3" s="442" t="s">
        <v>82</v>
      </c>
      <c r="C3" s="444" t="s">
        <v>105</v>
      </c>
      <c r="D3" s="445"/>
      <c r="E3" s="445"/>
      <c r="F3" s="445"/>
      <c r="G3" s="446"/>
      <c r="H3" s="447" t="s">
        <v>106</v>
      </c>
      <c r="I3" s="448"/>
      <c r="J3" s="448"/>
      <c r="K3" s="449"/>
      <c r="L3" s="450" t="s">
        <v>104</v>
      </c>
    </row>
    <row r="4" spans="1:13" ht="28.5" customHeight="1" thickBot="1" x14ac:dyDescent="0.3">
      <c r="A4" s="441"/>
      <c r="B4" s="443"/>
      <c r="C4" s="127" t="s">
        <v>107</v>
      </c>
      <c r="D4" s="5" t="s">
        <v>108</v>
      </c>
      <c r="E4" s="5" t="s">
        <v>109</v>
      </c>
      <c r="F4" s="6" t="s">
        <v>110</v>
      </c>
      <c r="G4" s="7" t="s">
        <v>88</v>
      </c>
      <c r="H4" s="8" t="s">
        <v>108</v>
      </c>
      <c r="I4" s="5" t="s">
        <v>109</v>
      </c>
      <c r="J4" s="6" t="s">
        <v>110</v>
      </c>
      <c r="K4" s="9" t="s">
        <v>88</v>
      </c>
      <c r="L4" s="451"/>
    </row>
    <row r="5" spans="1:13" x14ac:dyDescent="0.25">
      <c r="A5" s="10">
        <v>1</v>
      </c>
      <c r="B5" s="11" t="s">
        <v>6</v>
      </c>
      <c r="C5" s="12"/>
      <c r="D5" s="13">
        <v>698</v>
      </c>
      <c r="E5" s="13">
        <v>36</v>
      </c>
      <c r="F5" s="13">
        <v>127</v>
      </c>
      <c r="G5" s="14">
        <f>C5+D5+E5+F5</f>
        <v>861</v>
      </c>
      <c r="H5" s="15"/>
      <c r="I5" s="16"/>
      <c r="J5" s="16"/>
      <c r="K5" s="17">
        <f>H5+I5+J5</f>
        <v>0</v>
      </c>
      <c r="L5" s="18">
        <f t="shared" ref="L5:L48" si="0">G5+K5</f>
        <v>861</v>
      </c>
      <c r="M5" s="19"/>
    </row>
    <row r="6" spans="1:13" x14ac:dyDescent="0.25">
      <c r="A6" s="20">
        <v>2</v>
      </c>
      <c r="B6" s="21" t="s">
        <v>9</v>
      </c>
      <c r="C6" s="22"/>
      <c r="D6" s="23">
        <v>984</v>
      </c>
      <c r="E6" s="23">
        <v>48</v>
      </c>
      <c r="F6" s="23"/>
      <c r="G6" s="14">
        <f t="shared" ref="G6:G48" si="1">C6+D6+E6+F6</f>
        <v>1032</v>
      </c>
      <c r="H6" s="24"/>
      <c r="I6" s="25"/>
      <c r="J6" s="25"/>
      <c r="K6" s="26">
        <f>H6+I6+J6</f>
        <v>0</v>
      </c>
      <c r="L6" s="27">
        <f t="shared" si="0"/>
        <v>1032</v>
      </c>
      <c r="M6" s="19"/>
    </row>
    <row r="7" spans="1:13" x14ac:dyDescent="0.25">
      <c r="A7" s="20">
        <v>3</v>
      </c>
      <c r="B7" s="21" t="s">
        <v>11</v>
      </c>
      <c r="C7" s="22"/>
      <c r="D7" s="23">
        <v>2546</v>
      </c>
      <c r="E7" s="23"/>
      <c r="F7" s="23">
        <v>444</v>
      </c>
      <c r="G7" s="14">
        <f t="shared" si="1"/>
        <v>2990</v>
      </c>
      <c r="H7" s="24">
        <v>1621</v>
      </c>
      <c r="I7" s="25"/>
      <c r="J7" s="25"/>
      <c r="K7" s="26">
        <f>H7+I7+J7</f>
        <v>1621</v>
      </c>
      <c r="L7" s="27">
        <f t="shared" si="0"/>
        <v>4611</v>
      </c>
      <c r="M7" s="19"/>
    </row>
    <row r="8" spans="1:13" x14ac:dyDescent="0.25">
      <c r="A8" s="20">
        <v>4</v>
      </c>
      <c r="B8" s="21" t="s">
        <v>13</v>
      </c>
      <c r="C8" s="22"/>
      <c r="D8" s="23">
        <v>1751</v>
      </c>
      <c r="E8" s="23"/>
      <c r="F8" s="23">
        <v>300</v>
      </c>
      <c r="G8" s="14">
        <f t="shared" si="1"/>
        <v>2051</v>
      </c>
      <c r="H8" s="24"/>
      <c r="I8" s="25"/>
      <c r="J8" s="25"/>
      <c r="K8" s="26">
        <f t="shared" ref="K8:K48" si="2">H8+I8+J8</f>
        <v>0</v>
      </c>
      <c r="L8" s="27">
        <f t="shared" si="0"/>
        <v>2051</v>
      </c>
      <c r="M8" s="19"/>
    </row>
    <row r="9" spans="1:13" x14ac:dyDescent="0.25">
      <c r="A9" s="20">
        <v>5</v>
      </c>
      <c r="B9" s="21" t="s">
        <v>15</v>
      </c>
      <c r="C9" s="22"/>
      <c r="D9" s="23">
        <f>497-260</f>
        <v>237</v>
      </c>
      <c r="E9" s="23"/>
      <c r="F9" s="23"/>
      <c r="G9" s="14">
        <f t="shared" si="1"/>
        <v>237</v>
      </c>
      <c r="H9" s="24"/>
      <c r="I9" s="25"/>
      <c r="J9" s="25"/>
      <c r="K9" s="26">
        <f t="shared" si="2"/>
        <v>0</v>
      </c>
      <c r="L9" s="27">
        <f t="shared" si="0"/>
        <v>237</v>
      </c>
      <c r="M9" s="19"/>
    </row>
    <row r="10" spans="1:13" x14ac:dyDescent="0.25">
      <c r="A10" s="20">
        <v>6</v>
      </c>
      <c r="B10" s="21" t="s">
        <v>111</v>
      </c>
      <c r="C10" s="22"/>
      <c r="D10" s="23">
        <v>230</v>
      </c>
      <c r="E10" s="23"/>
      <c r="F10" s="23"/>
      <c r="G10" s="14">
        <f t="shared" si="1"/>
        <v>230</v>
      </c>
      <c r="H10" s="24"/>
      <c r="I10" s="25"/>
      <c r="J10" s="25"/>
      <c r="K10" s="26">
        <f t="shared" si="2"/>
        <v>0</v>
      </c>
      <c r="L10" s="27">
        <f t="shared" si="0"/>
        <v>230</v>
      </c>
      <c r="M10" s="19"/>
    </row>
    <row r="11" spans="1:13" x14ac:dyDescent="0.25">
      <c r="A11" s="20">
        <v>7</v>
      </c>
      <c r="B11" s="21" t="s">
        <v>22</v>
      </c>
      <c r="C11" s="22"/>
      <c r="D11" s="23">
        <v>963</v>
      </c>
      <c r="E11" s="23"/>
      <c r="F11" s="23"/>
      <c r="G11" s="14">
        <f t="shared" si="1"/>
        <v>963</v>
      </c>
      <c r="H11" s="24"/>
      <c r="I11" s="25"/>
      <c r="J11" s="25"/>
      <c r="K11" s="26">
        <f t="shared" si="2"/>
        <v>0</v>
      </c>
      <c r="L11" s="27">
        <f t="shared" si="0"/>
        <v>963</v>
      </c>
      <c r="M11" s="19"/>
    </row>
    <row r="12" spans="1:13" x14ac:dyDescent="0.25">
      <c r="A12" s="20">
        <v>8</v>
      </c>
      <c r="B12" s="21" t="s">
        <v>99</v>
      </c>
      <c r="C12" s="22"/>
      <c r="D12" s="23">
        <v>2091</v>
      </c>
      <c r="E12" s="23">
        <v>93</v>
      </c>
      <c r="F12" s="23">
        <v>253</v>
      </c>
      <c r="G12" s="14">
        <f t="shared" si="1"/>
        <v>2437</v>
      </c>
      <c r="H12" s="24">
        <v>2209</v>
      </c>
      <c r="I12" s="25">
        <v>58</v>
      </c>
      <c r="J12" s="25"/>
      <c r="K12" s="26">
        <f t="shared" si="2"/>
        <v>2267</v>
      </c>
      <c r="L12" s="27">
        <f t="shared" si="0"/>
        <v>4704</v>
      </c>
      <c r="M12" s="19"/>
    </row>
    <row r="13" spans="1:13" ht="25.5" x14ac:dyDescent="0.25">
      <c r="A13" s="20">
        <v>9</v>
      </c>
      <c r="B13" s="28" t="s">
        <v>100</v>
      </c>
      <c r="C13" s="29"/>
      <c r="D13" s="23">
        <v>1681</v>
      </c>
      <c r="E13" s="23">
        <v>68</v>
      </c>
      <c r="F13" s="23"/>
      <c r="G13" s="14">
        <f t="shared" si="1"/>
        <v>1749</v>
      </c>
      <c r="H13" s="24"/>
      <c r="I13" s="25"/>
      <c r="J13" s="25"/>
      <c r="K13" s="26">
        <f t="shared" si="2"/>
        <v>0</v>
      </c>
      <c r="L13" s="27">
        <f t="shared" si="0"/>
        <v>1749</v>
      </c>
      <c r="M13" s="19"/>
    </row>
    <row r="14" spans="1:13" x14ac:dyDescent="0.25">
      <c r="A14" s="20">
        <v>10</v>
      </c>
      <c r="B14" s="21" t="s">
        <v>36</v>
      </c>
      <c r="C14" s="22"/>
      <c r="D14" s="23">
        <v>1179</v>
      </c>
      <c r="E14" s="23">
        <f>57-57</f>
        <v>0</v>
      </c>
      <c r="F14" s="23">
        <f>0+39</f>
        <v>39</v>
      </c>
      <c r="G14" s="14">
        <f t="shared" si="1"/>
        <v>1218</v>
      </c>
      <c r="H14" s="24"/>
      <c r="I14" s="25"/>
      <c r="J14" s="25"/>
      <c r="K14" s="26">
        <f t="shared" si="2"/>
        <v>0</v>
      </c>
      <c r="L14" s="27">
        <f t="shared" si="0"/>
        <v>1218</v>
      </c>
      <c r="M14" s="19"/>
    </row>
    <row r="15" spans="1:13" x14ac:dyDescent="0.25">
      <c r="A15" s="20">
        <v>11</v>
      </c>
      <c r="B15" s="21" t="s">
        <v>112</v>
      </c>
      <c r="C15" s="22"/>
      <c r="D15" s="23">
        <f>2926-700</f>
        <v>2226</v>
      </c>
      <c r="E15" s="23"/>
      <c r="F15" s="23">
        <v>448</v>
      </c>
      <c r="G15" s="14">
        <f t="shared" si="1"/>
        <v>2674</v>
      </c>
      <c r="H15" s="24"/>
      <c r="I15" s="25"/>
      <c r="J15" s="25"/>
      <c r="K15" s="26">
        <f t="shared" si="2"/>
        <v>0</v>
      </c>
      <c r="L15" s="27">
        <f t="shared" si="0"/>
        <v>2674</v>
      </c>
      <c r="M15" s="19"/>
    </row>
    <row r="16" spans="1:13" x14ac:dyDescent="0.25">
      <c r="A16" s="20">
        <v>12</v>
      </c>
      <c r="B16" s="30" t="s">
        <v>113</v>
      </c>
      <c r="C16" s="31"/>
      <c r="D16" s="23">
        <v>1124</v>
      </c>
      <c r="E16" s="23">
        <v>56</v>
      </c>
      <c r="F16" s="23"/>
      <c r="G16" s="14">
        <f t="shared" si="1"/>
        <v>1180</v>
      </c>
      <c r="H16" s="24"/>
      <c r="I16" s="25"/>
      <c r="J16" s="25"/>
      <c r="K16" s="26">
        <f t="shared" si="2"/>
        <v>0</v>
      </c>
      <c r="L16" s="27">
        <f t="shared" si="0"/>
        <v>1180</v>
      </c>
      <c r="M16" s="19"/>
    </row>
    <row r="17" spans="1:13" x14ac:dyDescent="0.25">
      <c r="A17" s="20">
        <v>13</v>
      </c>
      <c r="B17" s="21" t="s">
        <v>53</v>
      </c>
      <c r="C17" s="22"/>
      <c r="D17" s="23">
        <v>2674</v>
      </c>
      <c r="E17" s="23">
        <v>88</v>
      </c>
      <c r="F17" s="23"/>
      <c r="G17" s="14">
        <f t="shared" si="1"/>
        <v>2762</v>
      </c>
      <c r="H17" s="24"/>
      <c r="I17" s="25"/>
      <c r="J17" s="25"/>
      <c r="K17" s="26">
        <f t="shared" si="2"/>
        <v>0</v>
      </c>
      <c r="L17" s="27">
        <f t="shared" si="0"/>
        <v>2762</v>
      </c>
      <c r="M17" s="19"/>
    </row>
    <row r="18" spans="1:13" x14ac:dyDescent="0.25">
      <c r="A18" s="20">
        <v>14</v>
      </c>
      <c r="B18" s="21" t="s">
        <v>28</v>
      </c>
      <c r="C18" s="22"/>
      <c r="D18" s="23">
        <f>889-200</f>
        <v>689</v>
      </c>
      <c r="E18" s="23">
        <v>44</v>
      </c>
      <c r="F18" s="23"/>
      <c r="G18" s="14">
        <f t="shared" si="1"/>
        <v>733</v>
      </c>
      <c r="H18" s="24"/>
      <c r="I18" s="25"/>
      <c r="J18" s="25"/>
      <c r="K18" s="26">
        <f t="shared" si="2"/>
        <v>0</v>
      </c>
      <c r="L18" s="27">
        <f t="shared" si="0"/>
        <v>733</v>
      </c>
      <c r="M18" s="19"/>
    </row>
    <row r="19" spans="1:13" x14ac:dyDescent="0.25">
      <c r="A19" s="20">
        <v>15</v>
      </c>
      <c r="B19" s="21" t="s">
        <v>37</v>
      </c>
      <c r="C19" s="22"/>
      <c r="D19" s="23">
        <v>1331</v>
      </c>
      <c r="E19" s="23"/>
      <c r="F19" s="23">
        <v>229</v>
      </c>
      <c r="G19" s="14">
        <f t="shared" si="1"/>
        <v>1560</v>
      </c>
      <c r="H19" s="24"/>
      <c r="I19" s="25"/>
      <c r="J19" s="25"/>
      <c r="K19" s="26">
        <f t="shared" si="2"/>
        <v>0</v>
      </c>
      <c r="L19" s="27">
        <f t="shared" si="0"/>
        <v>1560</v>
      </c>
      <c r="M19" s="19"/>
    </row>
    <row r="20" spans="1:13" x14ac:dyDescent="0.25">
      <c r="A20" s="20">
        <v>16</v>
      </c>
      <c r="B20" s="21" t="s">
        <v>21</v>
      </c>
      <c r="C20" s="22"/>
      <c r="D20" s="23">
        <v>902</v>
      </c>
      <c r="E20" s="23">
        <v>46</v>
      </c>
      <c r="F20" s="23"/>
      <c r="G20" s="14">
        <f t="shared" si="1"/>
        <v>948</v>
      </c>
      <c r="H20" s="24"/>
      <c r="I20" s="25"/>
      <c r="J20" s="25"/>
      <c r="K20" s="26">
        <f t="shared" si="2"/>
        <v>0</v>
      </c>
      <c r="L20" s="27">
        <f t="shared" si="0"/>
        <v>948</v>
      </c>
      <c r="M20" s="19"/>
    </row>
    <row r="21" spans="1:13" x14ac:dyDescent="0.25">
      <c r="A21" s="20">
        <v>17</v>
      </c>
      <c r="B21" s="32" t="s">
        <v>45</v>
      </c>
      <c r="C21" s="33"/>
      <c r="D21" s="23">
        <f>1882-300</f>
        <v>1582</v>
      </c>
      <c r="E21" s="23"/>
      <c r="F21" s="23"/>
      <c r="G21" s="14">
        <f t="shared" si="1"/>
        <v>1582</v>
      </c>
      <c r="H21" s="24"/>
      <c r="I21" s="25"/>
      <c r="J21" s="25"/>
      <c r="K21" s="26">
        <f t="shared" si="2"/>
        <v>0</v>
      </c>
      <c r="L21" s="27">
        <f t="shared" si="0"/>
        <v>1582</v>
      </c>
      <c r="M21" s="19"/>
    </row>
    <row r="22" spans="1:13" x14ac:dyDescent="0.25">
      <c r="A22" s="20">
        <v>18</v>
      </c>
      <c r="B22" s="32" t="s">
        <v>95</v>
      </c>
      <c r="C22" s="33"/>
      <c r="D22" s="23">
        <f>746-350</f>
        <v>396</v>
      </c>
      <c r="E22" s="23">
        <v>36</v>
      </c>
      <c r="F22" s="23"/>
      <c r="G22" s="14">
        <f t="shared" si="1"/>
        <v>432</v>
      </c>
      <c r="H22" s="24"/>
      <c r="I22" s="25"/>
      <c r="J22" s="25"/>
      <c r="K22" s="26">
        <f t="shared" si="2"/>
        <v>0</v>
      </c>
      <c r="L22" s="27">
        <f>G22+K22</f>
        <v>432</v>
      </c>
      <c r="M22" s="19"/>
    </row>
    <row r="23" spans="1:13" x14ac:dyDescent="0.25">
      <c r="A23" s="20">
        <v>19</v>
      </c>
      <c r="B23" s="21" t="s">
        <v>52</v>
      </c>
      <c r="C23" s="22"/>
      <c r="D23" s="23">
        <v>937</v>
      </c>
      <c r="E23" s="23">
        <v>49</v>
      </c>
      <c r="F23" s="23">
        <v>167</v>
      </c>
      <c r="G23" s="14">
        <f t="shared" si="1"/>
        <v>1153</v>
      </c>
      <c r="H23" s="24"/>
      <c r="I23" s="25"/>
      <c r="J23" s="25"/>
      <c r="K23" s="26">
        <f t="shared" si="2"/>
        <v>0</v>
      </c>
      <c r="L23" s="27">
        <f t="shared" si="0"/>
        <v>1153</v>
      </c>
      <c r="M23" s="19"/>
    </row>
    <row r="24" spans="1:13" x14ac:dyDescent="0.25">
      <c r="A24" s="20">
        <v>20</v>
      </c>
      <c r="B24" s="34" t="s">
        <v>114</v>
      </c>
      <c r="C24" s="35"/>
      <c r="D24" s="23"/>
      <c r="E24" s="23"/>
      <c r="F24" s="23"/>
      <c r="G24" s="14">
        <f t="shared" si="1"/>
        <v>0</v>
      </c>
      <c r="H24" s="24">
        <f>1130-283</f>
        <v>847</v>
      </c>
      <c r="I24" s="25"/>
      <c r="J24" s="25"/>
      <c r="K24" s="26">
        <f t="shared" si="2"/>
        <v>847</v>
      </c>
      <c r="L24" s="27">
        <f t="shared" si="0"/>
        <v>847</v>
      </c>
      <c r="M24" s="19"/>
    </row>
    <row r="25" spans="1:13" x14ac:dyDescent="0.25">
      <c r="A25" s="20">
        <v>21</v>
      </c>
      <c r="B25" s="34" t="s">
        <v>115</v>
      </c>
      <c r="C25" s="35"/>
      <c r="D25" s="23">
        <v>617</v>
      </c>
      <c r="E25" s="23">
        <v>32</v>
      </c>
      <c r="F25" s="23"/>
      <c r="G25" s="14">
        <f t="shared" si="1"/>
        <v>649</v>
      </c>
      <c r="H25" s="24">
        <f>1633+872-598+587</f>
        <v>2494</v>
      </c>
      <c r="I25" s="25">
        <f>34+22-35+88</f>
        <v>109</v>
      </c>
      <c r="J25" s="25">
        <f>0+21+19</f>
        <v>40</v>
      </c>
      <c r="K25" s="26">
        <f t="shared" si="2"/>
        <v>2643</v>
      </c>
      <c r="L25" s="27">
        <f t="shared" si="0"/>
        <v>3292</v>
      </c>
      <c r="M25" s="19"/>
    </row>
    <row r="26" spans="1:13" x14ac:dyDescent="0.25">
      <c r="A26" s="20">
        <v>22</v>
      </c>
      <c r="B26" s="21" t="s">
        <v>116</v>
      </c>
      <c r="C26" s="22"/>
      <c r="D26" s="23">
        <v>218</v>
      </c>
      <c r="E26" s="23">
        <v>8</v>
      </c>
      <c r="F26" s="23">
        <v>29</v>
      </c>
      <c r="G26" s="14">
        <f t="shared" si="1"/>
        <v>255</v>
      </c>
      <c r="H26" s="24"/>
      <c r="I26" s="25"/>
      <c r="J26" s="25"/>
      <c r="K26" s="26">
        <f t="shared" si="2"/>
        <v>0</v>
      </c>
      <c r="L26" s="27">
        <f t="shared" si="0"/>
        <v>255</v>
      </c>
      <c r="M26" s="19"/>
    </row>
    <row r="27" spans="1:13" x14ac:dyDescent="0.25">
      <c r="A27" s="20">
        <v>23</v>
      </c>
      <c r="B27" s="21" t="s">
        <v>117</v>
      </c>
      <c r="C27" s="22"/>
      <c r="D27" s="23"/>
      <c r="E27" s="23"/>
      <c r="F27" s="23"/>
      <c r="G27" s="14">
        <f t="shared" si="1"/>
        <v>0</v>
      </c>
      <c r="H27" s="24">
        <v>1045</v>
      </c>
      <c r="I27" s="25"/>
      <c r="J27" s="25"/>
      <c r="K27" s="26">
        <f t="shared" si="2"/>
        <v>1045</v>
      </c>
      <c r="L27" s="27">
        <f t="shared" si="0"/>
        <v>1045</v>
      </c>
      <c r="M27" s="19"/>
    </row>
    <row r="28" spans="1:13" x14ac:dyDescent="0.25">
      <c r="A28" s="20">
        <v>24</v>
      </c>
      <c r="B28" s="34" t="s">
        <v>118</v>
      </c>
      <c r="C28" s="35"/>
      <c r="D28" s="23"/>
      <c r="E28" s="23"/>
      <c r="F28" s="23"/>
      <c r="G28" s="14">
        <f t="shared" si="1"/>
        <v>0</v>
      </c>
      <c r="H28" s="24">
        <f>652+28+821</f>
        <v>1501</v>
      </c>
      <c r="I28" s="25">
        <f>37+30</f>
        <v>67</v>
      </c>
      <c r="J28" s="25"/>
      <c r="K28" s="26">
        <f t="shared" si="2"/>
        <v>1568</v>
      </c>
      <c r="L28" s="27">
        <f t="shared" si="0"/>
        <v>1568</v>
      </c>
      <c r="M28" s="19"/>
    </row>
    <row r="29" spans="1:13" x14ac:dyDescent="0.25">
      <c r="A29" s="20">
        <v>25</v>
      </c>
      <c r="B29" s="21" t="s">
        <v>119</v>
      </c>
      <c r="C29" s="22"/>
      <c r="D29" s="23">
        <f>303-8</f>
        <v>295</v>
      </c>
      <c r="E29" s="23">
        <f>15-1</f>
        <v>14</v>
      </c>
      <c r="F29" s="23"/>
      <c r="G29" s="14">
        <f t="shared" si="1"/>
        <v>309</v>
      </c>
      <c r="H29" s="24">
        <f>731-183</f>
        <v>548</v>
      </c>
      <c r="I29" s="25">
        <v>15</v>
      </c>
      <c r="J29" s="25"/>
      <c r="K29" s="26">
        <f t="shared" si="2"/>
        <v>563</v>
      </c>
      <c r="L29" s="27">
        <f t="shared" si="0"/>
        <v>872</v>
      </c>
      <c r="M29" s="19"/>
    </row>
    <row r="30" spans="1:13" ht="15" customHeight="1" x14ac:dyDescent="0.25">
      <c r="A30" s="20">
        <v>26</v>
      </c>
      <c r="B30" s="21" t="s">
        <v>120</v>
      </c>
      <c r="C30" s="22"/>
      <c r="D30" s="23"/>
      <c r="E30" s="23"/>
      <c r="F30" s="23"/>
      <c r="G30" s="14">
        <f t="shared" si="1"/>
        <v>0</v>
      </c>
      <c r="H30" s="24">
        <v>326</v>
      </c>
      <c r="I30" s="25">
        <v>7</v>
      </c>
      <c r="J30" s="25"/>
      <c r="K30" s="26">
        <f t="shared" si="2"/>
        <v>333</v>
      </c>
      <c r="L30" s="27">
        <f t="shared" si="0"/>
        <v>333</v>
      </c>
      <c r="M30" s="19"/>
    </row>
    <row r="31" spans="1:13" x14ac:dyDescent="0.25">
      <c r="A31" s="20">
        <v>27</v>
      </c>
      <c r="B31" s="36" t="s">
        <v>121</v>
      </c>
      <c r="C31" s="37"/>
      <c r="D31" s="23">
        <f>625-25+320+160</f>
        <v>1080</v>
      </c>
      <c r="E31" s="23">
        <f>24+16+8</f>
        <v>48</v>
      </c>
      <c r="F31" s="23">
        <f>0+7</f>
        <v>7</v>
      </c>
      <c r="G31" s="14">
        <f t="shared" si="1"/>
        <v>1135</v>
      </c>
      <c r="H31" s="24"/>
      <c r="I31" s="25"/>
      <c r="J31" s="25"/>
      <c r="K31" s="26">
        <f t="shared" si="2"/>
        <v>0</v>
      </c>
      <c r="L31" s="27">
        <f t="shared" si="0"/>
        <v>1135</v>
      </c>
      <c r="M31" s="19"/>
    </row>
    <row r="32" spans="1:13" x14ac:dyDescent="0.25">
      <c r="A32" s="20">
        <v>28</v>
      </c>
      <c r="B32" s="21" t="s">
        <v>122</v>
      </c>
      <c r="C32" s="22"/>
      <c r="D32" s="23">
        <v>1091</v>
      </c>
      <c r="E32" s="23"/>
      <c r="F32" s="23"/>
      <c r="G32" s="14">
        <f t="shared" si="1"/>
        <v>1091</v>
      </c>
      <c r="H32" s="24"/>
      <c r="I32" s="25"/>
      <c r="J32" s="25"/>
      <c r="K32" s="26">
        <f t="shared" si="2"/>
        <v>0</v>
      </c>
      <c r="L32" s="27">
        <f t="shared" si="0"/>
        <v>1091</v>
      </c>
      <c r="M32" s="19"/>
    </row>
    <row r="33" spans="1:13" x14ac:dyDescent="0.25">
      <c r="A33" s="20">
        <v>29</v>
      </c>
      <c r="B33" s="21" t="s">
        <v>123</v>
      </c>
      <c r="C33" s="22"/>
      <c r="D33" s="23">
        <v>2975</v>
      </c>
      <c r="E33" s="23">
        <v>58</v>
      </c>
      <c r="F33" s="23">
        <v>89</v>
      </c>
      <c r="G33" s="14">
        <f t="shared" si="1"/>
        <v>3122</v>
      </c>
      <c r="H33" s="24"/>
      <c r="I33" s="25"/>
      <c r="J33" s="25"/>
      <c r="K33" s="26">
        <f t="shared" si="2"/>
        <v>0</v>
      </c>
      <c r="L33" s="27">
        <f t="shared" si="0"/>
        <v>3122</v>
      </c>
      <c r="M33" s="19"/>
    </row>
    <row r="34" spans="1:13" x14ac:dyDescent="0.25">
      <c r="A34" s="20">
        <v>30</v>
      </c>
      <c r="B34" s="38" t="s">
        <v>124</v>
      </c>
      <c r="C34" s="39"/>
      <c r="D34" s="165">
        <f>1908-320-160</f>
        <v>1428</v>
      </c>
      <c r="E34" s="23">
        <f>98-16-8</f>
        <v>74</v>
      </c>
      <c r="F34" s="23"/>
      <c r="G34" s="14">
        <f t="shared" si="1"/>
        <v>1502</v>
      </c>
      <c r="H34" s="24"/>
      <c r="I34" s="25"/>
      <c r="J34" s="25"/>
      <c r="K34" s="26">
        <f t="shared" si="2"/>
        <v>0</v>
      </c>
      <c r="L34" s="27">
        <f t="shared" si="0"/>
        <v>1502</v>
      </c>
      <c r="M34" s="19"/>
    </row>
    <row r="35" spans="1:13" x14ac:dyDescent="0.25">
      <c r="A35" s="20">
        <v>31</v>
      </c>
      <c r="B35" s="38" t="s">
        <v>56</v>
      </c>
      <c r="C35" s="39"/>
      <c r="D35" s="23">
        <f>573-96-48</f>
        <v>429</v>
      </c>
      <c r="E35" s="23">
        <f>22-4-2</f>
        <v>16</v>
      </c>
      <c r="F35" s="23"/>
      <c r="G35" s="14">
        <f t="shared" si="1"/>
        <v>445</v>
      </c>
      <c r="H35" s="24"/>
      <c r="I35" s="25"/>
      <c r="J35" s="25"/>
      <c r="K35" s="26">
        <f t="shared" si="2"/>
        <v>0</v>
      </c>
      <c r="L35" s="27">
        <f t="shared" si="0"/>
        <v>445</v>
      </c>
      <c r="M35" s="19"/>
    </row>
    <row r="36" spans="1:13" x14ac:dyDescent="0.25">
      <c r="A36" s="20">
        <v>32</v>
      </c>
      <c r="B36" s="38" t="s">
        <v>59</v>
      </c>
      <c r="C36" s="55">
        <v>2200</v>
      </c>
      <c r="D36" s="23">
        <f>3946+96-500+48</f>
        <v>3590</v>
      </c>
      <c r="E36" s="23">
        <f>199+4+2</f>
        <v>205</v>
      </c>
      <c r="F36" s="23">
        <v>520</v>
      </c>
      <c r="G36" s="14">
        <f t="shared" si="1"/>
        <v>6515</v>
      </c>
      <c r="H36" s="24"/>
      <c r="I36" s="25"/>
      <c r="J36" s="25"/>
      <c r="K36" s="26">
        <f t="shared" si="2"/>
        <v>0</v>
      </c>
      <c r="L36" s="27">
        <f t="shared" si="0"/>
        <v>6515</v>
      </c>
      <c r="M36" s="19"/>
    </row>
    <row r="37" spans="1:13" x14ac:dyDescent="0.25">
      <c r="A37" s="20">
        <v>33</v>
      </c>
      <c r="B37" s="38" t="s">
        <v>125</v>
      </c>
      <c r="C37" s="39"/>
      <c r="D37" s="23">
        <f>392+1810</f>
        <v>2202</v>
      </c>
      <c r="E37" s="23">
        <v>19</v>
      </c>
      <c r="F37" s="23">
        <v>64</v>
      </c>
      <c r="G37" s="14">
        <f t="shared" si="1"/>
        <v>2285</v>
      </c>
      <c r="H37" s="24"/>
      <c r="I37" s="25"/>
      <c r="J37" s="25"/>
      <c r="K37" s="26">
        <f t="shared" si="2"/>
        <v>0</v>
      </c>
      <c r="L37" s="27">
        <f t="shared" si="0"/>
        <v>2285</v>
      </c>
      <c r="M37" s="19"/>
    </row>
    <row r="38" spans="1:13" x14ac:dyDescent="0.25">
      <c r="A38" s="20">
        <v>34</v>
      </c>
      <c r="B38" s="38" t="s">
        <v>92</v>
      </c>
      <c r="C38" s="39"/>
      <c r="D38" s="23">
        <f>1936-295</f>
        <v>1641</v>
      </c>
      <c r="E38" s="23">
        <f>62-14</f>
        <v>48</v>
      </c>
      <c r="F38" s="23">
        <v>182</v>
      </c>
      <c r="G38" s="14">
        <f t="shared" si="1"/>
        <v>1871</v>
      </c>
      <c r="H38" s="24">
        <f>5993-578-981</f>
        <v>4434</v>
      </c>
      <c r="I38" s="25">
        <f>9-2</f>
        <v>7</v>
      </c>
      <c r="J38" s="25">
        <f>245-5-42</f>
        <v>198</v>
      </c>
      <c r="K38" s="26">
        <f t="shared" si="2"/>
        <v>4639</v>
      </c>
      <c r="L38" s="27">
        <f t="shared" si="0"/>
        <v>6510</v>
      </c>
      <c r="M38" s="19"/>
    </row>
    <row r="39" spans="1:13" x14ac:dyDescent="0.25">
      <c r="A39" s="20">
        <v>35</v>
      </c>
      <c r="B39" s="38" t="s">
        <v>62</v>
      </c>
      <c r="C39" s="55">
        <v>3200</v>
      </c>
      <c r="D39" s="23">
        <f>7070-900</f>
        <v>6170</v>
      </c>
      <c r="E39" s="23"/>
      <c r="F39" s="23">
        <v>1009</v>
      </c>
      <c r="G39" s="14">
        <f t="shared" si="1"/>
        <v>10379</v>
      </c>
      <c r="H39" s="24">
        <v>2697</v>
      </c>
      <c r="I39" s="25">
        <v>67</v>
      </c>
      <c r="J39" s="25"/>
      <c r="K39" s="26">
        <f t="shared" si="2"/>
        <v>2764</v>
      </c>
      <c r="L39" s="27">
        <f>G39+K39</f>
        <v>13143</v>
      </c>
      <c r="M39" s="19"/>
    </row>
    <row r="40" spans="1:13" x14ac:dyDescent="0.25">
      <c r="A40" s="20">
        <v>36</v>
      </c>
      <c r="B40" s="38" t="s">
        <v>89</v>
      </c>
      <c r="C40" s="39"/>
      <c r="D40" s="23">
        <v>6256</v>
      </c>
      <c r="E40" s="23">
        <v>0</v>
      </c>
      <c r="F40" s="23">
        <v>2540</v>
      </c>
      <c r="G40" s="14">
        <f t="shared" si="1"/>
        <v>8796</v>
      </c>
      <c r="H40" s="24">
        <v>5500</v>
      </c>
      <c r="I40" s="25"/>
      <c r="J40" s="25">
        <v>1200</v>
      </c>
      <c r="K40" s="26">
        <f t="shared" si="2"/>
        <v>6700</v>
      </c>
      <c r="L40" s="27">
        <f t="shared" si="0"/>
        <v>15496</v>
      </c>
      <c r="M40" s="19"/>
    </row>
    <row r="41" spans="1:13" x14ac:dyDescent="0.25">
      <c r="A41" s="20">
        <v>37</v>
      </c>
      <c r="B41" s="21" t="s">
        <v>90</v>
      </c>
      <c r="C41" s="22"/>
      <c r="D41" s="23">
        <f>21900-4000</f>
        <v>17900</v>
      </c>
      <c r="E41" s="23"/>
      <c r="F41" s="23">
        <v>11300</v>
      </c>
      <c r="G41" s="14">
        <f t="shared" si="1"/>
        <v>29200</v>
      </c>
      <c r="H41" s="24">
        <v>11000</v>
      </c>
      <c r="I41" s="25"/>
      <c r="J41" s="25">
        <v>1800</v>
      </c>
      <c r="K41" s="26">
        <f t="shared" si="2"/>
        <v>12800</v>
      </c>
      <c r="L41" s="27">
        <f t="shared" si="0"/>
        <v>42000</v>
      </c>
      <c r="M41" s="19"/>
    </row>
    <row r="42" spans="1:13" x14ac:dyDescent="0.25">
      <c r="A42" s="20">
        <v>38</v>
      </c>
      <c r="B42" s="21" t="s">
        <v>80</v>
      </c>
      <c r="C42" s="22"/>
      <c r="D42" s="23">
        <f>500-80-80</f>
        <v>340</v>
      </c>
      <c r="E42" s="23"/>
      <c r="F42" s="23">
        <f>1900-320-320</f>
        <v>1260</v>
      </c>
      <c r="G42" s="14">
        <f t="shared" si="1"/>
        <v>1600</v>
      </c>
      <c r="H42" s="24"/>
      <c r="I42" s="25"/>
      <c r="J42" s="25"/>
      <c r="K42" s="26">
        <f t="shared" si="2"/>
        <v>0</v>
      </c>
      <c r="L42" s="27">
        <f t="shared" si="0"/>
        <v>1600</v>
      </c>
      <c r="M42" s="19"/>
    </row>
    <row r="43" spans="1:13" x14ac:dyDescent="0.25">
      <c r="A43" s="20">
        <v>39</v>
      </c>
      <c r="B43" s="21" t="s">
        <v>63</v>
      </c>
      <c r="C43" s="22"/>
      <c r="D43" s="23">
        <v>2200</v>
      </c>
      <c r="E43" s="23"/>
      <c r="F43" s="23"/>
      <c r="G43" s="14">
        <f t="shared" si="1"/>
        <v>2200</v>
      </c>
      <c r="H43" s="24">
        <v>2000</v>
      </c>
      <c r="I43" s="25"/>
      <c r="J43" s="25"/>
      <c r="K43" s="26">
        <f t="shared" si="2"/>
        <v>2000</v>
      </c>
      <c r="L43" s="27">
        <f t="shared" si="0"/>
        <v>4200</v>
      </c>
      <c r="M43" s="19"/>
    </row>
    <row r="44" spans="1:13" x14ac:dyDescent="0.25">
      <c r="A44" s="20">
        <v>40</v>
      </c>
      <c r="B44" s="21" t="s">
        <v>81</v>
      </c>
      <c r="C44" s="22"/>
      <c r="D44" s="23">
        <v>1320</v>
      </c>
      <c r="E44" s="23">
        <v>150</v>
      </c>
      <c r="F44" s="23">
        <v>500</v>
      </c>
      <c r="G44" s="14">
        <f t="shared" si="1"/>
        <v>1970</v>
      </c>
      <c r="H44" s="24"/>
      <c r="I44" s="25"/>
      <c r="J44" s="25"/>
      <c r="K44" s="26">
        <f t="shared" si="2"/>
        <v>0</v>
      </c>
      <c r="L44" s="27">
        <f t="shared" si="0"/>
        <v>1970</v>
      </c>
      <c r="M44" s="19"/>
    </row>
    <row r="45" spans="1:13" x14ac:dyDescent="0.25">
      <c r="A45" s="20">
        <v>41</v>
      </c>
      <c r="B45" s="34" t="s">
        <v>126</v>
      </c>
      <c r="C45" s="35"/>
      <c r="D45" s="23"/>
      <c r="E45" s="23"/>
      <c r="F45" s="23"/>
      <c r="G45" s="14">
        <f t="shared" si="1"/>
        <v>0</v>
      </c>
      <c r="H45" s="24">
        <v>2550</v>
      </c>
      <c r="I45" s="25"/>
      <c r="J45" s="25">
        <v>251</v>
      </c>
      <c r="K45" s="26">
        <f t="shared" si="2"/>
        <v>2801</v>
      </c>
      <c r="L45" s="27">
        <f t="shared" si="0"/>
        <v>2801</v>
      </c>
      <c r="M45" s="19"/>
    </row>
    <row r="46" spans="1:13" x14ac:dyDescent="0.25">
      <c r="A46" s="20">
        <v>42</v>
      </c>
      <c r="B46" s="30" t="s">
        <v>64</v>
      </c>
      <c r="C46" s="31"/>
      <c r="D46" s="23">
        <f>5200+303+80+80</f>
        <v>5663</v>
      </c>
      <c r="E46" s="23">
        <f>699+15</f>
        <v>714</v>
      </c>
      <c r="F46" s="23">
        <f>1000+320+320</f>
        <v>1640</v>
      </c>
      <c r="G46" s="14">
        <f t="shared" si="1"/>
        <v>8017</v>
      </c>
      <c r="H46" s="24">
        <f>4576-900+390+394</f>
        <v>4460</v>
      </c>
      <c r="I46" s="25">
        <f>445-22+5+2</f>
        <v>430</v>
      </c>
      <c r="J46" s="25">
        <f>100-21+5+23</f>
        <v>107</v>
      </c>
      <c r="K46" s="40">
        <f t="shared" si="2"/>
        <v>4997</v>
      </c>
      <c r="L46" s="41">
        <f t="shared" si="0"/>
        <v>13014</v>
      </c>
      <c r="M46" s="19"/>
    </row>
    <row r="47" spans="1:13" x14ac:dyDescent="0.25">
      <c r="A47" s="20">
        <v>43</v>
      </c>
      <c r="B47" s="30" t="s">
        <v>127</v>
      </c>
      <c r="C47" s="31"/>
      <c r="D47" s="23">
        <v>2138</v>
      </c>
      <c r="E47" s="23">
        <v>102</v>
      </c>
      <c r="F47" s="23">
        <v>355</v>
      </c>
      <c r="G47" s="14">
        <f t="shared" si="1"/>
        <v>2595</v>
      </c>
      <c r="H47" s="24"/>
      <c r="I47" s="25"/>
      <c r="J47" s="25"/>
      <c r="K47" s="40">
        <f t="shared" si="2"/>
        <v>0</v>
      </c>
      <c r="L47" s="41">
        <f t="shared" si="0"/>
        <v>2595</v>
      </c>
      <c r="M47" s="19"/>
    </row>
    <row r="48" spans="1:13" ht="13.5" thickBot="1" x14ac:dyDescent="0.3">
      <c r="A48" s="42"/>
      <c r="B48" s="43" t="s">
        <v>97</v>
      </c>
      <c r="C48" s="44"/>
      <c r="D48" s="45"/>
      <c r="E48" s="45"/>
      <c r="F48" s="45"/>
      <c r="G48" s="14">
        <f t="shared" si="1"/>
        <v>0</v>
      </c>
      <c r="H48" s="56">
        <f>431-88</f>
        <v>343</v>
      </c>
      <c r="I48" s="46"/>
      <c r="J48" s="46"/>
      <c r="K48" s="57">
        <f t="shared" si="2"/>
        <v>343</v>
      </c>
      <c r="L48" s="58">
        <f t="shared" si="0"/>
        <v>343</v>
      </c>
      <c r="M48" s="19"/>
    </row>
    <row r="49" spans="1:13" ht="13.5" thickBot="1" x14ac:dyDescent="0.3">
      <c r="A49" s="47"/>
      <c r="B49" s="48" t="s">
        <v>87</v>
      </c>
      <c r="C49" s="49">
        <f>SUM(C5:C48)</f>
        <v>5400</v>
      </c>
      <c r="D49" s="50">
        <f>SUM(D5:D48)</f>
        <v>81774</v>
      </c>
      <c r="E49" s="50">
        <f t="shared" ref="E49:L49" si="3">SUM(E5:E48)</f>
        <v>2052</v>
      </c>
      <c r="F49" s="50">
        <f t="shared" si="3"/>
        <v>21502</v>
      </c>
      <c r="G49" s="51">
        <f t="shared" si="3"/>
        <v>110728</v>
      </c>
      <c r="H49" s="52">
        <f t="shared" si="3"/>
        <v>43575</v>
      </c>
      <c r="I49" s="50">
        <f t="shared" si="3"/>
        <v>760</v>
      </c>
      <c r="J49" s="50">
        <f t="shared" si="3"/>
        <v>3596</v>
      </c>
      <c r="K49" s="53">
        <f t="shared" si="3"/>
        <v>47931</v>
      </c>
      <c r="L49" s="54">
        <f t="shared" si="3"/>
        <v>158659</v>
      </c>
      <c r="M49" s="19"/>
    </row>
    <row r="50" spans="1:13" x14ac:dyDescent="0.25">
      <c r="H50" s="164"/>
      <c r="I50" s="164"/>
      <c r="J50" s="164"/>
    </row>
  </sheetData>
  <mergeCells count="6">
    <mergeCell ref="A1:L1"/>
    <mergeCell ref="A3:A4"/>
    <mergeCell ref="B3:B4"/>
    <mergeCell ref="C3:G3"/>
    <mergeCell ref="H3:K3"/>
    <mergeCell ref="L3:L4"/>
  </mergeCells>
  <pageMargins left="0.31496062992125984" right="0" top="0" bottom="0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Normal="10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M21" sqref="M21"/>
    </sheetView>
  </sheetViews>
  <sheetFormatPr defaultRowHeight="11.25" x14ac:dyDescent="0.25"/>
  <cols>
    <col min="1" max="1" width="3.42578125" style="60" customWidth="1"/>
    <col min="2" max="2" width="25.140625" style="59" customWidth="1"/>
    <col min="3" max="3" width="8.7109375" style="61" customWidth="1"/>
    <col min="4" max="4" width="8.28515625" style="61" customWidth="1"/>
    <col min="5" max="5" width="9" style="61" customWidth="1"/>
    <col min="6" max="6" width="9.85546875" style="61" customWidth="1"/>
    <col min="7" max="7" width="12.140625" style="61" customWidth="1"/>
    <col min="8" max="8" width="8.5703125" style="61" customWidth="1"/>
    <col min="9" max="9" width="8.85546875" style="61" customWidth="1"/>
    <col min="10" max="10" width="6.42578125" style="61" customWidth="1"/>
    <col min="11" max="11" width="7" style="61" customWidth="1"/>
    <col min="12" max="12" width="8.42578125" style="61" customWidth="1"/>
    <col min="13" max="13" width="10" style="61" customWidth="1"/>
    <col min="14" max="14" width="10.85546875" style="61" customWidth="1"/>
    <col min="15" max="15" width="9.85546875" style="61" customWidth="1"/>
    <col min="16" max="16" width="10.140625" style="61" customWidth="1"/>
    <col min="17" max="17" width="9.5703125" style="61" customWidth="1"/>
    <col min="18" max="18" width="9.140625" style="61" customWidth="1"/>
    <col min="19" max="19" width="11.85546875" style="59" customWidth="1"/>
    <col min="20" max="16384" width="9.140625" style="59"/>
  </cols>
  <sheetData>
    <row r="1" spans="1:18" ht="28.5" customHeight="1" x14ac:dyDescent="0.25">
      <c r="A1" s="439" t="s">
        <v>128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18" ht="15.75" customHeight="1" thickBot="1" x14ac:dyDescent="0.3"/>
    <row r="3" spans="1:18" ht="14.25" customHeight="1" x14ac:dyDescent="0.25">
      <c r="A3" s="452" t="s">
        <v>0</v>
      </c>
      <c r="B3" s="455" t="s">
        <v>82</v>
      </c>
      <c r="C3" s="458" t="s">
        <v>129</v>
      </c>
      <c r="D3" s="459"/>
      <c r="E3" s="459"/>
      <c r="F3" s="459"/>
      <c r="G3" s="459"/>
      <c r="H3" s="459"/>
      <c r="I3" s="459"/>
      <c r="J3" s="460"/>
      <c r="K3" s="461"/>
      <c r="L3" s="462" t="s">
        <v>130</v>
      </c>
      <c r="M3" s="462" t="s">
        <v>131</v>
      </c>
      <c r="N3" s="458" t="s">
        <v>132</v>
      </c>
      <c r="O3" s="465"/>
      <c r="P3" s="465"/>
      <c r="Q3" s="466"/>
      <c r="R3" s="467" t="s">
        <v>104</v>
      </c>
    </row>
    <row r="4" spans="1:18" ht="15" customHeight="1" x14ac:dyDescent="0.25">
      <c r="A4" s="453"/>
      <c r="B4" s="456"/>
      <c r="C4" s="470" t="s">
        <v>133</v>
      </c>
      <c r="D4" s="471"/>
      <c r="E4" s="471"/>
      <c r="F4" s="471"/>
      <c r="G4" s="471"/>
      <c r="H4" s="471"/>
      <c r="I4" s="472"/>
      <c r="J4" s="473" t="s">
        <v>134</v>
      </c>
      <c r="K4" s="475" t="s">
        <v>88</v>
      </c>
      <c r="L4" s="463"/>
      <c r="M4" s="463"/>
      <c r="N4" s="477" t="s">
        <v>135</v>
      </c>
      <c r="O4" s="479" t="s">
        <v>136</v>
      </c>
      <c r="P4" s="479" t="s">
        <v>137</v>
      </c>
      <c r="Q4" s="481" t="s">
        <v>88</v>
      </c>
      <c r="R4" s="468"/>
    </row>
    <row r="5" spans="1:18" ht="97.5" customHeight="1" thickBot="1" x14ac:dyDescent="0.3">
      <c r="A5" s="454"/>
      <c r="B5" s="457"/>
      <c r="C5" s="62" t="s">
        <v>138</v>
      </c>
      <c r="D5" s="63" t="s">
        <v>139</v>
      </c>
      <c r="E5" s="63" t="s">
        <v>140</v>
      </c>
      <c r="F5" s="63" t="s">
        <v>141</v>
      </c>
      <c r="G5" s="63" t="s">
        <v>142</v>
      </c>
      <c r="H5" s="63" t="s">
        <v>143</v>
      </c>
      <c r="I5" s="63" t="s">
        <v>88</v>
      </c>
      <c r="J5" s="474"/>
      <c r="K5" s="476"/>
      <c r="L5" s="464"/>
      <c r="M5" s="464"/>
      <c r="N5" s="478"/>
      <c r="O5" s="480"/>
      <c r="P5" s="480"/>
      <c r="Q5" s="482"/>
      <c r="R5" s="469"/>
    </row>
    <row r="6" spans="1:18" x14ac:dyDescent="0.25">
      <c r="A6" s="64">
        <v>1</v>
      </c>
      <c r="B6" s="65" t="s">
        <v>11</v>
      </c>
      <c r="C6" s="66"/>
      <c r="D6" s="67"/>
      <c r="E6" s="67"/>
      <c r="F6" s="67"/>
      <c r="G6" s="67"/>
      <c r="H6" s="67"/>
      <c r="I6" s="67">
        <f>SUM(C6:H6)</f>
        <v>0</v>
      </c>
      <c r="J6" s="68"/>
      <c r="K6" s="69">
        <f>I6+J6</f>
        <v>0</v>
      </c>
      <c r="L6" s="70"/>
      <c r="M6" s="70"/>
      <c r="N6" s="66">
        <v>2000</v>
      </c>
      <c r="O6" s="68">
        <f>2000-100</f>
        <v>1900</v>
      </c>
      <c r="P6" s="68">
        <f>2000-200</f>
        <v>1800</v>
      </c>
      <c r="Q6" s="71">
        <f>N6+O6+P6</f>
        <v>5700</v>
      </c>
      <c r="R6" s="72">
        <f>K6+L6+M6+Q6</f>
        <v>5700</v>
      </c>
    </row>
    <row r="7" spans="1:18" x14ac:dyDescent="0.25">
      <c r="A7" s="73">
        <v>2</v>
      </c>
      <c r="B7" s="74" t="s">
        <v>13</v>
      </c>
      <c r="C7" s="75"/>
      <c r="D7" s="76"/>
      <c r="E7" s="76"/>
      <c r="F7" s="76"/>
      <c r="G7" s="76"/>
      <c r="H7" s="76"/>
      <c r="I7" s="67">
        <f t="shared" ref="I7:I29" si="0">SUM(C7:H7)</f>
        <v>0</v>
      </c>
      <c r="J7" s="77"/>
      <c r="K7" s="69">
        <f t="shared" ref="K7:K29" si="1">I7+J7</f>
        <v>0</v>
      </c>
      <c r="L7" s="78"/>
      <c r="M7" s="78"/>
      <c r="N7" s="75">
        <f>1200-300</f>
        <v>900</v>
      </c>
      <c r="O7" s="77">
        <f>1200-350</f>
        <v>850</v>
      </c>
      <c r="P7" s="77">
        <f>1200-400</f>
        <v>800</v>
      </c>
      <c r="Q7" s="79">
        <f t="shared" ref="Q7:Q29" si="2">N7+O7+P7</f>
        <v>2550</v>
      </c>
      <c r="R7" s="72">
        <f t="shared" ref="R7:R29" si="3">K7+L7+M7+Q7</f>
        <v>2550</v>
      </c>
    </row>
    <row r="8" spans="1:18" x14ac:dyDescent="0.25">
      <c r="A8" s="73">
        <v>3</v>
      </c>
      <c r="B8" s="74" t="s">
        <v>99</v>
      </c>
      <c r="C8" s="75"/>
      <c r="D8" s="76"/>
      <c r="E8" s="76"/>
      <c r="F8" s="76"/>
      <c r="G8" s="76"/>
      <c r="H8" s="76"/>
      <c r="I8" s="67">
        <f t="shared" si="0"/>
        <v>0</v>
      </c>
      <c r="J8" s="77"/>
      <c r="K8" s="69">
        <f t="shared" si="1"/>
        <v>0</v>
      </c>
      <c r="L8" s="78">
        <v>9500</v>
      </c>
      <c r="M8" s="78"/>
      <c r="N8" s="75"/>
      <c r="O8" s="77"/>
      <c r="P8" s="77"/>
      <c r="Q8" s="79">
        <f t="shared" si="2"/>
        <v>0</v>
      </c>
      <c r="R8" s="72">
        <f t="shared" si="3"/>
        <v>9500</v>
      </c>
    </row>
    <row r="9" spans="1:18" ht="24" x14ac:dyDescent="0.25">
      <c r="A9" s="73">
        <v>4</v>
      </c>
      <c r="B9" s="80" t="s">
        <v>100</v>
      </c>
      <c r="C9" s="75"/>
      <c r="D9" s="76"/>
      <c r="E9" s="76"/>
      <c r="F9" s="76"/>
      <c r="G9" s="76"/>
      <c r="H9" s="76"/>
      <c r="I9" s="67">
        <f t="shared" si="0"/>
        <v>0</v>
      </c>
      <c r="J9" s="77"/>
      <c r="K9" s="69">
        <f t="shared" si="1"/>
        <v>0</v>
      </c>
      <c r="L9" s="78"/>
      <c r="M9" s="78"/>
      <c r="N9" s="75">
        <v>4000</v>
      </c>
      <c r="O9" s="77">
        <f>4000-200</f>
        <v>3800</v>
      </c>
      <c r="P9" s="77">
        <f>4000-300</f>
        <v>3700</v>
      </c>
      <c r="Q9" s="79">
        <f t="shared" si="2"/>
        <v>11500</v>
      </c>
      <c r="R9" s="72">
        <f t="shared" si="3"/>
        <v>11500</v>
      </c>
    </row>
    <row r="10" spans="1:18" x14ac:dyDescent="0.25">
      <c r="A10" s="73">
        <v>5</v>
      </c>
      <c r="B10" s="74" t="s">
        <v>36</v>
      </c>
      <c r="C10" s="75"/>
      <c r="D10" s="76"/>
      <c r="E10" s="76"/>
      <c r="F10" s="76"/>
      <c r="G10" s="76"/>
      <c r="H10" s="76"/>
      <c r="I10" s="67">
        <f t="shared" si="0"/>
        <v>0</v>
      </c>
      <c r="J10" s="77"/>
      <c r="K10" s="69">
        <f t="shared" si="1"/>
        <v>0</v>
      </c>
      <c r="L10" s="78"/>
      <c r="M10" s="78"/>
      <c r="N10" s="75">
        <v>1400</v>
      </c>
      <c r="O10" s="77">
        <f>1400-100</f>
        <v>1300</v>
      </c>
      <c r="P10" s="77">
        <f>1400-200</f>
        <v>1200</v>
      </c>
      <c r="Q10" s="79">
        <f t="shared" si="2"/>
        <v>3900</v>
      </c>
      <c r="R10" s="72">
        <f t="shared" si="3"/>
        <v>3900</v>
      </c>
    </row>
    <row r="11" spans="1:18" x14ac:dyDescent="0.25">
      <c r="A11" s="73">
        <v>6</v>
      </c>
      <c r="B11" s="74" t="s">
        <v>112</v>
      </c>
      <c r="C11" s="75"/>
      <c r="D11" s="76"/>
      <c r="E11" s="76"/>
      <c r="F11" s="76"/>
      <c r="G11" s="76"/>
      <c r="H11" s="76"/>
      <c r="I11" s="67">
        <f t="shared" si="0"/>
        <v>0</v>
      </c>
      <c r="J11" s="77"/>
      <c r="K11" s="69">
        <f t="shared" si="1"/>
        <v>0</v>
      </c>
      <c r="L11" s="78"/>
      <c r="M11" s="78"/>
      <c r="N11" s="75">
        <f>2500-200</f>
        <v>2300</v>
      </c>
      <c r="O11" s="77">
        <f>2500-250</f>
        <v>2250</v>
      </c>
      <c r="P11" s="77">
        <f>2500-300</f>
        <v>2200</v>
      </c>
      <c r="Q11" s="79">
        <f t="shared" si="2"/>
        <v>6750</v>
      </c>
      <c r="R11" s="72">
        <f t="shared" si="3"/>
        <v>6750</v>
      </c>
    </row>
    <row r="12" spans="1:18" x14ac:dyDescent="0.25">
      <c r="A12" s="73">
        <v>7</v>
      </c>
      <c r="B12" s="81" t="s">
        <v>113</v>
      </c>
      <c r="C12" s="75"/>
      <c r="D12" s="76"/>
      <c r="E12" s="76"/>
      <c r="F12" s="76"/>
      <c r="G12" s="76"/>
      <c r="H12" s="76"/>
      <c r="I12" s="67">
        <f t="shared" si="0"/>
        <v>0</v>
      </c>
      <c r="J12" s="77"/>
      <c r="K12" s="69">
        <f t="shared" si="1"/>
        <v>0</v>
      </c>
      <c r="L12" s="78"/>
      <c r="M12" s="78"/>
      <c r="N12" s="75">
        <f>2000-200</f>
        <v>1800</v>
      </c>
      <c r="O12" s="77">
        <f>2000-250</f>
        <v>1750</v>
      </c>
      <c r="P12" s="77">
        <f>2000-300</f>
        <v>1700</v>
      </c>
      <c r="Q12" s="79">
        <f t="shared" si="2"/>
        <v>5250</v>
      </c>
      <c r="R12" s="72">
        <f t="shared" si="3"/>
        <v>5250</v>
      </c>
    </row>
    <row r="13" spans="1:18" x14ac:dyDescent="0.25">
      <c r="A13" s="73">
        <v>8</v>
      </c>
      <c r="B13" s="74" t="s">
        <v>53</v>
      </c>
      <c r="C13" s="75"/>
      <c r="D13" s="76"/>
      <c r="E13" s="76"/>
      <c r="F13" s="76"/>
      <c r="G13" s="76"/>
      <c r="H13" s="76"/>
      <c r="I13" s="67">
        <f t="shared" si="0"/>
        <v>0</v>
      </c>
      <c r="J13" s="77"/>
      <c r="K13" s="69">
        <f t="shared" si="1"/>
        <v>0</v>
      </c>
      <c r="L13" s="78"/>
      <c r="M13" s="78"/>
      <c r="N13" s="75">
        <f>2200-300</f>
        <v>1900</v>
      </c>
      <c r="O13" s="77">
        <f>2200-400</f>
        <v>1800</v>
      </c>
      <c r="P13" s="77">
        <f>2200-450</f>
        <v>1750</v>
      </c>
      <c r="Q13" s="79">
        <f t="shared" si="2"/>
        <v>5450</v>
      </c>
      <c r="R13" s="72">
        <f t="shared" si="3"/>
        <v>5450</v>
      </c>
    </row>
    <row r="14" spans="1:18" x14ac:dyDescent="0.25">
      <c r="A14" s="73">
        <v>9</v>
      </c>
      <c r="B14" s="74" t="s">
        <v>21</v>
      </c>
      <c r="C14" s="75"/>
      <c r="D14" s="76"/>
      <c r="E14" s="76"/>
      <c r="F14" s="76"/>
      <c r="G14" s="76"/>
      <c r="H14" s="76"/>
      <c r="I14" s="67">
        <f t="shared" si="0"/>
        <v>0</v>
      </c>
      <c r="J14" s="77"/>
      <c r="K14" s="69">
        <f t="shared" si="1"/>
        <v>0</v>
      </c>
      <c r="L14" s="78"/>
      <c r="M14" s="78"/>
      <c r="N14" s="75">
        <v>1000</v>
      </c>
      <c r="O14" s="77">
        <f>1000-50</f>
        <v>950</v>
      </c>
      <c r="P14" s="77">
        <f>1000-100</f>
        <v>900</v>
      </c>
      <c r="Q14" s="79">
        <f t="shared" si="2"/>
        <v>2850</v>
      </c>
      <c r="R14" s="72">
        <f t="shared" si="3"/>
        <v>2850</v>
      </c>
    </row>
    <row r="15" spans="1:18" x14ac:dyDescent="0.25">
      <c r="A15" s="73">
        <v>10</v>
      </c>
      <c r="B15" s="82" t="s">
        <v>45</v>
      </c>
      <c r="C15" s="75"/>
      <c r="D15" s="76"/>
      <c r="E15" s="76"/>
      <c r="F15" s="76"/>
      <c r="G15" s="76"/>
      <c r="H15" s="76"/>
      <c r="I15" s="67">
        <f t="shared" si="0"/>
        <v>0</v>
      </c>
      <c r="J15" s="77"/>
      <c r="K15" s="69">
        <f t="shared" si="1"/>
        <v>0</v>
      </c>
      <c r="L15" s="78"/>
      <c r="M15" s="78"/>
      <c r="N15" s="75">
        <f>1200-100</f>
        <v>1100</v>
      </c>
      <c r="O15" s="77">
        <f>1200-150</f>
        <v>1050</v>
      </c>
      <c r="P15" s="77">
        <f>1200-200</f>
        <v>1000</v>
      </c>
      <c r="Q15" s="79">
        <f t="shared" si="2"/>
        <v>3150</v>
      </c>
      <c r="R15" s="72">
        <f t="shared" si="3"/>
        <v>3150</v>
      </c>
    </row>
    <row r="16" spans="1:18" x14ac:dyDescent="0.25">
      <c r="A16" s="73">
        <v>11</v>
      </c>
      <c r="B16" s="74" t="s">
        <v>52</v>
      </c>
      <c r="C16" s="75"/>
      <c r="D16" s="76"/>
      <c r="E16" s="76"/>
      <c r="F16" s="76"/>
      <c r="G16" s="76"/>
      <c r="H16" s="76"/>
      <c r="I16" s="67">
        <f t="shared" si="0"/>
        <v>0</v>
      </c>
      <c r="J16" s="77"/>
      <c r="K16" s="69">
        <f t="shared" si="1"/>
        <v>0</v>
      </c>
      <c r="L16" s="78"/>
      <c r="M16" s="78"/>
      <c r="N16" s="75">
        <f>1600-100</f>
        <v>1500</v>
      </c>
      <c r="O16" s="77">
        <f>1600-100</f>
        <v>1500</v>
      </c>
      <c r="P16" s="77">
        <f>1600-200</f>
        <v>1400</v>
      </c>
      <c r="Q16" s="79">
        <f t="shared" si="2"/>
        <v>4400</v>
      </c>
      <c r="R16" s="72">
        <f t="shared" si="3"/>
        <v>4400</v>
      </c>
    </row>
    <row r="17" spans="1:18" ht="15" customHeight="1" x14ac:dyDescent="0.25">
      <c r="A17" s="73">
        <v>12</v>
      </c>
      <c r="B17" s="74" t="s">
        <v>59</v>
      </c>
      <c r="C17" s="75"/>
      <c r="D17" s="76"/>
      <c r="E17" s="76"/>
      <c r="F17" s="76"/>
      <c r="G17" s="76"/>
      <c r="H17" s="76"/>
      <c r="I17" s="67">
        <f t="shared" si="0"/>
        <v>0</v>
      </c>
      <c r="J17" s="77"/>
      <c r="K17" s="69">
        <f t="shared" si="1"/>
        <v>0</v>
      </c>
      <c r="L17" s="78"/>
      <c r="M17" s="78"/>
      <c r="N17" s="75">
        <f>2200-400</f>
        <v>1800</v>
      </c>
      <c r="O17" s="77">
        <f>2200-400</f>
        <v>1800</v>
      </c>
      <c r="P17" s="77">
        <f>2200-500</f>
        <v>1700</v>
      </c>
      <c r="Q17" s="79">
        <f t="shared" si="2"/>
        <v>5300</v>
      </c>
      <c r="R17" s="72">
        <f t="shared" si="3"/>
        <v>5300</v>
      </c>
    </row>
    <row r="18" spans="1:18" ht="22.5" x14ac:dyDescent="0.25">
      <c r="A18" s="73">
        <v>13</v>
      </c>
      <c r="B18" s="83" t="s">
        <v>144</v>
      </c>
      <c r="C18" s="75"/>
      <c r="D18" s="76"/>
      <c r="E18" s="76"/>
      <c r="F18" s="76"/>
      <c r="G18" s="76"/>
      <c r="H18" s="76"/>
      <c r="I18" s="67">
        <f t="shared" si="0"/>
        <v>0</v>
      </c>
      <c r="J18" s="77"/>
      <c r="K18" s="69">
        <f t="shared" si="1"/>
        <v>0</v>
      </c>
      <c r="L18" s="78"/>
      <c r="M18" s="78"/>
      <c r="N18" s="75">
        <f>2000-150</f>
        <v>1850</v>
      </c>
      <c r="O18" s="77">
        <f>2000-100</f>
        <v>1900</v>
      </c>
      <c r="P18" s="77">
        <f>2000-150</f>
        <v>1850</v>
      </c>
      <c r="Q18" s="79">
        <f t="shared" si="2"/>
        <v>5600</v>
      </c>
      <c r="R18" s="72">
        <f t="shared" si="3"/>
        <v>5600</v>
      </c>
    </row>
    <row r="19" spans="1:18" ht="17.25" customHeight="1" x14ac:dyDescent="0.25">
      <c r="A19" s="73">
        <v>14</v>
      </c>
      <c r="B19" s="74" t="s">
        <v>145</v>
      </c>
      <c r="C19" s="75"/>
      <c r="D19" s="76"/>
      <c r="E19" s="76"/>
      <c r="F19" s="76"/>
      <c r="G19" s="76"/>
      <c r="H19" s="76"/>
      <c r="I19" s="67">
        <f t="shared" si="0"/>
        <v>0</v>
      </c>
      <c r="J19" s="77"/>
      <c r="K19" s="69">
        <f t="shared" si="1"/>
        <v>0</v>
      </c>
      <c r="L19" s="78"/>
      <c r="M19" s="78"/>
      <c r="N19" s="75">
        <v>1600</v>
      </c>
      <c r="O19" s="77">
        <f>1600-100</f>
        <v>1500</v>
      </c>
      <c r="P19" s="77">
        <f>1600-200</f>
        <v>1400</v>
      </c>
      <c r="Q19" s="79">
        <f t="shared" si="2"/>
        <v>4500</v>
      </c>
      <c r="R19" s="72">
        <f t="shared" si="3"/>
        <v>4500</v>
      </c>
    </row>
    <row r="20" spans="1:18" x14ac:dyDescent="0.25">
      <c r="A20" s="73">
        <v>15</v>
      </c>
      <c r="B20" s="74" t="s">
        <v>146</v>
      </c>
      <c r="C20" s="75"/>
      <c r="D20" s="76"/>
      <c r="E20" s="76"/>
      <c r="F20" s="76"/>
      <c r="G20" s="76"/>
      <c r="H20" s="76"/>
      <c r="I20" s="67">
        <f t="shared" si="0"/>
        <v>0</v>
      </c>
      <c r="J20" s="77"/>
      <c r="K20" s="69">
        <f t="shared" si="1"/>
        <v>0</v>
      </c>
      <c r="L20" s="78"/>
      <c r="M20" s="78">
        <f>6245-5844+45</f>
        <v>446</v>
      </c>
      <c r="N20" s="75"/>
      <c r="O20" s="77"/>
      <c r="P20" s="77"/>
      <c r="Q20" s="79">
        <f t="shared" si="2"/>
        <v>0</v>
      </c>
      <c r="R20" s="72">
        <f t="shared" si="3"/>
        <v>446</v>
      </c>
    </row>
    <row r="21" spans="1:18" x14ac:dyDescent="0.25">
      <c r="A21" s="73">
        <v>16</v>
      </c>
      <c r="B21" s="74" t="s">
        <v>147</v>
      </c>
      <c r="C21" s="75"/>
      <c r="D21" s="76"/>
      <c r="E21" s="76"/>
      <c r="F21" s="76"/>
      <c r="G21" s="76"/>
      <c r="H21" s="76"/>
      <c r="I21" s="67">
        <f t="shared" si="0"/>
        <v>0</v>
      </c>
      <c r="J21" s="77"/>
      <c r="K21" s="69">
        <f t="shared" si="1"/>
        <v>0</v>
      </c>
      <c r="L21" s="78"/>
      <c r="M21" s="78">
        <f>0+5844-45</f>
        <v>5799</v>
      </c>
      <c r="N21" s="75"/>
      <c r="O21" s="77"/>
      <c r="P21" s="77"/>
      <c r="Q21" s="79">
        <f t="shared" si="2"/>
        <v>0</v>
      </c>
      <c r="R21" s="72">
        <f t="shared" si="3"/>
        <v>5799</v>
      </c>
    </row>
    <row r="22" spans="1:18" ht="21.75" customHeight="1" x14ac:dyDescent="0.25">
      <c r="A22" s="73">
        <v>17</v>
      </c>
      <c r="B22" s="74" t="s">
        <v>62</v>
      </c>
      <c r="C22" s="75">
        <v>810</v>
      </c>
      <c r="D22" s="76">
        <f>50+193</f>
        <v>243</v>
      </c>
      <c r="E22" s="76">
        <f>300-200</f>
        <v>100</v>
      </c>
      <c r="F22" s="76"/>
      <c r="G22" s="76">
        <v>340</v>
      </c>
      <c r="H22" s="76"/>
      <c r="I22" s="67">
        <f t="shared" si="0"/>
        <v>1493</v>
      </c>
      <c r="J22" s="77"/>
      <c r="K22" s="69">
        <f t="shared" si="1"/>
        <v>1493</v>
      </c>
      <c r="L22" s="78"/>
      <c r="M22" s="78"/>
      <c r="N22" s="75"/>
      <c r="O22" s="77"/>
      <c r="P22" s="77"/>
      <c r="Q22" s="79">
        <f t="shared" si="2"/>
        <v>0</v>
      </c>
      <c r="R22" s="72">
        <f t="shared" si="3"/>
        <v>1493</v>
      </c>
    </row>
    <row r="23" spans="1:18" ht="24.75" customHeight="1" x14ac:dyDescent="0.25">
      <c r="A23" s="73">
        <v>18</v>
      </c>
      <c r="B23" s="83" t="s">
        <v>148</v>
      </c>
      <c r="C23" s="75"/>
      <c r="D23" s="76"/>
      <c r="E23" s="76"/>
      <c r="F23" s="76"/>
      <c r="G23" s="76"/>
      <c r="H23" s="76"/>
      <c r="I23" s="67">
        <f t="shared" si="0"/>
        <v>0</v>
      </c>
      <c r="J23" s="77"/>
      <c r="K23" s="69">
        <f t="shared" si="1"/>
        <v>0</v>
      </c>
      <c r="L23" s="78"/>
      <c r="M23" s="78"/>
      <c r="N23" s="75">
        <f>1600-100</f>
        <v>1500</v>
      </c>
      <c r="O23" s="77">
        <f>1600-100</f>
        <v>1500</v>
      </c>
      <c r="P23" s="77">
        <f>1600-150</f>
        <v>1450</v>
      </c>
      <c r="Q23" s="79">
        <f t="shared" si="2"/>
        <v>4450</v>
      </c>
      <c r="R23" s="72">
        <f t="shared" si="3"/>
        <v>4450</v>
      </c>
    </row>
    <row r="24" spans="1:18" x14ac:dyDescent="0.25">
      <c r="A24" s="73">
        <v>19</v>
      </c>
      <c r="B24" s="74" t="s">
        <v>89</v>
      </c>
      <c r="C24" s="75">
        <v>400</v>
      </c>
      <c r="D24" s="76">
        <v>1900</v>
      </c>
      <c r="E24" s="76">
        <v>900</v>
      </c>
      <c r="F24" s="76">
        <v>450</v>
      </c>
      <c r="G24" s="76"/>
      <c r="H24" s="76">
        <v>150</v>
      </c>
      <c r="I24" s="67">
        <f t="shared" si="0"/>
        <v>3800</v>
      </c>
      <c r="J24" s="77">
        <v>1500</v>
      </c>
      <c r="K24" s="69">
        <f t="shared" si="1"/>
        <v>5300</v>
      </c>
      <c r="L24" s="78"/>
      <c r="M24" s="78"/>
      <c r="N24" s="75"/>
      <c r="O24" s="77"/>
      <c r="P24" s="77"/>
      <c r="Q24" s="79">
        <f t="shared" si="2"/>
        <v>0</v>
      </c>
      <c r="R24" s="72">
        <f t="shared" si="3"/>
        <v>5300</v>
      </c>
    </row>
    <row r="25" spans="1:18" x14ac:dyDescent="0.25">
      <c r="A25" s="73">
        <v>20</v>
      </c>
      <c r="B25" s="74" t="s">
        <v>90</v>
      </c>
      <c r="C25" s="75">
        <f>4700-1100</f>
        <v>3600</v>
      </c>
      <c r="D25" s="76">
        <f>100+1102</f>
        <v>1202</v>
      </c>
      <c r="E25" s="76">
        <f>200+200</f>
        <v>400</v>
      </c>
      <c r="F25" s="76">
        <f>0+35</f>
        <v>35</v>
      </c>
      <c r="G25" s="76">
        <f>1300-125</f>
        <v>1175</v>
      </c>
      <c r="H25" s="76">
        <f>0+41</f>
        <v>41</v>
      </c>
      <c r="I25" s="67">
        <f t="shared" si="0"/>
        <v>6453</v>
      </c>
      <c r="J25" s="77"/>
      <c r="K25" s="69">
        <f t="shared" si="1"/>
        <v>6453</v>
      </c>
      <c r="L25" s="78">
        <v>12000</v>
      </c>
      <c r="M25" s="78"/>
      <c r="N25" s="75"/>
      <c r="O25" s="77"/>
      <c r="P25" s="77"/>
      <c r="Q25" s="79">
        <f t="shared" si="2"/>
        <v>0</v>
      </c>
      <c r="R25" s="72">
        <f t="shared" si="3"/>
        <v>18453</v>
      </c>
    </row>
    <row r="26" spans="1:18" x14ac:dyDescent="0.25">
      <c r="A26" s="73">
        <v>21</v>
      </c>
      <c r="B26" s="74" t="s">
        <v>80</v>
      </c>
      <c r="C26" s="75"/>
      <c r="D26" s="76">
        <v>295</v>
      </c>
      <c r="E26" s="76">
        <v>140</v>
      </c>
      <c r="F26" s="76">
        <v>765</v>
      </c>
      <c r="G26" s="76"/>
      <c r="H26" s="76"/>
      <c r="I26" s="67">
        <f t="shared" si="0"/>
        <v>1200</v>
      </c>
      <c r="J26" s="77"/>
      <c r="K26" s="69">
        <f t="shared" si="1"/>
        <v>1200</v>
      </c>
      <c r="L26" s="78"/>
      <c r="M26" s="78"/>
      <c r="N26" s="75"/>
      <c r="O26" s="77"/>
      <c r="P26" s="77"/>
      <c r="Q26" s="79">
        <f t="shared" si="2"/>
        <v>0</v>
      </c>
      <c r="R26" s="72">
        <f t="shared" si="3"/>
        <v>1200</v>
      </c>
    </row>
    <row r="27" spans="1:18" x14ac:dyDescent="0.25">
      <c r="A27" s="73">
        <v>22</v>
      </c>
      <c r="B27" s="84" t="s">
        <v>126</v>
      </c>
      <c r="C27" s="75"/>
      <c r="D27" s="76"/>
      <c r="E27" s="76"/>
      <c r="F27" s="76"/>
      <c r="G27" s="76"/>
      <c r="H27" s="76"/>
      <c r="I27" s="67">
        <f t="shared" si="0"/>
        <v>0</v>
      </c>
      <c r="J27" s="77"/>
      <c r="K27" s="69">
        <f t="shared" si="1"/>
        <v>0</v>
      </c>
      <c r="L27" s="78"/>
      <c r="M27" s="78"/>
      <c r="N27" s="75">
        <v>6000</v>
      </c>
      <c r="O27" s="77">
        <f>6000-500</f>
        <v>5500</v>
      </c>
      <c r="P27" s="77">
        <f>6000-1000</f>
        <v>5000</v>
      </c>
      <c r="Q27" s="79">
        <f t="shared" si="2"/>
        <v>16500</v>
      </c>
      <c r="R27" s="72">
        <f t="shared" si="3"/>
        <v>16500</v>
      </c>
    </row>
    <row r="28" spans="1:18" x14ac:dyDescent="0.25">
      <c r="A28" s="73">
        <v>23</v>
      </c>
      <c r="B28" s="81" t="s">
        <v>127</v>
      </c>
      <c r="C28" s="75"/>
      <c r="D28" s="76"/>
      <c r="E28" s="76">
        <v>2000</v>
      </c>
      <c r="F28" s="76"/>
      <c r="G28" s="76"/>
      <c r="H28" s="76"/>
      <c r="I28" s="67">
        <f t="shared" si="0"/>
        <v>2000</v>
      </c>
      <c r="J28" s="77"/>
      <c r="K28" s="69">
        <f t="shared" si="1"/>
        <v>2000</v>
      </c>
      <c r="L28" s="78"/>
      <c r="M28" s="78"/>
      <c r="N28" s="75"/>
      <c r="O28" s="77"/>
      <c r="P28" s="77"/>
      <c r="Q28" s="79">
        <f t="shared" si="2"/>
        <v>0</v>
      </c>
      <c r="R28" s="72">
        <f t="shared" si="3"/>
        <v>2000</v>
      </c>
    </row>
    <row r="29" spans="1:18" ht="12" thickBot="1" x14ac:dyDescent="0.3">
      <c r="A29" s="85">
        <v>24</v>
      </c>
      <c r="B29" s="86" t="s">
        <v>102</v>
      </c>
      <c r="C29" s="87"/>
      <c r="D29" s="88"/>
      <c r="E29" s="88"/>
      <c r="F29" s="88"/>
      <c r="G29" s="88"/>
      <c r="H29" s="88"/>
      <c r="I29" s="67">
        <f t="shared" si="0"/>
        <v>0</v>
      </c>
      <c r="J29" s="89"/>
      <c r="K29" s="69">
        <f t="shared" si="1"/>
        <v>0</v>
      </c>
      <c r="L29" s="90"/>
      <c r="M29" s="90"/>
      <c r="N29" s="87">
        <f>4500-1500</f>
        <v>3000</v>
      </c>
      <c r="O29" s="89">
        <v>4500</v>
      </c>
      <c r="P29" s="89">
        <f>4500-1800</f>
        <v>2700</v>
      </c>
      <c r="Q29" s="91">
        <f t="shared" si="2"/>
        <v>10200</v>
      </c>
      <c r="R29" s="72">
        <f t="shared" si="3"/>
        <v>10200</v>
      </c>
    </row>
    <row r="30" spans="1:18" ht="16.5" customHeight="1" thickBot="1" x14ac:dyDescent="0.3">
      <c r="A30" s="92"/>
      <c r="B30" s="93" t="s">
        <v>87</v>
      </c>
      <c r="C30" s="94">
        <f t="shared" ref="C30:R30" si="4">SUM(C6:C29)</f>
        <v>4810</v>
      </c>
      <c r="D30" s="95">
        <f t="shared" si="4"/>
        <v>3640</v>
      </c>
      <c r="E30" s="95">
        <f t="shared" si="4"/>
        <v>3540</v>
      </c>
      <c r="F30" s="95">
        <f t="shared" si="4"/>
        <v>1250</v>
      </c>
      <c r="G30" s="95">
        <f t="shared" si="4"/>
        <v>1515</v>
      </c>
      <c r="H30" s="95">
        <f t="shared" si="4"/>
        <v>191</v>
      </c>
      <c r="I30" s="95">
        <f t="shared" si="4"/>
        <v>14946</v>
      </c>
      <c r="J30" s="95">
        <f t="shared" si="4"/>
        <v>1500</v>
      </c>
      <c r="K30" s="96">
        <f t="shared" si="4"/>
        <v>16446</v>
      </c>
      <c r="L30" s="97">
        <f t="shared" si="4"/>
        <v>21500</v>
      </c>
      <c r="M30" s="97">
        <f t="shared" si="4"/>
        <v>6245</v>
      </c>
      <c r="N30" s="94">
        <f t="shared" si="4"/>
        <v>33650</v>
      </c>
      <c r="O30" s="95">
        <f t="shared" si="4"/>
        <v>33850</v>
      </c>
      <c r="P30" s="95">
        <f t="shared" si="4"/>
        <v>30550</v>
      </c>
      <c r="Q30" s="98">
        <f t="shared" si="4"/>
        <v>98050</v>
      </c>
      <c r="R30" s="99">
        <f t="shared" si="4"/>
        <v>142241</v>
      </c>
    </row>
    <row r="31" spans="1:18" s="169" customFormat="1" x14ac:dyDescent="0.25">
      <c r="A31" s="166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</row>
    <row r="32" spans="1:18" s="169" customFormat="1" x14ac:dyDescent="0.25">
      <c r="A32" s="166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</row>
    <row r="33" spans="1:18" s="169" customFormat="1" x14ac:dyDescent="0.25">
      <c r="A33" s="166"/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</row>
  </sheetData>
  <mergeCells count="15">
    <mergeCell ref="A1:R1"/>
    <mergeCell ref="A3:A5"/>
    <mergeCell ref="B3:B5"/>
    <mergeCell ref="C3:K3"/>
    <mergeCell ref="L3:L5"/>
    <mergeCell ref="M3:M5"/>
    <mergeCell ref="N3:Q3"/>
    <mergeCell ref="R3:R5"/>
    <mergeCell ref="C4:I4"/>
    <mergeCell ref="J4:J5"/>
    <mergeCell ref="K4:K5"/>
    <mergeCell ref="N4:N5"/>
    <mergeCell ref="O4:O5"/>
    <mergeCell ref="P4:P5"/>
    <mergeCell ref="Q4:Q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zoomScale="90" zoomScaleNormal="90" workbookViewId="0">
      <pane xSplit="2" ySplit="5" topLeftCell="C90" activePane="bottomRight" state="frozen"/>
      <selection pane="topRight" activeCell="C1" sqref="C1"/>
      <selection pane="bottomLeft" activeCell="A5" sqref="A5"/>
      <selection pane="bottomRight" activeCell="F100" sqref="F100"/>
    </sheetView>
  </sheetViews>
  <sheetFormatPr defaultRowHeight="12.75" x14ac:dyDescent="0.2"/>
  <cols>
    <col min="1" max="1" width="4.42578125" style="190" customWidth="1"/>
    <col min="2" max="2" width="29.7109375" style="173" customWidth="1"/>
    <col min="3" max="3" width="10.42578125" style="173" customWidth="1"/>
    <col min="4" max="4" width="7.28515625" style="172" customWidth="1"/>
    <col min="5" max="5" width="11.140625" style="172" customWidth="1"/>
    <col min="6" max="6" width="10.28515625" style="172" customWidth="1"/>
    <col min="7" max="7" width="12.85546875" style="172" customWidth="1"/>
    <col min="8" max="8" width="12.42578125" style="172" customWidth="1"/>
    <col min="9" max="9" width="10.85546875" style="172" customWidth="1"/>
    <col min="10" max="16384" width="9.140625" style="173"/>
  </cols>
  <sheetData>
    <row r="1" spans="1:9" ht="32.25" customHeight="1" x14ac:dyDescent="0.2">
      <c r="A1" s="334" t="s">
        <v>287</v>
      </c>
      <c r="B1" s="335"/>
      <c r="C1" s="335"/>
      <c r="D1" s="335"/>
      <c r="E1" s="335"/>
      <c r="F1" s="335"/>
      <c r="G1" s="335"/>
      <c r="H1" s="335"/>
      <c r="I1" s="335"/>
    </row>
    <row r="2" spans="1:9" ht="17.25" customHeight="1" x14ac:dyDescent="0.2">
      <c r="A2" s="174"/>
      <c r="F2" s="175"/>
      <c r="G2" s="175"/>
      <c r="H2" s="175"/>
      <c r="I2" s="175"/>
    </row>
    <row r="3" spans="1:9" s="176" customFormat="1" ht="9" customHeight="1" x14ac:dyDescent="0.2">
      <c r="A3" s="336" t="s">
        <v>0</v>
      </c>
      <c r="B3" s="336" t="s">
        <v>82</v>
      </c>
      <c r="C3" s="337" t="s">
        <v>288</v>
      </c>
      <c r="D3" s="337"/>
      <c r="E3" s="337"/>
      <c r="F3" s="337"/>
      <c r="G3" s="337"/>
      <c r="H3" s="337"/>
      <c r="I3" s="337"/>
    </row>
    <row r="4" spans="1:9" s="176" customFormat="1" ht="17.25" customHeight="1" x14ac:dyDescent="0.2">
      <c r="A4" s="336"/>
      <c r="B4" s="336"/>
      <c r="C4" s="336" t="s">
        <v>289</v>
      </c>
      <c r="D4" s="338" t="s">
        <v>290</v>
      </c>
      <c r="E4" s="191" t="s">
        <v>83</v>
      </c>
      <c r="F4" s="338" t="s">
        <v>291</v>
      </c>
      <c r="G4" s="338" t="s">
        <v>83</v>
      </c>
      <c r="H4" s="340"/>
      <c r="I4" s="338" t="s">
        <v>292</v>
      </c>
    </row>
    <row r="5" spans="1:9" s="177" customFormat="1" ht="40.5" customHeight="1" x14ac:dyDescent="0.25">
      <c r="A5" s="336"/>
      <c r="B5" s="336"/>
      <c r="C5" s="336"/>
      <c r="D5" s="339"/>
      <c r="E5" s="191" t="s">
        <v>293</v>
      </c>
      <c r="F5" s="340"/>
      <c r="G5" s="191" t="s">
        <v>294</v>
      </c>
      <c r="H5" s="191" t="s">
        <v>293</v>
      </c>
      <c r="I5" s="340"/>
    </row>
    <row r="6" spans="1:9" x14ac:dyDescent="0.2">
      <c r="A6" s="178">
        <v>1</v>
      </c>
      <c r="B6" s="178">
        <v>2</v>
      </c>
      <c r="C6" s="178">
        <v>3</v>
      </c>
      <c r="D6" s="178">
        <v>4</v>
      </c>
      <c r="E6" s="178">
        <v>5</v>
      </c>
      <c r="F6" s="178">
        <v>6</v>
      </c>
      <c r="G6" s="178">
        <v>7</v>
      </c>
      <c r="H6" s="178">
        <v>8</v>
      </c>
      <c r="I6" s="178">
        <v>9</v>
      </c>
    </row>
    <row r="7" spans="1:9" x14ac:dyDescent="0.2">
      <c r="A7" s="180" t="s">
        <v>295</v>
      </c>
      <c r="B7" s="180"/>
      <c r="C7" s="181"/>
      <c r="D7" s="181"/>
      <c r="E7" s="181"/>
      <c r="F7" s="181"/>
      <c r="G7" s="181"/>
      <c r="H7" s="181"/>
      <c r="I7" s="181"/>
    </row>
    <row r="8" spans="1:9" x14ac:dyDescent="0.2">
      <c r="A8" s="182">
        <v>1</v>
      </c>
      <c r="B8" s="184" t="s">
        <v>93</v>
      </c>
      <c r="C8" s="183">
        <f>D8+F8+I8</f>
        <v>755</v>
      </c>
      <c r="D8" s="183"/>
      <c r="E8" s="183"/>
      <c r="F8" s="183">
        <v>755</v>
      </c>
      <c r="G8" s="183"/>
      <c r="H8" s="183"/>
      <c r="I8" s="183"/>
    </row>
    <row r="9" spans="1:9" x14ac:dyDescent="0.2">
      <c r="A9" s="182">
        <v>2</v>
      </c>
      <c r="B9" s="184" t="s">
        <v>94</v>
      </c>
      <c r="C9" s="183">
        <f>D9+F9+I9</f>
        <v>729</v>
      </c>
      <c r="D9" s="183"/>
      <c r="E9" s="183"/>
      <c r="F9" s="183">
        <v>729</v>
      </c>
      <c r="G9" s="183"/>
      <c r="H9" s="183"/>
      <c r="I9" s="183"/>
    </row>
    <row r="10" spans="1:9" x14ac:dyDescent="0.2">
      <c r="A10" s="182">
        <v>3</v>
      </c>
      <c r="B10" s="184" t="s">
        <v>47</v>
      </c>
      <c r="C10" s="183">
        <f t="shared" ref="C10:C91" si="0">D10+F10+I10</f>
        <v>3231</v>
      </c>
      <c r="D10" s="183"/>
      <c r="E10" s="183"/>
      <c r="F10" s="183">
        <v>3219</v>
      </c>
      <c r="G10" s="183"/>
      <c r="H10" s="183"/>
      <c r="I10" s="183">
        <v>12</v>
      </c>
    </row>
    <row r="11" spans="1:9" x14ac:dyDescent="0.2">
      <c r="A11" s="182">
        <v>4</v>
      </c>
      <c r="B11" s="184" t="s">
        <v>3</v>
      </c>
      <c r="C11" s="183">
        <f t="shared" si="0"/>
        <v>1945</v>
      </c>
      <c r="D11" s="183"/>
      <c r="E11" s="183"/>
      <c r="F11" s="183">
        <v>1945</v>
      </c>
      <c r="G11" s="183"/>
      <c r="H11" s="183"/>
      <c r="I11" s="183"/>
    </row>
    <row r="12" spans="1:9" ht="12.75" customHeight="1" x14ac:dyDescent="0.2">
      <c r="A12" s="182">
        <v>5</v>
      </c>
      <c r="B12" s="184" t="s">
        <v>1</v>
      </c>
      <c r="C12" s="183">
        <f t="shared" si="0"/>
        <v>4288</v>
      </c>
      <c r="D12" s="183"/>
      <c r="E12" s="183"/>
      <c r="F12" s="183">
        <v>4277</v>
      </c>
      <c r="G12" s="183"/>
      <c r="H12" s="183"/>
      <c r="I12" s="183">
        <v>11</v>
      </c>
    </row>
    <row r="13" spans="1:9" x14ac:dyDescent="0.2">
      <c r="A13" s="182">
        <v>6</v>
      </c>
      <c r="B13" s="184" t="s">
        <v>4</v>
      </c>
      <c r="C13" s="183">
        <f t="shared" si="0"/>
        <v>2385</v>
      </c>
      <c r="D13" s="183"/>
      <c r="E13" s="183"/>
      <c r="F13" s="183">
        <v>2357</v>
      </c>
      <c r="G13" s="183"/>
      <c r="H13" s="183"/>
      <c r="I13" s="183">
        <v>28</v>
      </c>
    </row>
    <row r="14" spans="1:9" x14ac:dyDescent="0.2">
      <c r="A14" s="182">
        <v>7</v>
      </c>
      <c r="B14" s="184" t="s">
        <v>6</v>
      </c>
      <c r="C14" s="183">
        <f t="shared" si="0"/>
        <v>6631</v>
      </c>
      <c r="D14" s="183"/>
      <c r="E14" s="183"/>
      <c r="F14" s="183">
        <v>6602</v>
      </c>
      <c r="G14" s="183"/>
      <c r="H14" s="183">
        <v>5</v>
      </c>
      <c r="I14" s="183">
        <v>29</v>
      </c>
    </row>
    <row r="15" spans="1:9" x14ac:dyDescent="0.2">
      <c r="A15" s="182">
        <v>8</v>
      </c>
      <c r="B15" s="184" t="s">
        <v>7</v>
      </c>
      <c r="C15" s="183">
        <f t="shared" si="0"/>
        <v>3107</v>
      </c>
      <c r="D15" s="183"/>
      <c r="E15" s="183"/>
      <c r="F15" s="183">
        <v>3102</v>
      </c>
      <c r="G15" s="183"/>
      <c r="H15" s="183">
        <v>4</v>
      </c>
      <c r="I15" s="183">
        <v>5</v>
      </c>
    </row>
    <row r="16" spans="1:9" x14ac:dyDescent="0.2">
      <c r="A16" s="182">
        <v>9</v>
      </c>
      <c r="B16" s="184" t="s">
        <v>8</v>
      </c>
      <c r="C16" s="183">
        <f t="shared" si="0"/>
        <v>1898</v>
      </c>
      <c r="D16" s="183"/>
      <c r="E16" s="183"/>
      <c r="F16" s="183">
        <v>1898</v>
      </c>
      <c r="G16" s="183"/>
      <c r="H16" s="183">
        <v>9</v>
      </c>
      <c r="I16" s="183"/>
    </row>
    <row r="17" spans="1:9" x14ac:dyDescent="0.2">
      <c r="A17" s="182">
        <v>10</v>
      </c>
      <c r="B17" s="184" t="s">
        <v>10</v>
      </c>
      <c r="C17" s="183">
        <f t="shared" si="0"/>
        <v>2218</v>
      </c>
      <c r="D17" s="183"/>
      <c r="E17" s="183"/>
      <c r="F17" s="183">
        <v>2218</v>
      </c>
      <c r="G17" s="183"/>
      <c r="H17" s="183">
        <v>3</v>
      </c>
      <c r="I17" s="183"/>
    </row>
    <row r="18" spans="1:9" x14ac:dyDescent="0.2">
      <c r="A18" s="182">
        <v>11</v>
      </c>
      <c r="B18" s="184" t="s">
        <v>12</v>
      </c>
      <c r="C18" s="183">
        <f t="shared" si="0"/>
        <v>2405</v>
      </c>
      <c r="D18" s="183"/>
      <c r="E18" s="183"/>
      <c r="F18" s="183">
        <v>2399</v>
      </c>
      <c r="G18" s="183"/>
      <c r="H18" s="183">
        <v>3</v>
      </c>
      <c r="I18" s="183">
        <v>6</v>
      </c>
    </row>
    <row r="19" spans="1:9" x14ac:dyDescent="0.2">
      <c r="A19" s="182">
        <v>12</v>
      </c>
      <c r="B19" s="184" t="s">
        <v>15</v>
      </c>
      <c r="C19" s="183">
        <f t="shared" si="0"/>
        <v>5380</v>
      </c>
      <c r="D19" s="183"/>
      <c r="E19" s="183"/>
      <c r="F19" s="183">
        <v>5371</v>
      </c>
      <c r="G19" s="183"/>
      <c r="H19" s="183">
        <v>2</v>
      </c>
      <c r="I19" s="183">
        <v>9</v>
      </c>
    </row>
    <row r="20" spans="1:9" x14ac:dyDescent="0.2">
      <c r="A20" s="182">
        <v>13</v>
      </c>
      <c r="B20" s="184" t="s">
        <v>38</v>
      </c>
      <c r="C20" s="183">
        <f t="shared" si="0"/>
        <v>2705</v>
      </c>
      <c r="D20" s="183"/>
      <c r="E20" s="183"/>
      <c r="F20" s="183">
        <v>2705</v>
      </c>
      <c r="G20" s="183"/>
      <c r="H20" s="183">
        <v>2</v>
      </c>
      <c r="I20" s="183"/>
    </row>
    <row r="21" spans="1:9" x14ac:dyDescent="0.2">
      <c r="A21" s="182">
        <v>14</v>
      </c>
      <c r="B21" s="184" t="s">
        <v>16</v>
      </c>
      <c r="C21" s="183">
        <f t="shared" si="0"/>
        <v>3693</v>
      </c>
      <c r="D21" s="183"/>
      <c r="E21" s="183"/>
      <c r="F21" s="183">
        <v>3674</v>
      </c>
      <c r="G21" s="183"/>
      <c r="H21" s="183">
        <v>12</v>
      </c>
      <c r="I21" s="183">
        <v>19</v>
      </c>
    </row>
    <row r="22" spans="1:9" x14ac:dyDescent="0.2">
      <c r="A22" s="182">
        <v>15</v>
      </c>
      <c r="B22" s="184" t="s">
        <v>17</v>
      </c>
      <c r="C22" s="183">
        <f t="shared" si="0"/>
        <v>2127</v>
      </c>
      <c r="D22" s="183"/>
      <c r="E22" s="183"/>
      <c r="F22" s="183">
        <v>2099</v>
      </c>
      <c r="G22" s="183"/>
      <c r="H22" s="183">
        <v>7</v>
      </c>
      <c r="I22" s="183">
        <v>28</v>
      </c>
    </row>
    <row r="23" spans="1:9" x14ac:dyDescent="0.2">
      <c r="A23" s="182">
        <v>16</v>
      </c>
      <c r="B23" s="184" t="s">
        <v>18</v>
      </c>
      <c r="C23" s="183">
        <f t="shared" si="0"/>
        <v>1748</v>
      </c>
      <c r="D23" s="183"/>
      <c r="E23" s="183"/>
      <c r="F23" s="183">
        <v>1734</v>
      </c>
      <c r="G23" s="183"/>
      <c r="H23" s="183"/>
      <c r="I23" s="183">
        <v>14</v>
      </c>
    </row>
    <row r="24" spans="1:9" ht="12.75" customHeight="1" x14ac:dyDescent="0.2">
      <c r="A24" s="182">
        <v>17</v>
      </c>
      <c r="B24" s="184" t="s">
        <v>44</v>
      </c>
      <c r="C24" s="183">
        <f t="shared" si="0"/>
        <v>2575</v>
      </c>
      <c r="D24" s="183"/>
      <c r="E24" s="183"/>
      <c r="F24" s="183">
        <v>2530</v>
      </c>
      <c r="G24" s="183"/>
      <c r="H24" s="183"/>
      <c r="I24" s="183">
        <v>45</v>
      </c>
    </row>
    <row r="25" spans="1:9" x14ac:dyDescent="0.2">
      <c r="A25" s="182">
        <v>18</v>
      </c>
      <c r="B25" s="184" t="s">
        <v>27</v>
      </c>
      <c r="C25" s="183">
        <f t="shared" si="0"/>
        <v>3697</v>
      </c>
      <c r="D25" s="183"/>
      <c r="E25" s="183"/>
      <c r="F25" s="183">
        <v>3643</v>
      </c>
      <c r="G25" s="183"/>
      <c r="H25" s="183"/>
      <c r="I25" s="183">
        <v>54</v>
      </c>
    </row>
    <row r="26" spans="1:9" x14ac:dyDescent="0.2">
      <c r="A26" s="182">
        <v>19</v>
      </c>
      <c r="B26" s="184" t="s">
        <v>20</v>
      </c>
      <c r="C26" s="183">
        <f t="shared" si="0"/>
        <v>4459</v>
      </c>
      <c r="D26" s="183"/>
      <c r="E26" s="183"/>
      <c r="F26" s="183">
        <v>4448</v>
      </c>
      <c r="G26" s="183"/>
      <c r="H26" s="183"/>
      <c r="I26" s="183">
        <v>11</v>
      </c>
    </row>
    <row r="27" spans="1:9" x14ac:dyDescent="0.2">
      <c r="A27" s="182">
        <v>20</v>
      </c>
      <c r="B27" s="184" t="s">
        <v>23</v>
      </c>
      <c r="C27" s="183">
        <f t="shared" si="0"/>
        <v>1650</v>
      </c>
      <c r="D27" s="183"/>
      <c r="E27" s="183"/>
      <c r="F27" s="183">
        <v>1644</v>
      </c>
      <c r="G27" s="183"/>
      <c r="H27" s="183"/>
      <c r="I27" s="183">
        <v>6</v>
      </c>
    </row>
    <row r="28" spans="1:9" x14ac:dyDescent="0.2">
      <c r="A28" s="182">
        <v>21</v>
      </c>
      <c r="B28" s="184" t="s">
        <v>25</v>
      </c>
      <c r="C28" s="183">
        <f t="shared" si="0"/>
        <v>1693</v>
      </c>
      <c r="D28" s="183"/>
      <c r="E28" s="183"/>
      <c r="F28" s="183">
        <v>1669</v>
      </c>
      <c r="G28" s="183"/>
      <c r="H28" s="183"/>
      <c r="I28" s="183">
        <v>24</v>
      </c>
    </row>
    <row r="29" spans="1:9" x14ac:dyDescent="0.2">
      <c r="A29" s="182">
        <v>22</v>
      </c>
      <c r="B29" s="184" t="s">
        <v>26</v>
      </c>
      <c r="C29" s="183">
        <f t="shared" si="0"/>
        <v>3583</v>
      </c>
      <c r="D29" s="183"/>
      <c r="E29" s="183"/>
      <c r="F29" s="183">
        <v>3566</v>
      </c>
      <c r="G29" s="183"/>
      <c r="H29" s="183"/>
      <c r="I29" s="183">
        <v>17</v>
      </c>
    </row>
    <row r="30" spans="1:9" x14ac:dyDescent="0.2">
      <c r="A30" s="182">
        <v>23</v>
      </c>
      <c r="B30" s="184" t="s">
        <v>24</v>
      </c>
      <c r="C30" s="183">
        <f t="shared" si="0"/>
        <v>3038</v>
      </c>
      <c r="D30" s="183"/>
      <c r="E30" s="183"/>
      <c r="F30" s="183">
        <v>3030</v>
      </c>
      <c r="G30" s="183"/>
      <c r="H30" s="183"/>
      <c r="I30" s="183">
        <v>8</v>
      </c>
    </row>
    <row r="31" spans="1:9" x14ac:dyDescent="0.2">
      <c r="A31" s="182">
        <v>24</v>
      </c>
      <c r="B31" s="184" t="s">
        <v>29</v>
      </c>
      <c r="C31" s="183">
        <f t="shared" si="0"/>
        <v>2124</v>
      </c>
      <c r="D31" s="183"/>
      <c r="E31" s="183"/>
      <c r="F31" s="183">
        <v>2068</v>
      </c>
      <c r="G31" s="183"/>
      <c r="H31" s="183"/>
      <c r="I31" s="183">
        <v>56</v>
      </c>
    </row>
    <row r="32" spans="1:9" x14ac:dyDescent="0.2">
      <c r="A32" s="182">
        <v>25</v>
      </c>
      <c r="B32" s="184" t="s">
        <v>30</v>
      </c>
      <c r="C32" s="183">
        <f t="shared" si="0"/>
        <v>3046</v>
      </c>
      <c r="D32" s="183"/>
      <c r="E32" s="183"/>
      <c r="F32" s="183">
        <v>3046</v>
      </c>
      <c r="G32" s="183"/>
      <c r="H32" s="183"/>
      <c r="I32" s="183"/>
    </row>
    <row r="33" spans="1:9" ht="14.25" customHeight="1" x14ac:dyDescent="0.2">
      <c r="A33" s="182">
        <v>26</v>
      </c>
      <c r="B33" s="184" t="s">
        <v>31</v>
      </c>
      <c r="C33" s="183">
        <f t="shared" si="0"/>
        <v>4733</v>
      </c>
      <c r="D33" s="183"/>
      <c r="E33" s="183"/>
      <c r="F33" s="183">
        <v>4716</v>
      </c>
      <c r="G33" s="183"/>
      <c r="H33" s="183">
        <v>11</v>
      </c>
      <c r="I33" s="183">
        <v>17</v>
      </c>
    </row>
    <row r="34" spans="1:9" ht="14.25" customHeight="1" x14ac:dyDescent="0.2">
      <c r="A34" s="182">
        <v>27</v>
      </c>
      <c r="B34" s="184" t="s">
        <v>32</v>
      </c>
      <c r="C34" s="183">
        <f t="shared" si="0"/>
        <v>1742</v>
      </c>
      <c r="D34" s="183"/>
      <c r="E34" s="183"/>
      <c r="F34" s="183">
        <v>1736</v>
      </c>
      <c r="G34" s="183"/>
      <c r="H34" s="183"/>
      <c r="I34" s="183">
        <v>6</v>
      </c>
    </row>
    <row r="35" spans="1:9" x14ac:dyDescent="0.2">
      <c r="A35" s="182">
        <v>28</v>
      </c>
      <c r="B35" s="184" t="s">
        <v>33</v>
      </c>
      <c r="C35" s="183">
        <f t="shared" si="0"/>
        <v>2233</v>
      </c>
      <c r="D35" s="183"/>
      <c r="E35" s="183"/>
      <c r="F35" s="183">
        <v>2201</v>
      </c>
      <c r="G35" s="183"/>
      <c r="H35" s="183"/>
      <c r="I35" s="183">
        <v>32</v>
      </c>
    </row>
    <row r="36" spans="1:9" x14ac:dyDescent="0.2">
      <c r="A36" s="182">
        <v>29</v>
      </c>
      <c r="B36" s="184" t="s">
        <v>19</v>
      </c>
      <c r="C36" s="183">
        <f t="shared" si="0"/>
        <v>3401</v>
      </c>
      <c r="D36" s="183"/>
      <c r="E36" s="183"/>
      <c r="F36" s="183">
        <v>3384</v>
      </c>
      <c r="G36" s="183"/>
      <c r="H36" s="183"/>
      <c r="I36" s="183">
        <v>17</v>
      </c>
    </row>
    <row r="37" spans="1:9" x14ac:dyDescent="0.2">
      <c r="A37" s="182">
        <v>30</v>
      </c>
      <c r="B37" s="184" t="s">
        <v>35</v>
      </c>
      <c r="C37" s="183">
        <f t="shared" si="0"/>
        <v>2535</v>
      </c>
      <c r="D37" s="183"/>
      <c r="E37" s="183"/>
      <c r="F37" s="183">
        <v>2535</v>
      </c>
      <c r="G37" s="183"/>
      <c r="H37" s="183"/>
      <c r="I37" s="183"/>
    </row>
    <row r="38" spans="1:9" x14ac:dyDescent="0.2">
      <c r="A38" s="182">
        <v>31</v>
      </c>
      <c r="B38" s="184" t="s">
        <v>42</v>
      </c>
      <c r="C38" s="183">
        <f t="shared" si="0"/>
        <v>3575</v>
      </c>
      <c r="D38" s="183"/>
      <c r="E38" s="183"/>
      <c r="F38" s="183">
        <v>3564</v>
      </c>
      <c r="G38" s="183"/>
      <c r="H38" s="183">
        <v>100</v>
      </c>
      <c r="I38" s="183">
        <v>11</v>
      </c>
    </row>
    <row r="39" spans="1:9" x14ac:dyDescent="0.2">
      <c r="A39" s="182">
        <v>32</v>
      </c>
      <c r="B39" s="184" t="s">
        <v>39</v>
      </c>
      <c r="C39" s="183">
        <f t="shared" si="0"/>
        <v>2763</v>
      </c>
      <c r="D39" s="183"/>
      <c r="E39" s="183"/>
      <c r="F39" s="183">
        <v>2763</v>
      </c>
      <c r="G39" s="183"/>
      <c r="H39" s="183"/>
      <c r="I39" s="183"/>
    </row>
    <row r="40" spans="1:9" x14ac:dyDescent="0.2">
      <c r="A40" s="182">
        <v>33</v>
      </c>
      <c r="B40" s="184" t="s">
        <v>40</v>
      </c>
      <c r="C40" s="183">
        <f t="shared" si="0"/>
        <v>3200</v>
      </c>
      <c r="D40" s="183"/>
      <c r="E40" s="183"/>
      <c r="F40" s="183">
        <v>3192</v>
      </c>
      <c r="G40" s="183"/>
      <c r="H40" s="183">
        <v>5</v>
      </c>
      <c r="I40" s="183">
        <v>8</v>
      </c>
    </row>
    <row r="41" spans="1:9" x14ac:dyDescent="0.2">
      <c r="A41" s="182">
        <v>34</v>
      </c>
      <c r="B41" s="184" t="s">
        <v>34</v>
      </c>
      <c r="C41" s="183">
        <f t="shared" si="0"/>
        <v>3485</v>
      </c>
      <c r="D41" s="183"/>
      <c r="E41" s="183"/>
      <c r="F41" s="183">
        <v>3471</v>
      </c>
      <c r="G41" s="183"/>
      <c r="H41" s="183">
        <v>2</v>
      </c>
      <c r="I41" s="183">
        <v>14</v>
      </c>
    </row>
    <row r="42" spans="1:9" x14ac:dyDescent="0.2">
      <c r="A42" s="182">
        <v>35</v>
      </c>
      <c r="B42" s="184" t="s">
        <v>41</v>
      </c>
      <c r="C42" s="183">
        <f t="shared" si="0"/>
        <v>2057</v>
      </c>
      <c r="D42" s="183"/>
      <c r="E42" s="183"/>
      <c r="F42" s="183">
        <v>2049</v>
      </c>
      <c r="G42" s="183"/>
      <c r="H42" s="183"/>
      <c r="I42" s="183">
        <v>8</v>
      </c>
    </row>
    <row r="43" spans="1:9" x14ac:dyDescent="0.2">
      <c r="A43" s="182">
        <v>36</v>
      </c>
      <c r="B43" s="184" t="s">
        <v>2</v>
      </c>
      <c r="C43" s="183">
        <f t="shared" si="0"/>
        <v>4465</v>
      </c>
      <c r="D43" s="183"/>
      <c r="E43" s="183"/>
      <c r="F43" s="183">
        <v>4456</v>
      </c>
      <c r="G43" s="183"/>
      <c r="H43" s="183">
        <v>4</v>
      </c>
      <c r="I43" s="183">
        <v>9</v>
      </c>
    </row>
    <row r="44" spans="1:9" x14ac:dyDescent="0.2">
      <c r="A44" s="182">
        <v>37</v>
      </c>
      <c r="B44" s="184" t="s">
        <v>43</v>
      </c>
      <c r="C44" s="183">
        <f t="shared" si="0"/>
        <v>2120</v>
      </c>
      <c r="D44" s="183"/>
      <c r="E44" s="183"/>
      <c r="F44" s="183">
        <v>2109</v>
      </c>
      <c r="G44" s="183"/>
      <c r="H44" s="183"/>
      <c r="I44" s="183">
        <v>11</v>
      </c>
    </row>
    <row r="45" spans="1:9" x14ac:dyDescent="0.2">
      <c r="A45" s="182">
        <v>38</v>
      </c>
      <c r="B45" s="184" t="s">
        <v>5</v>
      </c>
      <c r="C45" s="183">
        <f t="shared" si="0"/>
        <v>2917</v>
      </c>
      <c r="D45" s="183"/>
      <c r="E45" s="183"/>
      <c r="F45" s="183">
        <v>2906</v>
      </c>
      <c r="G45" s="183"/>
      <c r="H45" s="183">
        <v>4</v>
      </c>
      <c r="I45" s="183">
        <v>11</v>
      </c>
    </row>
    <row r="46" spans="1:9" x14ac:dyDescent="0.2">
      <c r="A46" s="182">
        <v>39</v>
      </c>
      <c r="B46" s="184" t="s">
        <v>46</v>
      </c>
      <c r="C46" s="183">
        <f t="shared" si="0"/>
        <v>1675</v>
      </c>
      <c r="D46" s="183"/>
      <c r="E46" s="183"/>
      <c r="F46" s="183">
        <v>1634</v>
      </c>
      <c r="G46" s="183"/>
      <c r="H46" s="183"/>
      <c r="I46" s="183">
        <v>41</v>
      </c>
    </row>
    <row r="47" spans="1:9" x14ac:dyDescent="0.2">
      <c r="A47" s="182">
        <v>40</v>
      </c>
      <c r="B47" s="184" t="s">
        <v>48</v>
      </c>
      <c r="C47" s="183">
        <f t="shared" si="0"/>
        <v>2987</v>
      </c>
      <c r="D47" s="183"/>
      <c r="E47" s="183"/>
      <c r="F47" s="183">
        <v>2981</v>
      </c>
      <c r="G47" s="183"/>
      <c r="H47" s="183">
        <v>1</v>
      </c>
      <c r="I47" s="183">
        <v>6</v>
      </c>
    </row>
    <row r="48" spans="1:9" x14ac:dyDescent="0.2">
      <c r="A48" s="182">
        <v>41</v>
      </c>
      <c r="B48" s="184" t="s">
        <v>49</v>
      </c>
      <c r="C48" s="183">
        <f t="shared" si="0"/>
        <v>4392</v>
      </c>
      <c r="D48" s="183"/>
      <c r="E48" s="183"/>
      <c r="F48" s="183">
        <v>4381</v>
      </c>
      <c r="G48" s="183"/>
      <c r="H48" s="183">
        <v>5</v>
      </c>
      <c r="I48" s="183">
        <v>11</v>
      </c>
    </row>
    <row r="49" spans="1:9" x14ac:dyDescent="0.2">
      <c r="A49" s="182">
        <v>42</v>
      </c>
      <c r="B49" s="184" t="s">
        <v>50</v>
      </c>
      <c r="C49" s="183">
        <f t="shared" si="0"/>
        <v>2657</v>
      </c>
      <c r="D49" s="183"/>
      <c r="E49" s="183"/>
      <c r="F49" s="183">
        <v>2649</v>
      </c>
      <c r="G49" s="183"/>
      <c r="H49" s="183">
        <v>17</v>
      </c>
      <c r="I49" s="183">
        <v>8</v>
      </c>
    </row>
    <row r="50" spans="1:9" x14ac:dyDescent="0.2">
      <c r="A50" s="182">
        <v>43</v>
      </c>
      <c r="B50" s="184" t="s">
        <v>14</v>
      </c>
      <c r="C50" s="183">
        <f t="shared" si="0"/>
        <v>2202</v>
      </c>
      <c r="D50" s="183"/>
      <c r="E50" s="183"/>
      <c r="F50" s="183">
        <v>2196</v>
      </c>
      <c r="G50" s="183"/>
      <c r="H50" s="183"/>
      <c r="I50" s="183">
        <v>6</v>
      </c>
    </row>
    <row r="51" spans="1:9" x14ac:dyDescent="0.2">
      <c r="A51" s="182">
        <v>44</v>
      </c>
      <c r="B51" s="184" t="s">
        <v>51</v>
      </c>
      <c r="C51" s="183">
        <f t="shared" si="0"/>
        <v>5424</v>
      </c>
      <c r="D51" s="183"/>
      <c r="E51" s="183"/>
      <c r="F51" s="183">
        <v>5424</v>
      </c>
      <c r="G51" s="183"/>
      <c r="H51" s="183">
        <v>3</v>
      </c>
      <c r="I51" s="183"/>
    </row>
    <row r="52" spans="1:9" x14ac:dyDescent="0.2">
      <c r="A52" s="182">
        <v>45</v>
      </c>
      <c r="B52" s="184" t="s">
        <v>55</v>
      </c>
      <c r="C52" s="183">
        <f t="shared" si="0"/>
        <v>927</v>
      </c>
      <c r="D52" s="183"/>
      <c r="E52" s="183"/>
      <c r="F52" s="183">
        <v>927</v>
      </c>
      <c r="G52" s="183"/>
      <c r="H52" s="183"/>
      <c r="I52" s="183"/>
    </row>
    <row r="53" spans="1:9" x14ac:dyDescent="0.2">
      <c r="A53" s="182">
        <v>46</v>
      </c>
      <c r="B53" s="184" t="s">
        <v>58</v>
      </c>
      <c r="C53" s="183">
        <f t="shared" si="0"/>
        <v>75</v>
      </c>
      <c r="D53" s="183"/>
      <c r="E53" s="183"/>
      <c r="F53" s="183">
        <f>927-773-79</f>
        <v>75</v>
      </c>
      <c r="G53" s="183"/>
      <c r="H53" s="183"/>
      <c r="I53" s="183"/>
    </row>
    <row r="54" spans="1:9" ht="47.25" customHeight="1" x14ac:dyDescent="0.2">
      <c r="A54" s="182">
        <v>47</v>
      </c>
      <c r="B54" s="184" t="s">
        <v>296</v>
      </c>
      <c r="C54" s="183">
        <f>D54+F54+I54</f>
        <v>852</v>
      </c>
      <c r="D54" s="183"/>
      <c r="E54" s="183"/>
      <c r="F54" s="183">
        <f>773+79</f>
        <v>852</v>
      </c>
      <c r="G54" s="183"/>
      <c r="H54" s="183"/>
      <c r="I54" s="183"/>
    </row>
    <row r="55" spans="1:9" ht="48" customHeight="1" x14ac:dyDescent="0.2">
      <c r="A55" s="182">
        <v>48</v>
      </c>
      <c r="B55" s="184" t="s">
        <v>297</v>
      </c>
      <c r="C55" s="183">
        <f t="shared" si="0"/>
        <v>1454</v>
      </c>
      <c r="D55" s="183"/>
      <c r="E55" s="183"/>
      <c r="F55" s="183">
        <v>1454</v>
      </c>
      <c r="G55" s="183"/>
      <c r="H55" s="183"/>
      <c r="I55" s="183"/>
    </row>
    <row r="56" spans="1:9" ht="47.25" customHeight="1" x14ac:dyDescent="0.2">
      <c r="A56" s="182">
        <v>49</v>
      </c>
      <c r="B56" s="184" t="s">
        <v>298</v>
      </c>
      <c r="C56" s="183">
        <f t="shared" si="0"/>
        <v>1183</v>
      </c>
      <c r="D56" s="183"/>
      <c r="E56" s="183"/>
      <c r="F56" s="183">
        <v>1183</v>
      </c>
      <c r="G56" s="183"/>
      <c r="H56" s="183"/>
      <c r="I56" s="183"/>
    </row>
    <row r="57" spans="1:9" ht="59.25" customHeight="1" x14ac:dyDescent="0.2">
      <c r="A57" s="331">
        <v>50</v>
      </c>
      <c r="B57" s="184" t="s">
        <v>299</v>
      </c>
      <c r="C57" s="183">
        <f t="shared" si="0"/>
        <v>199</v>
      </c>
      <c r="D57" s="183"/>
      <c r="E57" s="183"/>
      <c r="F57" s="183">
        <f>795-596</f>
        <v>199</v>
      </c>
      <c r="G57" s="183"/>
      <c r="H57" s="183"/>
      <c r="I57" s="183"/>
    </row>
    <row r="58" spans="1:9" ht="59.25" customHeight="1" x14ac:dyDescent="0.2">
      <c r="A58" s="332">
        <v>51</v>
      </c>
      <c r="B58" s="184" t="s">
        <v>300</v>
      </c>
      <c r="C58" s="183">
        <f t="shared" si="0"/>
        <v>596</v>
      </c>
      <c r="D58" s="183"/>
      <c r="E58" s="183"/>
      <c r="F58" s="183">
        <f>0+596</f>
        <v>596</v>
      </c>
      <c r="G58" s="183"/>
      <c r="H58" s="183"/>
      <c r="I58" s="183"/>
    </row>
    <row r="59" spans="1:9" ht="48" customHeight="1" x14ac:dyDescent="0.2">
      <c r="A59" s="182">
        <v>52</v>
      </c>
      <c r="B59" s="184" t="s">
        <v>301</v>
      </c>
      <c r="C59" s="183">
        <f t="shared" si="0"/>
        <v>2258</v>
      </c>
      <c r="D59" s="183"/>
      <c r="E59" s="183"/>
      <c r="F59" s="183">
        <v>2258</v>
      </c>
      <c r="G59" s="183"/>
      <c r="H59" s="183"/>
      <c r="I59" s="183"/>
    </row>
    <row r="60" spans="1:9" ht="27" customHeight="1" x14ac:dyDescent="0.2">
      <c r="A60" s="182">
        <v>53</v>
      </c>
      <c r="B60" s="184" t="s">
        <v>72</v>
      </c>
      <c r="C60" s="183">
        <f t="shared" si="0"/>
        <v>2800</v>
      </c>
      <c r="D60" s="183"/>
      <c r="E60" s="183"/>
      <c r="F60" s="183">
        <v>2800</v>
      </c>
      <c r="G60" s="183"/>
      <c r="H60" s="183"/>
      <c r="I60" s="183"/>
    </row>
    <row r="61" spans="1:9" x14ac:dyDescent="0.2">
      <c r="A61" s="180" t="s">
        <v>302</v>
      </c>
      <c r="B61" s="185"/>
      <c r="C61" s="181"/>
      <c r="D61" s="181"/>
      <c r="E61" s="181"/>
      <c r="F61" s="181"/>
      <c r="G61" s="181"/>
      <c r="H61" s="181"/>
      <c r="I61" s="181"/>
    </row>
    <row r="62" spans="1:9" x14ac:dyDescent="0.2">
      <c r="A62" s="182">
        <v>54</v>
      </c>
      <c r="B62" s="184" t="s">
        <v>314</v>
      </c>
      <c r="C62" s="183">
        <f t="shared" si="0"/>
        <v>2395</v>
      </c>
      <c r="D62" s="183"/>
      <c r="E62" s="183"/>
      <c r="F62" s="183">
        <v>2395</v>
      </c>
      <c r="G62" s="183"/>
      <c r="H62" s="183"/>
      <c r="I62" s="183"/>
    </row>
    <row r="63" spans="1:9" x14ac:dyDescent="0.2">
      <c r="A63" s="180" t="s">
        <v>303</v>
      </c>
      <c r="B63" s="185"/>
      <c r="C63" s="181"/>
      <c r="D63" s="181"/>
      <c r="E63" s="181"/>
      <c r="F63" s="181"/>
      <c r="G63" s="181"/>
      <c r="H63" s="181"/>
      <c r="I63" s="181"/>
    </row>
    <row r="64" spans="1:9" x14ac:dyDescent="0.2">
      <c r="A64" s="182">
        <v>55</v>
      </c>
      <c r="B64" s="184" t="s">
        <v>60</v>
      </c>
      <c r="C64" s="183">
        <f t="shared" ref="C64:C80" si="1">D64+F64+I64</f>
        <v>3835</v>
      </c>
      <c r="D64" s="183"/>
      <c r="E64" s="183"/>
      <c r="F64" s="183">
        <v>3819</v>
      </c>
      <c r="G64" s="183">
        <v>850</v>
      </c>
      <c r="H64" s="183"/>
      <c r="I64" s="183">
        <v>16</v>
      </c>
    </row>
    <row r="65" spans="1:9" ht="24" x14ac:dyDescent="0.2">
      <c r="A65" s="182">
        <v>56</v>
      </c>
      <c r="B65" s="184" t="s">
        <v>68</v>
      </c>
      <c r="C65" s="183">
        <f t="shared" ref="C65:C71" si="2">D65+F65+I65</f>
        <v>5763</v>
      </c>
      <c r="D65" s="183"/>
      <c r="E65" s="183"/>
      <c r="F65" s="183">
        <v>5763</v>
      </c>
      <c r="G65" s="183"/>
      <c r="H65" s="183"/>
      <c r="I65" s="183"/>
    </row>
    <row r="66" spans="1:9" ht="24" x14ac:dyDescent="0.2">
      <c r="A66" s="331">
        <v>57</v>
      </c>
      <c r="B66" s="184" t="s">
        <v>304</v>
      </c>
      <c r="C66" s="183">
        <f t="shared" si="2"/>
        <v>586</v>
      </c>
      <c r="D66" s="183"/>
      <c r="E66" s="183"/>
      <c r="F66" s="183">
        <f>3508-2922</f>
        <v>586</v>
      </c>
      <c r="G66" s="183">
        <f>805-670</f>
        <v>135</v>
      </c>
      <c r="H66" s="183"/>
      <c r="I66" s="183"/>
    </row>
    <row r="67" spans="1:9" ht="60" x14ac:dyDescent="0.2">
      <c r="A67" s="332">
        <v>58</v>
      </c>
      <c r="B67" s="184" t="s">
        <v>305</v>
      </c>
      <c r="C67" s="183">
        <f t="shared" si="2"/>
        <v>2922</v>
      </c>
      <c r="D67" s="183"/>
      <c r="E67" s="183"/>
      <c r="F67" s="183">
        <f>0+2922</f>
        <v>2922</v>
      </c>
      <c r="G67" s="183">
        <f>0+670</f>
        <v>670</v>
      </c>
      <c r="H67" s="183"/>
      <c r="I67" s="183"/>
    </row>
    <row r="68" spans="1:9" ht="48" x14ac:dyDescent="0.2">
      <c r="A68" s="182">
        <v>59</v>
      </c>
      <c r="B68" s="184" t="s">
        <v>306</v>
      </c>
      <c r="C68" s="183">
        <f t="shared" si="2"/>
        <v>3226</v>
      </c>
      <c r="D68" s="183"/>
      <c r="E68" s="183"/>
      <c r="F68" s="183">
        <v>3226</v>
      </c>
      <c r="G68" s="183"/>
      <c r="H68" s="183"/>
      <c r="I68" s="183"/>
    </row>
    <row r="69" spans="1:9" ht="36" customHeight="1" x14ac:dyDescent="0.2">
      <c r="A69" s="182">
        <v>60</v>
      </c>
      <c r="B69" s="184" t="s">
        <v>307</v>
      </c>
      <c r="C69" s="183">
        <f t="shared" si="2"/>
        <v>4762</v>
      </c>
      <c r="D69" s="183"/>
      <c r="E69" s="183"/>
      <c r="F69" s="183">
        <f>5762-1000</f>
        <v>4762</v>
      </c>
      <c r="G69" s="183"/>
      <c r="H69" s="183"/>
      <c r="I69" s="183"/>
    </row>
    <row r="70" spans="1:9" ht="24" customHeight="1" x14ac:dyDescent="0.2">
      <c r="A70" s="331">
        <v>61</v>
      </c>
      <c r="B70" s="184" t="s">
        <v>78</v>
      </c>
      <c r="C70" s="183">
        <f t="shared" si="2"/>
        <v>967</v>
      </c>
      <c r="D70" s="183"/>
      <c r="E70" s="183"/>
      <c r="F70" s="183">
        <f>3868-2901</f>
        <v>967</v>
      </c>
      <c r="G70" s="183"/>
      <c r="H70" s="183"/>
      <c r="I70" s="183"/>
    </row>
    <row r="71" spans="1:9" ht="84" customHeight="1" x14ac:dyDescent="0.2">
      <c r="A71" s="332">
        <v>62</v>
      </c>
      <c r="B71" s="184" t="s">
        <v>308</v>
      </c>
      <c r="C71" s="183">
        <f t="shared" si="2"/>
        <v>2901</v>
      </c>
      <c r="D71" s="183"/>
      <c r="E71" s="183"/>
      <c r="F71" s="183">
        <f>0+2901</f>
        <v>2901</v>
      </c>
      <c r="G71" s="183"/>
      <c r="H71" s="183"/>
      <c r="I71" s="183"/>
    </row>
    <row r="72" spans="1:9" ht="24" x14ac:dyDescent="0.2">
      <c r="A72" s="182">
        <v>63</v>
      </c>
      <c r="B72" s="184" t="s">
        <v>315</v>
      </c>
      <c r="C72" s="183">
        <f t="shared" si="1"/>
        <v>15</v>
      </c>
      <c r="D72" s="183"/>
      <c r="E72" s="183"/>
      <c r="F72" s="183">
        <f t="shared" ref="F72:F77" si="3">17-2</f>
        <v>15</v>
      </c>
      <c r="G72" s="183"/>
      <c r="H72" s="183"/>
      <c r="I72" s="183"/>
    </row>
    <row r="73" spans="1:9" ht="24" x14ac:dyDescent="0.2">
      <c r="A73" s="182">
        <v>64</v>
      </c>
      <c r="B73" s="184" t="s">
        <v>316</v>
      </c>
      <c r="C73" s="183">
        <f t="shared" si="1"/>
        <v>15</v>
      </c>
      <c r="D73" s="183"/>
      <c r="E73" s="183"/>
      <c r="F73" s="183">
        <f t="shared" si="3"/>
        <v>15</v>
      </c>
      <c r="G73" s="183"/>
      <c r="H73" s="183"/>
      <c r="I73" s="183"/>
    </row>
    <row r="74" spans="1:9" x14ac:dyDescent="0.2">
      <c r="A74" s="182">
        <v>65</v>
      </c>
      <c r="B74" s="184" t="s">
        <v>73</v>
      </c>
      <c r="C74" s="183">
        <f t="shared" si="1"/>
        <v>15</v>
      </c>
      <c r="D74" s="183"/>
      <c r="E74" s="183"/>
      <c r="F74" s="183">
        <f t="shared" si="3"/>
        <v>15</v>
      </c>
      <c r="G74" s="183"/>
      <c r="H74" s="183"/>
      <c r="I74" s="183"/>
    </row>
    <row r="75" spans="1:9" ht="12" customHeight="1" x14ac:dyDescent="0.2">
      <c r="A75" s="182">
        <v>66</v>
      </c>
      <c r="B75" s="184" t="s">
        <v>84</v>
      </c>
      <c r="C75" s="183">
        <f t="shared" si="1"/>
        <v>15</v>
      </c>
      <c r="D75" s="183"/>
      <c r="E75" s="183"/>
      <c r="F75" s="183">
        <f t="shared" si="3"/>
        <v>15</v>
      </c>
      <c r="G75" s="183"/>
      <c r="H75" s="183"/>
      <c r="I75" s="183"/>
    </row>
    <row r="76" spans="1:9" ht="27.75" customHeight="1" x14ac:dyDescent="0.2">
      <c r="A76" s="182">
        <v>67</v>
      </c>
      <c r="B76" s="184" t="s">
        <v>317</v>
      </c>
      <c r="C76" s="183">
        <f t="shared" si="1"/>
        <v>15</v>
      </c>
      <c r="D76" s="183"/>
      <c r="E76" s="183"/>
      <c r="F76" s="183">
        <f t="shared" si="3"/>
        <v>15</v>
      </c>
      <c r="G76" s="183"/>
      <c r="H76" s="183"/>
      <c r="I76" s="183"/>
    </row>
    <row r="77" spans="1:9" x14ac:dyDescent="0.2">
      <c r="A77" s="182">
        <v>68</v>
      </c>
      <c r="B77" s="184" t="s">
        <v>85</v>
      </c>
      <c r="C77" s="183">
        <f t="shared" si="1"/>
        <v>15</v>
      </c>
      <c r="D77" s="183"/>
      <c r="E77" s="183"/>
      <c r="F77" s="183">
        <f t="shared" si="3"/>
        <v>15</v>
      </c>
      <c r="G77" s="183"/>
      <c r="H77" s="183"/>
      <c r="I77" s="183"/>
    </row>
    <row r="78" spans="1:9" ht="24" x14ac:dyDescent="0.2">
      <c r="A78" s="182">
        <v>69</v>
      </c>
      <c r="B78" s="192" t="s">
        <v>318</v>
      </c>
      <c r="C78" s="183">
        <f>D78+F78+I78</f>
        <v>3543</v>
      </c>
      <c r="D78" s="183"/>
      <c r="E78" s="183"/>
      <c r="F78" s="183">
        <v>0</v>
      </c>
      <c r="G78" s="183"/>
      <c r="H78" s="183"/>
      <c r="I78" s="183">
        <v>3543</v>
      </c>
    </row>
    <row r="79" spans="1:9" x14ac:dyDescent="0.2">
      <c r="A79" s="182">
        <v>70</v>
      </c>
      <c r="B79" s="192" t="s">
        <v>319</v>
      </c>
      <c r="C79" s="183">
        <f>D79+F79+I79</f>
        <v>2092</v>
      </c>
      <c r="D79" s="183"/>
      <c r="E79" s="183"/>
      <c r="F79" s="183">
        <v>0</v>
      </c>
      <c r="G79" s="183"/>
      <c r="H79" s="183"/>
      <c r="I79" s="183">
        <v>2092</v>
      </c>
    </row>
    <row r="80" spans="1:9" ht="24" x14ac:dyDescent="0.2">
      <c r="A80" s="182">
        <v>71</v>
      </c>
      <c r="B80" s="184" t="s">
        <v>320</v>
      </c>
      <c r="C80" s="183">
        <f t="shared" si="1"/>
        <v>792</v>
      </c>
      <c r="D80" s="183"/>
      <c r="E80" s="183"/>
      <c r="F80" s="183">
        <v>792</v>
      </c>
      <c r="G80" s="183"/>
      <c r="H80" s="183"/>
      <c r="I80" s="183"/>
    </row>
    <row r="81" spans="1:9" x14ac:dyDescent="0.2">
      <c r="A81" s="180" t="s">
        <v>309</v>
      </c>
      <c r="B81" s="185"/>
      <c r="C81" s="181"/>
      <c r="D81" s="181"/>
      <c r="E81" s="181"/>
      <c r="F81" s="181"/>
      <c r="G81" s="181"/>
      <c r="H81" s="181"/>
      <c r="I81" s="181"/>
    </row>
    <row r="82" spans="1:9" x14ac:dyDescent="0.2">
      <c r="A82" s="182">
        <v>72</v>
      </c>
      <c r="B82" s="184" t="s">
        <v>56</v>
      </c>
      <c r="C82" s="183">
        <f t="shared" ref="C82:C89" si="4">D82+F82+I82</f>
        <v>17368</v>
      </c>
      <c r="D82" s="183"/>
      <c r="E82" s="183"/>
      <c r="F82" s="183">
        <f>17555-187</f>
        <v>17368</v>
      </c>
      <c r="G82" s="183"/>
      <c r="H82" s="183">
        <v>14</v>
      </c>
      <c r="I82" s="183"/>
    </row>
    <row r="83" spans="1:9" ht="14.25" customHeight="1" x14ac:dyDescent="0.2">
      <c r="A83" s="182">
        <v>73</v>
      </c>
      <c r="B83" s="184" t="s">
        <v>9</v>
      </c>
      <c r="C83" s="183">
        <f t="shared" si="4"/>
        <v>14047</v>
      </c>
      <c r="D83" s="183"/>
      <c r="E83" s="183"/>
      <c r="F83" s="183">
        <f>14311-309</f>
        <v>14002</v>
      </c>
      <c r="G83" s="183"/>
      <c r="H83" s="183">
        <v>292</v>
      </c>
      <c r="I83" s="183">
        <v>45</v>
      </c>
    </row>
    <row r="84" spans="1:9" x14ac:dyDescent="0.2">
      <c r="A84" s="182">
        <v>74</v>
      </c>
      <c r="B84" s="184" t="s">
        <v>11</v>
      </c>
      <c r="C84" s="183">
        <f t="shared" si="4"/>
        <v>19106</v>
      </c>
      <c r="D84" s="183"/>
      <c r="E84" s="183"/>
      <c r="F84" s="183">
        <f>19268-186</f>
        <v>19082</v>
      </c>
      <c r="G84" s="183">
        <v>422</v>
      </c>
      <c r="H84" s="183">
        <v>393</v>
      </c>
      <c r="I84" s="183">
        <v>24</v>
      </c>
    </row>
    <row r="85" spans="1:9" x14ac:dyDescent="0.2">
      <c r="A85" s="182">
        <v>75</v>
      </c>
      <c r="B85" s="184" t="s">
        <v>13</v>
      </c>
      <c r="C85" s="183">
        <f t="shared" si="4"/>
        <v>9265</v>
      </c>
      <c r="D85" s="183"/>
      <c r="E85" s="183"/>
      <c r="F85" s="183">
        <v>9220</v>
      </c>
      <c r="G85" s="183"/>
      <c r="H85" s="183">
        <v>2</v>
      </c>
      <c r="I85" s="183">
        <v>45</v>
      </c>
    </row>
    <row r="86" spans="1:9" ht="22.5" customHeight="1" x14ac:dyDescent="0.2">
      <c r="A86" s="182">
        <v>76</v>
      </c>
      <c r="B86" s="184" t="s">
        <v>321</v>
      </c>
      <c r="C86" s="183">
        <f t="shared" si="4"/>
        <v>9669</v>
      </c>
      <c r="D86" s="183"/>
      <c r="E86" s="183"/>
      <c r="F86" s="183">
        <v>9669</v>
      </c>
      <c r="G86" s="183"/>
      <c r="H86" s="183">
        <v>57</v>
      </c>
      <c r="I86" s="183"/>
    </row>
    <row r="87" spans="1:9" x14ac:dyDescent="0.2">
      <c r="A87" s="182">
        <v>77</v>
      </c>
      <c r="B87" s="184" t="s">
        <v>22</v>
      </c>
      <c r="C87" s="183">
        <f t="shared" si="4"/>
        <v>8215</v>
      </c>
      <c r="D87" s="183"/>
      <c r="E87" s="183"/>
      <c r="F87" s="183">
        <v>8206</v>
      </c>
      <c r="G87" s="183"/>
      <c r="H87" s="183">
        <v>13</v>
      </c>
      <c r="I87" s="183">
        <v>9</v>
      </c>
    </row>
    <row r="88" spans="1:9" x14ac:dyDescent="0.2">
      <c r="A88" s="182">
        <v>78</v>
      </c>
      <c r="B88" s="184" t="s">
        <v>28</v>
      </c>
      <c r="C88" s="183">
        <f t="shared" si="4"/>
        <v>11130</v>
      </c>
      <c r="D88" s="183"/>
      <c r="E88" s="183"/>
      <c r="F88" s="183">
        <v>11096</v>
      </c>
      <c r="G88" s="183"/>
      <c r="H88" s="183">
        <v>88</v>
      </c>
      <c r="I88" s="183">
        <v>34</v>
      </c>
    </row>
    <row r="89" spans="1:9" x14ac:dyDescent="0.2">
      <c r="A89" s="182">
        <v>79</v>
      </c>
      <c r="B89" s="184" t="s">
        <v>37</v>
      </c>
      <c r="C89" s="183">
        <f t="shared" si="4"/>
        <v>10917</v>
      </c>
      <c r="D89" s="183"/>
      <c r="E89" s="183"/>
      <c r="F89" s="183">
        <v>10906</v>
      </c>
      <c r="G89" s="183"/>
      <c r="H89" s="183">
        <v>575</v>
      </c>
      <c r="I89" s="183">
        <v>11</v>
      </c>
    </row>
    <row r="90" spans="1:9" x14ac:dyDescent="0.2">
      <c r="A90" s="182">
        <v>80</v>
      </c>
      <c r="B90" s="184" t="s">
        <v>70</v>
      </c>
      <c r="C90" s="183">
        <f t="shared" si="0"/>
        <v>17441</v>
      </c>
      <c r="D90" s="183"/>
      <c r="E90" s="183"/>
      <c r="F90" s="183">
        <f>18102-720</f>
        <v>17382</v>
      </c>
      <c r="G90" s="183">
        <v>707</v>
      </c>
      <c r="H90" s="183">
        <v>787</v>
      </c>
      <c r="I90" s="183">
        <v>59</v>
      </c>
    </row>
    <row r="91" spans="1:9" x14ac:dyDescent="0.2">
      <c r="A91" s="182">
        <v>81</v>
      </c>
      <c r="B91" s="184" t="s">
        <v>52</v>
      </c>
      <c r="C91" s="183">
        <f t="shared" si="0"/>
        <v>9892</v>
      </c>
      <c r="D91" s="183"/>
      <c r="E91" s="183"/>
      <c r="F91" s="183">
        <f>9919-55</f>
        <v>9864</v>
      </c>
      <c r="G91" s="183">
        <v>213</v>
      </c>
      <c r="H91" s="183">
        <v>66</v>
      </c>
      <c r="I91" s="183">
        <v>28</v>
      </c>
    </row>
    <row r="92" spans="1:9" ht="24" x14ac:dyDescent="0.2">
      <c r="A92" s="331">
        <v>82</v>
      </c>
      <c r="B92" s="184" t="s">
        <v>54</v>
      </c>
      <c r="C92" s="183">
        <f>D92+F92+I92</f>
        <v>14382</v>
      </c>
      <c r="D92" s="183"/>
      <c r="E92" s="183"/>
      <c r="F92" s="183">
        <f>12303+2045</f>
        <v>14348</v>
      </c>
      <c r="G92" s="183"/>
      <c r="H92" s="183">
        <v>195</v>
      </c>
      <c r="I92" s="183">
        <v>34</v>
      </c>
    </row>
    <row r="93" spans="1:9" ht="24" x14ac:dyDescent="0.2">
      <c r="A93" s="332">
        <v>83</v>
      </c>
      <c r="B93" s="184" t="s">
        <v>67</v>
      </c>
      <c r="C93" s="183">
        <f>D93+F93+I93</f>
        <v>682</v>
      </c>
      <c r="D93" s="183"/>
      <c r="E93" s="183"/>
      <c r="F93" s="183">
        <f>2727-2045</f>
        <v>682</v>
      </c>
      <c r="G93" s="183"/>
      <c r="H93" s="183">
        <v>59</v>
      </c>
      <c r="I93" s="183"/>
    </row>
    <row r="94" spans="1:9" x14ac:dyDescent="0.2">
      <c r="A94" s="182">
        <v>84</v>
      </c>
      <c r="B94" s="184" t="s">
        <v>45</v>
      </c>
      <c r="C94" s="183">
        <f>D94+F94+I94</f>
        <v>16108</v>
      </c>
      <c r="D94" s="183"/>
      <c r="E94" s="183"/>
      <c r="F94" s="183">
        <v>16062</v>
      </c>
      <c r="G94" s="183"/>
      <c r="H94" s="183">
        <v>457</v>
      </c>
      <c r="I94" s="183">
        <v>46</v>
      </c>
    </row>
    <row r="95" spans="1:9" x14ac:dyDescent="0.2">
      <c r="A95" s="182">
        <v>85</v>
      </c>
      <c r="B95" s="184" t="s">
        <v>95</v>
      </c>
      <c r="C95" s="183">
        <f>D95+F95+I95</f>
        <v>9867</v>
      </c>
      <c r="D95" s="183"/>
      <c r="E95" s="183"/>
      <c r="F95" s="183">
        <v>9867</v>
      </c>
      <c r="G95" s="183">
        <v>335</v>
      </c>
      <c r="H95" s="183">
        <v>40</v>
      </c>
      <c r="I95" s="183"/>
    </row>
    <row r="96" spans="1:9" ht="24" x14ac:dyDescent="0.2">
      <c r="A96" s="182">
        <v>86</v>
      </c>
      <c r="B96" s="184" t="s">
        <v>322</v>
      </c>
      <c r="C96" s="183">
        <f t="shared" ref="C96:C130" si="5">D96+F96+I96</f>
        <v>60</v>
      </c>
      <c r="D96" s="183"/>
      <c r="E96" s="183"/>
      <c r="F96" s="183">
        <v>60</v>
      </c>
      <c r="G96" s="183"/>
      <c r="H96" s="183">
        <v>60</v>
      </c>
      <c r="I96" s="183"/>
    </row>
    <row r="97" spans="1:9" ht="12.75" customHeight="1" x14ac:dyDescent="0.2">
      <c r="A97" s="182">
        <v>87</v>
      </c>
      <c r="B97" s="184" t="s">
        <v>323</v>
      </c>
      <c r="C97" s="183">
        <f>D97+F97+I97</f>
        <v>7165</v>
      </c>
      <c r="D97" s="183"/>
      <c r="E97" s="183"/>
      <c r="F97" s="183">
        <f>7160+5</f>
        <v>7165</v>
      </c>
      <c r="G97" s="183">
        <v>571</v>
      </c>
      <c r="H97" s="183">
        <v>14</v>
      </c>
      <c r="I97" s="183"/>
    </row>
    <row r="98" spans="1:9" x14ac:dyDescent="0.2">
      <c r="A98" s="180" t="s">
        <v>310</v>
      </c>
      <c r="B98" s="185"/>
      <c r="C98" s="181"/>
      <c r="D98" s="181"/>
      <c r="E98" s="181"/>
      <c r="F98" s="181"/>
      <c r="G98" s="181"/>
      <c r="H98" s="181"/>
      <c r="I98" s="181"/>
    </row>
    <row r="99" spans="1:9" x14ac:dyDescent="0.2">
      <c r="A99" s="182">
        <v>88</v>
      </c>
      <c r="B99" s="184" t="s">
        <v>36</v>
      </c>
      <c r="C99" s="183">
        <f t="shared" si="5"/>
        <v>11189</v>
      </c>
      <c r="D99" s="183">
        <v>59</v>
      </c>
      <c r="E99" s="183"/>
      <c r="F99" s="183">
        <f>11376-273</f>
        <v>11103</v>
      </c>
      <c r="G99" s="183">
        <v>348</v>
      </c>
      <c r="H99" s="183">
        <v>879</v>
      </c>
      <c r="I99" s="183">
        <v>27</v>
      </c>
    </row>
    <row r="100" spans="1:9" x14ac:dyDescent="0.2">
      <c r="A100" s="182">
        <v>89</v>
      </c>
      <c r="B100" s="184" t="s">
        <v>21</v>
      </c>
      <c r="C100" s="183">
        <f t="shared" si="5"/>
        <v>5442</v>
      </c>
      <c r="D100" s="183">
        <f>243-1-1-1</f>
        <v>240</v>
      </c>
      <c r="E100" s="183"/>
      <c r="F100" s="183">
        <f>5385+1+1-186+1</f>
        <v>5202</v>
      </c>
      <c r="G100" s="183">
        <v>374</v>
      </c>
      <c r="H100" s="183">
        <v>240</v>
      </c>
      <c r="I100" s="183"/>
    </row>
    <row r="101" spans="1:9" ht="11.25" customHeight="1" x14ac:dyDescent="0.2">
      <c r="A101" s="182">
        <v>90</v>
      </c>
      <c r="B101" s="184" t="s">
        <v>66</v>
      </c>
      <c r="C101" s="183">
        <f t="shared" si="5"/>
        <v>22619</v>
      </c>
      <c r="D101" s="183">
        <f>133+29</f>
        <v>162</v>
      </c>
      <c r="E101" s="183"/>
      <c r="F101" s="183">
        <f>23422-5-29-931</f>
        <v>22457</v>
      </c>
      <c r="G101" s="183">
        <v>722</v>
      </c>
      <c r="H101" s="183">
        <v>1149</v>
      </c>
      <c r="I101" s="183"/>
    </row>
    <row r="102" spans="1:9" x14ac:dyDescent="0.2">
      <c r="A102" s="182">
        <v>91</v>
      </c>
      <c r="B102" s="184" t="s">
        <v>53</v>
      </c>
      <c r="C102" s="183">
        <f t="shared" si="5"/>
        <v>12275</v>
      </c>
      <c r="D102" s="183">
        <v>20</v>
      </c>
      <c r="E102" s="183"/>
      <c r="F102" s="183">
        <f>11193+1000</f>
        <v>12193</v>
      </c>
      <c r="G102" s="183"/>
      <c r="H102" s="183">
        <v>1114</v>
      </c>
      <c r="I102" s="183">
        <v>62</v>
      </c>
    </row>
    <row r="103" spans="1:9" x14ac:dyDescent="0.2">
      <c r="A103" s="182">
        <v>92</v>
      </c>
      <c r="B103" s="184" t="s">
        <v>91</v>
      </c>
      <c r="C103" s="183">
        <f t="shared" si="5"/>
        <v>24802</v>
      </c>
      <c r="D103" s="183">
        <f>863-18-32</f>
        <v>813</v>
      </c>
      <c r="E103" s="183">
        <f>77+12</f>
        <v>89</v>
      </c>
      <c r="F103" s="183">
        <f>23888-2-10+61+60-8</f>
        <v>23989</v>
      </c>
      <c r="G103" s="183"/>
      <c r="H103" s="183">
        <v>1035</v>
      </c>
      <c r="I103" s="183"/>
    </row>
    <row r="104" spans="1:9" x14ac:dyDescent="0.2">
      <c r="A104" s="182">
        <v>93</v>
      </c>
      <c r="B104" s="184" t="s">
        <v>57</v>
      </c>
      <c r="C104" s="183">
        <f t="shared" si="5"/>
        <v>7177</v>
      </c>
      <c r="D104" s="183">
        <v>200</v>
      </c>
      <c r="E104" s="183"/>
      <c r="F104" s="183">
        <v>6977</v>
      </c>
      <c r="G104" s="183">
        <v>1066</v>
      </c>
      <c r="H104" s="183"/>
      <c r="I104" s="183"/>
    </row>
    <row r="105" spans="1:9" x14ac:dyDescent="0.2">
      <c r="A105" s="182">
        <v>94</v>
      </c>
      <c r="B105" s="184" t="s">
        <v>59</v>
      </c>
      <c r="C105" s="183">
        <f t="shared" si="5"/>
        <v>12832</v>
      </c>
      <c r="D105" s="183">
        <f>301+40-3</f>
        <v>338</v>
      </c>
      <c r="E105" s="183"/>
      <c r="F105" s="183">
        <f>12113+220+187-26</f>
        <v>12494</v>
      </c>
      <c r="G105" s="183">
        <v>701</v>
      </c>
      <c r="H105" s="183">
        <v>866</v>
      </c>
      <c r="I105" s="183"/>
    </row>
    <row r="106" spans="1:9" x14ac:dyDescent="0.2">
      <c r="A106" s="182">
        <v>95</v>
      </c>
      <c r="B106" s="184" t="s">
        <v>71</v>
      </c>
      <c r="C106" s="183">
        <f t="shared" si="5"/>
        <v>9302</v>
      </c>
      <c r="D106" s="183">
        <v>40</v>
      </c>
      <c r="E106" s="183"/>
      <c r="F106" s="183">
        <v>9262</v>
      </c>
      <c r="G106" s="183"/>
      <c r="H106" s="183"/>
      <c r="I106" s="183"/>
    </row>
    <row r="107" spans="1:9" x14ac:dyDescent="0.2">
      <c r="A107" s="182">
        <v>96</v>
      </c>
      <c r="B107" s="184" t="s">
        <v>69</v>
      </c>
      <c r="C107" s="183">
        <f t="shared" si="5"/>
        <v>958</v>
      </c>
      <c r="D107" s="183">
        <f>222+20+3+32</f>
        <v>277</v>
      </c>
      <c r="E107" s="183">
        <v>5</v>
      </c>
      <c r="F107" s="183">
        <f>663+10+8</f>
        <v>681</v>
      </c>
      <c r="G107" s="183"/>
      <c r="H107" s="183">
        <v>53</v>
      </c>
      <c r="I107" s="183"/>
    </row>
    <row r="108" spans="1:9" x14ac:dyDescent="0.2">
      <c r="A108" s="180" t="s">
        <v>311</v>
      </c>
      <c r="B108" s="185"/>
      <c r="C108" s="181"/>
      <c r="D108" s="181"/>
      <c r="E108" s="181"/>
      <c r="F108" s="181"/>
      <c r="G108" s="181"/>
      <c r="H108" s="181"/>
      <c r="I108" s="181"/>
    </row>
    <row r="109" spans="1:9" x14ac:dyDescent="0.2">
      <c r="A109" s="182">
        <v>97</v>
      </c>
      <c r="B109" s="184" t="s">
        <v>79</v>
      </c>
      <c r="C109" s="183">
        <v>23073</v>
      </c>
      <c r="D109" s="183">
        <v>1450</v>
      </c>
      <c r="E109" s="183">
        <v>1450</v>
      </c>
      <c r="F109" s="183">
        <f>21623+2201</f>
        <v>23824</v>
      </c>
      <c r="G109" s="183"/>
      <c r="H109" s="183">
        <v>22630</v>
      </c>
      <c r="I109" s="183"/>
    </row>
    <row r="110" spans="1:9" x14ac:dyDescent="0.2">
      <c r="A110" s="182">
        <v>98</v>
      </c>
      <c r="B110" s="184" t="s">
        <v>80</v>
      </c>
      <c r="C110" s="183">
        <f t="shared" si="5"/>
        <v>11942</v>
      </c>
      <c r="D110" s="183">
        <v>3435</v>
      </c>
      <c r="E110" s="183"/>
      <c r="F110" s="183">
        <v>8507</v>
      </c>
      <c r="G110" s="183">
        <v>750</v>
      </c>
      <c r="H110" s="183"/>
      <c r="I110" s="183"/>
    </row>
    <row r="111" spans="1:9" x14ac:dyDescent="0.2">
      <c r="A111" s="182">
        <v>99</v>
      </c>
      <c r="B111" s="184" t="s">
        <v>96</v>
      </c>
      <c r="C111" s="183">
        <f>D111+F111+I111</f>
        <v>5750</v>
      </c>
      <c r="D111" s="183">
        <v>52</v>
      </c>
      <c r="E111" s="183"/>
      <c r="F111" s="183">
        <v>5314</v>
      </c>
      <c r="G111" s="183"/>
      <c r="H111" s="183"/>
      <c r="I111" s="183">
        <v>384</v>
      </c>
    </row>
    <row r="112" spans="1:9" ht="24" x14ac:dyDescent="0.2">
      <c r="A112" s="182">
        <v>100</v>
      </c>
      <c r="B112" s="184" t="s">
        <v>324</v>
      </c>
      <c r="C112" s="183">
        <f t="shared" si="5"/>
        <v>18689</v>
      </c>
      <c r="D112" s="183"/>
      <c r="E112" s="183"/>
      <c r="F112" s="183">
        <f>15841+2848</f>
        <v>18689</v>
      </c>
      <c r="G112" s="183"/>
      <c r="H112" s="183"/>
      <c r="I112" s="183"/>
    </row>
    <row r="113" spans="1:9" x14ac:dyDescent="0.2">
      <c r="A113" s="182">
        <v>101</v>
      </c>
      <c r="B113" s="184" t="s">
        <v>76</v>
      </c>
      <c r="C113" s="183">
        <f t="shared" si="5"/>
        <v>22944</v>
      </c>
      <c r="D113" s="183">
        <f>648+80</f>
        <v>728</v>
      </c>
      <c r="E113" s="183"/>
      <c r="F113" s="183">
        <f>22266-50</f>
        <v>22216</v>
      </c>
      <c r="G113" s="183"/>
      <c r="H113" s="183"/>
      <c r="I113" s="183"/>
    </row>
    <row r="114" spans="1:9" x14ac:dyDescent="0.2">
      <c r="A114" s="182">
        <v>102</v>
      </c>
      <c r="B114" s="184" t="s">
        <v>64</v>
      </c>
      <c r="C114" s="183">
        <f t="shared" si="5"/>
        <v>24843</v>
      </c>
      <c r="D114" s="183">
        <v>1082</v>
      </c>
      <c r="E114" s="183"/>
      <c r="F114" s="183">
        <v>23761</v>
      </c>
      <c r="G114" s="183">
        <v>1483</v>
      </c>
      <c r="H114" s="183">
        <v>143</v>
      </c>
      <c r="I114" s="183"/>
    </row>
    <row r="115" spans="1:9" ht="14.25" customHeight="1" x14ac:dyDescent="0.2">
      <c r="A115" s="182">
        <v>103</v>
      </c>
      <c r="B115" s="184" t="s">
        <v>61</v>
      </c>
      <c r="C115" s="183">
        <f t="shared" si="5"/>
        <v>15292</v>
      </c>
      <c r="D115" s="183">
        <v>407</v>
      </c>
      <c r="E115" s="183"/>
      <c r="F115" s="183">
        <v>14885</v>
      </c>
      <c r="G115" s="183">
        <v>3000</v>
      </c>
      <c r="H115" s="183"/>
      <c r="I115" s="183"/>
    </row>
    <row r="116" spans="1:9" x14ac:dyDescent="0.2">
      <c r="A116" s="182">
        <v>104</v>
      </c>
      <c r="B116" s="184" t="s">
        <v>92</v>
      </c>
      <c r="C116" s="183">
        <f t="shared" si="5"/>
        <v>13918</v>
      </c>
      <c r="D116" s="183">
        <f>754-2</f>
        <v>752</v>
      </c>
      <c r="E116" s="183"/>
      <c r="F116" s="183">
        <f>13166</f>
        <v>13166</v>
      </c>
      <c r="G116" s="183">
        <v>1528</v>
      </c>
      <c r="H116" s="183">
        <v>338</v>
      </c>
      <c r="I116" s="183"/>
    </row>
    <row r="117" spans="1:9" x14ac:dyDescent="0.2">
      <c r="A117" s="182">
        <v>105</v>
      </c>
      <c r="B117" s="184" t="s">
        <v>77</v>
      </c>
      <c r="C117" s="183">
        <f t="shared" si="5"/>
        <v>22654</v>
      </c>
      <c r="D117" s="183">
        <f>1249+5</f>
        <v>1254</v>
      </c>
      <c r="E117" s="188"/>
      <c r="F117" s="188">
        <f>21405-5</f>
        <v>21400</v>
      </c>
      <c r="G117" s="188">
        <v>961</v>
      </c>
      <c r="H117" s="183">
        <v>1140</v>
      </c>
      <c r="I117" s="183"/>
    </row>
    <row r="118" spans="1:9" x14ac:dyDescent="0.2">
      <c r="A118" s="182">
        <v>106</v>
      </c>
      <c r="B118" s="184" t="s">
        <v>75</v>
      </c>
      <c r="C118" s="183">
        <f>D118+F118+I118</f>
        <v>11851</v>
      </c>
      <c r="D118" s="183">
        <v>2400</v>
      </c>
      <c r="E118" s="183"/>
      <c r="F118" s="183">
        <f>9651-200</f>
        <v>9451</v>
      </c>
      <c r="G118" s="183"/>
      <c r="H118" s="183"/>
      <c r="I118" s="183"/>
    </row>
    <row r="119" spans="1:9" ht="15" customHeight="1" x14ac:dyDescent="0.2">
      <c r="A119" s="180" t="s">
        <v>312</v>
      </c>
      <c r="B119" s="185"/>
      <c r="C119" s="186"/>
      <c r="D119" s="186"/>
      <c r="E119" s="186"/>
      <c r="F119" s="186"/>
      <c r="G119" s="186"/>
      <c r="H119" s="187"/>
      <c r="I119" s="187"/>
    </row>
    <row r="120" spans="1:9" x14ac:dyDescent="0.2">
      <c r="A120" s="182">
        <v>107</v>
      </c>
      <c r="B120" s="184" t="s">
        <v>74</v>
      </c>
      <c r="C120" s="188">
        <f>D120+F120+I120</f>
        <v>27228</v>
      </c>
      <c r="D120" s="188">
        <f>2395-70+3</f>
        <v>2328</v>
      </c>
      <c r="E120" s="188">
        <v>130</v>
      </c>
      <c r="F120" s="188">
        <f>25094-220+26</f>
        <v>24900</v>
      </c>
      <c r="G120" s="188">
        <v>997</v>
      </c>
      <c r="H120" s="188">
        <v>1238</v>
      </c>
      <c r="I120" s="179"/>
    </row>
    <row r="121" spans="1:9" x14ac:dyDescent="0.2">
      <c r="A121" s="182">
        <v>108</v>
      </c>
      <c r="B121" s="184" t="s">
        <v>63</v>
      </c>
      <c r="C121" s="188">
        <f t="shared" si="5"/>
        <v>18444</v>
      </c>
      <c r="D121" s="188">
        <f>904-1</f>
        <v>903</v>
      </c>
      <c r="E121" s="188">
        <v>100</v>
      </c>
      <c r="F121" s="188">
        <f>17540+1</f>
        <v>17541</v>
      </c>
      <c r="G121" s="188">
        <v>296</v>
      </c>
      <c r="H121" s="188">
        <v>719</v>
      </c>
      <c r="I121" s="179"/>
    </row>
    <row r="122" spans="1:9" x14ac:dyDescent="0.2">
      <c r="A122" s="182">
        <v>109</v>
      </c>
      <c r="B122" s="184" t="s">
        <v>325</v>
      </c>
      <c r="C122" s="188">
        <f t="shared" si="5"/>
        <v>339</v>
      </c>
      <c r="D122" s="188">
        <v>250</v>
      </c>
      <c r="E122" s="188"/>
      <c r="F122" s="188">
        <v>89</v>
      </c>
      <c r="G122" s="188"/>
      <c r="H122" s="188"/>
      <c r="I122" s="179"/>
    </row>
    <row r="123" spans="1:9" x14ac:dyDescent="0.2">
      <c r="A123" s="180" t="s">
        <v>313</v>
      </c>
      <c r="B123" s="185"/>
      <c r="C123" s="186"/>
      <c r="D123" s="186"/>
      <c r="E123" s="181"/>
      <c r="F123" s="181"/>
      <c r="G123" s="181"/>
      <c r="H123" s="186"/>
      <c r="I123" s="189"/>
    </row>
    <row r="124" spans="1:9" x14ac:dyDescent="0.2">
      <c r="A124" s="182">
        <v>110</v>
      </c>
      <c r="B124" s="184" t="s">
        <v>81</v>
      </c>
      <c r="C124" s="183">
        <f>D124+F124+I124</f>
        <v>5799</v>
      </c>
      <c r="D124" s="183">
        <v>210</v>
      </c>
      <c r="E124" s="183"/>
      <c r="F124" s="183">
        <v>5589</v>
      </c>
      <c r="G124" s="183">
        <v>1575</v>
      </c>
      <c r="H124" s="188"/>
      <c r="I124" s="179"/>
    </row>
    <row r="125" spans="1:9" ht="14.25" customHeight="1" x14ac:dyDescent="0.2">
      <c r="A125" s="182">
        <v>111</v>
      </c>
      <c r="B125" s="184" t="s">
        <v>62</v>
      </c>
      <c r="C125" s="188">
        <f>D125+F125+I125</f>
        <v>21519</v>
      </c>
      <c r="D125" s="188">
        <f>1568-1+70</f>
        <v>1637</v>
      </c>
      <c r="E125" s="188">
        <v>150</v>
      </c>
      <c r="F125" s="188">
        <f>19952-70</f>
        <v>19882</v>
      </c>
      <c r="G125" s="188">
        <v>796</v>
      </c>
      <c r="H125" s="188">
        <v>3029</v>
      </c>
      <c r="I125" s="179"/>
    </row>
    <row r="126" spans="1:9" x14ac:dyDescent="0.2">
      <c r="A126" s="182">
        <v>112</v>
      </c>
      <c r="B126" s="184" t="s">
        <v>86</v>
      </c>
      <c r="C126" s="188">
        <f>D126+F126+I126</f>
        <v>1284</v>
      </c>
      <c r="D126" s="188">
        <v>200</v>
      </c>
      <c r="E126" s="188"/>
      <c r="F126" s="188">
        <f>810+200</f>
        <v>1010</v>
      </c>
      <c r="G126" s="188"/>
      <c r="H126" s="188"/>
      <c r="I126" s="179">
        <v>74</v>
      </c>
    </row>
    <row r="127" spans="1:9" s="196" customFormat="1" x14ac:dyDescent="0.2">
      <c r="A127" s="193"/>
      <c r="B127" s="194" t="s">
        <v>88</v>
      </c>
      <c r="C127" s="195">
        <f t="shared" si="5"/>
        <v>703571</v>
      </c>
      <c r="D127" s="195">
        <f t="shared" ref="D127:I127" si="6">SUM(D8:D126)</f>
        <v>19237</v>
      </c>
      <c r="E127" s="195">
        <f t="shared" si="6"/>
        <v>1924</v>
      </c>
      <c r="F127" s="195">
        <f t="shared" si="6"/>
        <v>677203</v>
      </c>
      <c r="G127" s="195">
        <f t="shared" si="6"/>
        <v>18500</v>
      </c>
      <c r="H127" s="195">
        <f t="shared" si="6"/>
        <v>37884</v>
      </c>
      <c r="I127" s="195">
        <f t="shared" si="6"/>
        <v>7131</v>
      </c>
    </row>
    <row r="128" spans="1:9" ht="24" x14ac:dyDescent="0.2">
      <c r="A128" s="197"/>
      <c r="B128" s="198" t="s">
        <v>65</v>
      </c>
      <c r="C128" s="183">
        <f t="shared" si="5"/>
        <v>15258</v>
      </c>
      <c r="D128" s="188"/>
      <c r="E128" s="188"/>
      <c r="F128" s="199">
        <v>15258</v>
      </c>
      <c r="G128" s="188"/>
      <c r="H128" s="199">
        <v>650</v>
      </c>
      <c r="I128" s="199"/>
    </row>
    <row r="129" spans="1:9" x14ac:dyDescent="0.2">
      <c r="A129" s="197"/>
      <c r="B129" s="198" t="s">
        <v>97</v>
      </c>
      <c r="C129" s="183">
        <f t="shared" si="5"/>
        <v>50</v>
      </c>
      <c r="D129" s="188">
        <v>50</v>
      </c>
      <c r="E129" s="188"/>
      <c r="F129" s="199">
        <f>2836+12-2848</f>
        <v>0</v>
      </c>
      <c r="G129" s="188"/>
      <c r="H129" s="199"/>
      <c r="I129" s="199"/>
    </row>
    <row r="130" spans="1:9" x14ac:dyDescent="0.2">
      <c r="A130" s="197"/>
      <c r="B130" s="198" t="s">
        <v>326</v>
      </c>
      <c r="C130" s="183">
        <f t="shared" si="5"/>
        <v>0</v>
      </c>
      <c r="D130" s="188"/>
      <c r="E130" s="188"/>
      <c r="F130" s="188"/>
      <c r="G130" s="188"/>
      <c r="H130" s="199"/>
      <c r="I130" s="199"/>
    </row>
    <row r="131" spans="1:9" x14ac:dyDescent="0.2">
      <c r="A131" s="333" t="s">
        <v>87</v>
      </c>
      <c r="B131" s="333"/>
      <c r="C131" s="195">
        <f>C127+C128+C129+C130</f>
        <v>718879</v>
      </c>
      <c r="D131" s="195">
        <f t="shared" ref="D131:I131" si="7">D127+D128+D129+D130</f>
        <v>19287</v>
      </c>
      <c r="E131" s="195">
        <f t="shared" si="7"/>
        <v>1924</v>
      </c>
      <c r="F131" s="195">
        <f t="shared" si="7"/>
        <v>692461</v>
      </c>
      <c r="G131" s="195">
        <f t="shared" si="7"/>
        <v>18500</v>
      </c>
      <c r="H131" s="195">
        <f t="shared" si="7"/>
        <v>38534</v>
      </c>
      <c r="I131" s="195">
        <f t="shared" si="7"/>
        <v>7131</v>
      </c>
    </row>
    <row r="132" spans="1:9" x14ac:dyDescent="0.2">
      <c r="C132" s="172"/>
    </row>
  </sheetData>
  <mergeCells count="14">
    <mergeCell ref="A1:I1"/>
    <mergeCell ref="A3:A5"/>
    <mergeCell ref="B3:B5"/>
    <mergeCell ref="C3:I3"/>
    <mergeCell ref="C4:C5"/>
    <mergeCell ref="D4:D5"/>
    <mergeCell ref="F4:F5"/>
    <mergeCell ref="G4:H4"/>
    <mergeCell ref="I4:I5"/>
    <mergeCell ref="A57:A58"/>
    <mergeCell ref="A66:A67"/>
    <mergeCell ref="A70:A71"/>
    <mergeCell ref="A92:A93"/>
    <mergeCell ref="A131:B131"/>
  </mergeCells>
  <pageMargins left="0.39370078740157483" right="0" top="0.59055118110236227" bottom="0.59055118110236227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zoomScale="110" zoomScaleNormal="110" zoomScaleSheetLayoutView="70" workbookViewId="0">
      <pane xSplit="2" ySplit="2" topLeftCell="C67" activePane="bottomRight" state="frozen"/>
      <selection pane="topRight" activeCell="E1" sqref="E1"/>
      <selection pane="bottomLeft" activeCell="A4" sqref="A4"/>
      <selection pane="bottomRight" activeCell="P86" sqref="P86"/>
    </sheetView>
  </sheetViews>
  <sheetFormatPr defaultRowHeight="12.75" x14ac:dyDescent="0.2"/>
  <cols>
    <col min="1" max="1" width="7.28515625" style="218" customWidth="1"/>
    <col min="2" max="2" width="12.28515625" style="220" customWidth="1"/>
    <col min="3" max="7" width="5.7109375" style="219" customWidth="1"/>
    <col min="8" max="8" width="5.7109375" style="220" customWidth="1"/>
    <col min="9" max="11" width="5.7109375" style="219" customWidth="1"/>
    <col min="12" max="15" width="5.7109375" style="220" customWidth="1"/>
    <col min="16" max="17" width="5.7109375" style="219" customWidth="1"/>
    <col min="18" max="18" width="5.7109375" style="220" customWidth="1"/>
    <col min="19" max="19" width="5.7109375" style="219" customWidth="1"/>
    <col min="20" max="22" width="5.7109375" style="220" customWidth="1"/>
    <col min="23" max="26" width="5.7109375" style="219" customWidth="1"/>
    <col min="27" max="28" width="5.7109375" style="220" customWidth="1"/>
    <col min="29" max="29" width="5.7109375" style="219" customWidth="1"/>
    <col min="30" max="16384" width="9.140625" style="220"/>
  </cols>
  <sheetData>
    <row r="1" spans="1:29" ht="17.25" customHeight="1" x14ac:dyDescent="0.2">
      <c r="A1" s="344" t="s">
        <v>327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</row>
    <row r="2" spans="1:29" s="200" customFormat="1" ht="108" customHeight="1" x14ac:dyDescent="0.2">
      <c r="A2" s="231" t="s">
        <v>328</v>
      </c>
      <c r="B2" s="231" t="s">
        <v>329</v>
      </c>
      <c r="C2" s="221" t="s">
        <v>89</v>
      </c>
      <c r="D2" s="221" t="s">
        <v>90</v>
      </c>
      <c r="E2" s="221" t="s">
        <v>80</v>
      </c>
      <c r="F2" s="221" t="s">
        <v>63</v>
      </c>
      <c r="G2" s="221" t="s">
        <v>76</v>
      </c>
      <c r="H2" s="221" t="s">
        <v>330</v>
      </c>
      <c r="I2" s="221" t="s">
        <v>81</v>
      </c>
      <c r="J2" s="221" t="s">
        <v>64</v>
      </c>
      <c r="K2" s="221" t="s">
        <v>331</v>
      </c>
      <c r="L2" s="221" t="s">
        <v>86</v>
      </c>
      <c r="M2" s="221" t="s">
        <v>332</v>
      </c>
      <c r="N2" s="221" t="s">
        <v>333</v>
      </c>
      <c r="O2" s="221" t="s">
        <v>334</v>
      </c>
      <c r="P2" s="221" t="s">
        <v>335</v>
      </c>
      <c r="Q2" s="221" t="s">
        <v>336</v>
      </c>
      <c r="R2" s="221" t="s">
        <v>337</v>
      </c>
      <c r="S2" s="221" t="s">
        <v>21</v>
      </c>
      <c r="T2" s="221" t="s">
        <v>338</v>
      </c>
      <c r="U2" s="221" t="s">
        <v>339</v>
      </c>
      <c r="V2" s="221" t="s">
        <v>340</v>
      </c>
      <c r="W2" s="221" t="s">
        <v>341</v>
      </c>
      <c r="X2" s="221" t="s">
        <v>342</v>
      </c>
      <c r="Y2" s="221" t="s">
        <v>343</v>
      </c>
      <c r="Z2" s="221" t="s">
        <v>344</v>
      </c>
      <c r="AA2" s="221" t="s">
        <v>345</v>
      </c>
      <c r="AB2" s="221" t="s">
        <v>97</v>
      </c>
      <c r="AC2" s="221" t="s">
        <v>346</v>
      </c>
    </row>
    <row r="3" spans="1:29" s="200" customFormat="1" ht="11.25" customHeight="1" x14ac:dyDescent="0.2">
      <c r="A3" s="201">
        <v>1</v>
      </c>
      <c r="B3" s="222">
        <v>2</v>
      </c>
      <c r="C3" s="201">
        <v>3</v>
      </c>
      <c r="D3" s="201">
        <v>5</v>
      </c>
      <c r="E3" s="201">
        <v>7</v>
      </c>
      <c r="F3" s="201">
        <v>9</v>
      </c>
      <c r="G3" s="201">
        <v>11</v>
      </c>
      <c r="H3" s="201">
        <v>13</v>
      </c>
      <c r="I3" s="201">
        <v>15</v>
      </c>
      <c r="J3" s="201">
        <v>17</v>
      </c>
      <c r="K3" s="201">
        <v>19</v>
      </c>
      <c r="L3" s="201">
        <v>21</v>
      </c>
      <c r="M3" s="201">
        <v>23</v>
      </c>
      <c r="N3" s="201">
        <v>25</v>
      </c>
      <c r="O3" s="201">
        <v>27</v>
      </c>
      <c r="P3" s="201">
        <v>29</v>
      </c>
      <c r="Q3" s="201">
        <v>31</v>
      </c>
      <c r="R3" s="201">
        <v>33</v>
      </c>
      <c r="S3" s="201">
        <v>35</v>
      </c>
      <c r="T3" s="201">
        <v>37</v>
      </c>
      <c r="U3" s="222"/>
      <c r="V3" s="201">
        <v>39</v>
      </c>
      <c r="W3" s="201">
        <v>41</v>
      </c>
      <c r="X3" s="201">
        <v>43</v>
      </c>
      <c r="Y3" s="201">
        <v>45</v>
      </c>
      <c r="Z3" s="201">
        <v>47</v>
      </c>
      <c r="AA3" s="201">
        <v>49</v>
      </c>
      <c r="AB3" s="201">
        <v>51</v>
      </c>
      <c r="AC3" s="201">
        <v>53</v>
      </c>
    </row>
    <row r="4" spans="1:29" s="224" customFormat="1" ht="20.25" customHeight="1" x14ac:dyDescent="0.2">
      <c r="A4" s="341" t="s">
        <v>347</v>
      </c>
      <c r="B4" s="342"/>
      <c r="C4" s="223">
        <f t="shared" ref="C4:AC4" si="0">C5+C6</f>
        <v>115</v>
      </c>
      <c r="D4" s="223">
        <f t="shared" si="0"/>
        <v>0</v>
      </c>
      <c r="E4" s="223">
        <f t="shared" si="0"/>
        <v>0</v>
      </c>
      <c r="F4" s="223">
        <f t="shared" si="0"/>
        <v>0</v>
      </c>
      <c r="G4" s="223">
        <f t="shared" si="0"/>
        <v>0</v>
      </c>
      <c r="H4" s="223">
        <f t="shared" si="0"/>
        <v>0</v>
      </c>
      <c r="I4" s="223">
        <f t="shared" si="0"/>
        <v>0</v>
      </c>
      <c r="J4" s="223">
        <f t="shared" si="0"/>
        <v>0</v>
      </c>
      <c r="K4" s="223">
        <f t="shared" si="0"/>
        <v>65</v>
      </c>
      <c r="L4" s="223">
        <f t="shared" si="0"/>
        <v>0</v>
      </c>
      <c r="M4" s="223">
        <f t="shared" si="0"/>
        <v>0</v>
      </c>
      <c r="N4" s="223">
        <f t="shared" si="0"/>
        <v>0</v>
      </c>
      <c r="O4" s="223">
        <f t="shared" si="0"/>
        <v>0</v>
      </c>
      <c r="P4" s="223">
        <f t="shared" si="0"/>
        <v>0</v>
      </c>
      <c r="Q4" s="223">
        <f t="shared" si="0"/>
        <v>0</v>
      </c>
      <c r="R4" s="223">
        <f t="shared" si="0"/>
        <v>0</v>
      </c>
      <c r="S4" s="223">
        <f t="shared" si="0"/>
        <v>0</v>
      </c>
      <c r="T4" s="223">
        <f t="shared" si="0"/>
        <v>0</v>
      </c>
      <c r="U4" s="223">
        <f t="shared" si="0"/>
        <v>0</v>
      </c>
      <c r="V4" s="223">
        <f t="shared" si="0"/>
        <v>0</v>
      </c>
      <c r="W4" s="223">
        <f t="shared" si="0"/>
        <v>0</v>
      </c>
      <c r="X4" s="223">
        <f t="shared" si="0"/>
        <v>0</v>
      </c>
      <c r="Y4" s="223">
        <f t="shared" si="0"/>
        <v>20</v>
      </c>
      <c r="Z4" s="223">
        <f t="shared" si="0"/>
        <v>40</v>
      </c>
      <c r="AA4" s="223">
        <f t="shared" si="0"/>
        <v>240</v>
      </c>
      <c r="AB4" s="223">
        <f t="shared" si="0"/>
        <v>0</v>
      </c>
      <c r="AC4" s="223">
        <f t="shared" si="0"/>
        <v>240</v>
      </c>
    </row>
    <row r="5" spans="1:29" s="200" customFormat="1" ht="13.5" customHeight="1" x14ac:dyDescent="0.2">
      <c r="A5" s="202">
        <v>1</v>
      </c>
      <c r="B5" s="225">
        <v>170435</v>
      </c>
      <c r="C5" s="203">
        <v>110</v>
      </c>
      <c r="D5" s="203"/>
      <c r="E5" s="203"/>
      <c r="F5" s="203"/>
      <c r="G5" s="204"/>
      <c r="H5" s="203"/>
      <c r="I5" s="203"/>
      <c r="J5" s="203"/>
      <c r="K5" s="203">
        <v>60</v>
      </c>
      <c r="L5" s="203"/>
      <c r="M5" s="203"/>
      <c r="N5" s="203"/>
      <c r="O5" s="203"/>
      <c r="P5" s="203"/>
      <c r="Q5" s="203"/>
      <c r="R5" s="203"/>
      <c r="S5" s="203"/>
      <c r="T5" s="205"/>
      <c r="U5" s="205"/>
      <c r="V5" s="206"/>
      <c r="W5" s="205"/>
      <c r="X5" s="203"/>
      <c r="Y5" s="203">
        <v>15</v>
      </c>
      <c r="Z5" s="203">
        <v>34</v>
      </c>
      <c r="AA5" s="203">
        <f>J5+L5+V5+R5+N5+O5+P5+Q5+K5+W5+S5+T5+X5+M5+Y5+H5+C5+I5+D5+E5+G5+F5+Z5+U5</f>
        <v>219</v>
      </c>
      <c r="AB5" s="226"/>
      <c r="AC5" s="203">
        <f>AA5+AB5</f>
        <v>219</v>
      </c>
    </row>
    <row r="6" spans="1:29" s="200" customFormat="1" ht="13.5" customHeight="1" x14ac:dyDescent="0.2">
      <c r="A6" s="207">
        <v>2</v>
      </c>
      <c r="B6" s="214">
        <v>185824</v>
      </c>
      <c r="C6" s="205">
        <v>5</v>
      </c>
      <c r="D6" s="205"/>
      <c r="E6" s="205"/>
      <c r="F6" s="205"/>
      <c r="G6" s="206"/>
      <c r="H6" s="205"/>
      <c r="I6" s="205"/>
      <c r="J6" s="205"/>
      <c r="K6" s="205">
        <f>0+5</f>
        <v>5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  <c r="W6" s="205"/>
      <c r="X6" s="205"/>
      <c r="Y6" s="205">
        <v>5</v>
      </c>
      <c r="Z6" s="205">
        <v>6</v>
      </c>
      <c r="AA6" s="203">
        <f>J6+L6+V6+R6+N6+O6+P6+Q6+K6+W6+S6+T6+X6+M6+Y6+H6+C6+I6+D6+E6+G6+F6+Z6+U6</f>
        <v>21</v>
      </c>
      <c r="AB6" s="226"/>
      <c r="AC6" s="203">
        <f>AA6+AB6</f>
        <v>21</v>
      </c>
    </row>
    <row r="7" spans="1:29" s="224" customFormat="1" ht="24" customHeight="1" x14ac:dyDescent="0.2">
      <c r="A7" s="341" t="s">
        <v>348</v>
      </c>
      <c r="B7" s="342"/>
      <c r="C7" s="223">
        <f t="shared" ref="C7:AC7" si="1">C8+C9</f>
        <v>400</v>
      </c>
      <c r="D7" s="223">
        <f t="shared" si="1"/>
        <v>0</v>
      </c>
      <c r="E7" s="223">
        <f t="shared" si="1"/>
        <v>0</v>
      </c>
      <c r="F7" s="223">
        <f t="shared" si="1"/>
        <v>23</v>
      </c>
      <c r="G7" s="223">
        <f t="shared" si="1"/>
        <v>230</v>
      </c>
      <c r="H7" s="223">
        <f t="shared" si="1"/>
        <v>0</v>
      </c>
      <c r="I7" s="223">
        <f t="shared" si="1"/>
        <v>0</v>
      </c>
      <c r="J7" s="223">
        <f t="shared" si="1"/>
        <v>0</v>
      </c>
      <c r="K7" s="223">
        <f t="shared" si="1"/>
        <v>47</v>
      </c>
      <c r="L7" s="223">
        <f t="shared" si="1"/>
        <v>0</v>
      </c>
      <c r="M7" s="223">
        <f t="shared" si="1"/>
        <v>0</v>
      </c>
      <c r="N7" s="223">
        <f t="shared" si="1"/>
        <v>0</v>
      </c>
      <c r="O7" s="223">
        <f t="shared" si="1"/>
        <v>0</v>
      </c>
      <c r="P7" s="223">
        <f t="shared" si="1"/>
        <v>0</v>
      </c>
      <c r="Q7" s="223">
        <f t="shared" si="1"/>
        <v>200</v>
      </c>
      <c r="R7" s="223">
        <f t="shared" si="1"/>
        <v>40</v>
      </c>
      <c r="S7" s="223">
        <f t="shared" si="1"/>
        <v>0</v>
      </c>
      <c r="T7" s="223">
        <f t="shared" si="1"/>
        <v>0</v>
      </c>
      <c r="U7" s="223">
        <f t="shared" si="1"/>
        <v>0</v>
      </c>
      <c r="V7" s="223">
        <f t="shared" si="1"/>
        <v>0</v>
      </c>
      <c r="W7" s="223">
        <f t="shared" si="1"/>
        <v>0</v>
      </c>
      <c r="X7" s="223">
        <f t="shared" si="1"/>
        <v>0</v>
      </c>
      <c r="Y7" s="223">
        <f t="shared" si="1"/>
        <v>190</v>
      </c>
      <c r="Z7" s="223">
        <f t="shared" si="1"/>
        <v>280</v>
      </c>
      <c r="AA7" s="223">
        <f t="shared" si="1"/>
        <v>1410</v>
      </c>
      <c r="AB7" s="223">
        <f t="shared" si="1"/>
        <v>0</v>
      </c>
      <c r="AC7" s="223">
        <f t="shared" si="1"/>
        <v>1410</v>
      </c>
    </row>
    <row r="8" spans="1:29" s="200" customFormat="1" ht="13.5" customHeight="1" x14ac:dyDescent="0.2">
      <c r="A8" s="207">
        <v>3</v>
      </c>
      <c r="B8" s="214">
        <v>132049</v>
      </c>
      <c r="C8" s="203">
        <v>280</v>
      </c>
      <c r="D8" s="203"/>
      <c r="E8" s="203"/>
      <c r="F8" s="203"/>
      <c r="G8" s="203">
        <v>150</v>
      </c>
      <c r="H8" s="203"/>
      <c r="I8" s="203"/>
      <c r="J8" s="203"/>
      <c r="K8" s="203">
        <v>12</v>
      </c>
      <c r="L8" s="203"/>
      <c r="M8" s="203"/>
      <c r="N8" s="203"/>
      <c r="O8" s="203"/>
      <c r="P8" s="203"/>
      <c r="Q8" s="203">
        <v>100</v>
      </c>
      <c r="R8" s="203">
        <v>40</v>
      </c>
      <c r="S8" s="203"/>
      <c r="T8" s="205"/>
      <c r="U8" s="205"/>
      <c r="V8" s="205"/>
      <c r="W8" s="205"/>
      <c r="X8" s="203"/>
      <c r="Y8" s="203">
        <v>155</v>
      </c>
      <c r="Z8" s="203">
        <v>280</v>
      </c>
      <c r="AA8" s="203">
        <f>J8+L8+V8+R8+N8+O8+P8+Q8+K8+W8+S8+T8+X8+M8+Y8+H8+C8+I8+D8+E8+G8+F8+Z8+U8</f>
        <v>1017</v>
      </c>
      <c r="AB8" s="226"/>
      <c r="AC8" s="227">
        <f>AA8+AB8</f>
        <v>1017</v>
      </c>
    </row>
    <row r="9" spans="1:29" s="200" customFormat="1" ht="13.5" customHeight="1" x14ac:dyDescent="0.2">
      <c r="A9" s="207">
        <v>4</v>
      </c>
      <c r="B9" s="214">
        <v>199681</v>
      </c>
      <c r="C9" s="205">
        <v>120</v>
      </c>
      <c r="D9" s="205"/>
      <c r="E9" s="205"/>
      <c r="F9" s="205">
        <f>12+4+7</f>
        <v>23</v>
      </c>
      <c r="G9" s="206">
        <v>80</v>
      </c>
      <c r="H9" s="208"/>
      <c r="I9" s="205"/>
      <c r="J9" s="205"/>
      <c r="K9" s="205">
        <v>35</v>
      </c>
      <c r="L9" s="203"/>
      <c r="M9" s="208"/>
      <c r="N9" s="208"/>
      <c r="O9" s="208"/>
      <c r="P9" s="205"/>
      <c r="Q9" s="205">
        <v>100</v>
      </c>
      <c r="R9" s="208"/>
      <c r="S9" s="205"/>
      <c r="T9" s="205"/>
      <c r="U9" s="205"/>
      <c r="V9" s="209"/>
      <c r="W9" s="205"/>
      <c r="X9" s="205"/>
      <c r="Y9" s="205">
        <v>35</v>
      </c>
      <c r="Z9" s="205"/>
      <c r="AA9" s="203">
        <f>J9+L9+V9+R9+N9+O9+P9+Q9+K9+W9+S9+T9+X9+M9+Y9+H9+C9+I9+D9+E9+G9+F9+Z9+U9</f>
        <v>393</v>
      </c>
      <c r="AB9" s="226"/>
      <c r="AC9" s="227">
        <f>AA9+AB9</f>
        <v>393</v>
      </c>
    </row>
    <row r="10" spans="1:29" s="200" customFormat="1" ht="20.25" customHeight="1" x14ac:dyDescent="0.2">
      <c r="A10" s="341" t="s">
        <v>349</v>
      </c>
      <c r="B10" s="342"/>
      <c r="C10" s="223">
        <f t="shared" ref="C10:AC10" si="2">C11</f>
        <v>50</v>
      </c>
      <c r="D10" s="223">
        <f t="shared" si="2"/>
        <v>0</v>
      </c>
      <c r="E10" s="223">
        <f t="shared" si="2"/>
        <v>0</v>
      </c>
      <c r="F10" s="223">
        <f t="shared" si="2"/>
        <v>34</v>
      </c>
      <c r="G10" s="223">
        <f t="shared" si="2"/>
        <v>0</v>
      </c>
      <c r="H10" s="223">
        <f t="shared" si="2"/>
        <v>0</v>
      </c>
      <c r="I10" s="223">
        <f t="shared" si="2"/>
        <v>0</v>
      </c>
      <c r="J10" s="223">
        <f t="shared" si="2"/>
        <v>0</v>
      </c>
      <c r="K10" s="223">
        <f t="shared" si="2"/>
        <v>60</v>
      </c>
      <c r="L10" s="223">
        <f t="shared" si="2"/>
        <v>0</v>
      </c>
      <c r="M10" s="223">
        <f t="shared" si="2"/>
        <v>0</v>
      </c>
      <c r="N10" s="223">
        <f t="shared" si="2"/>
        <v>0</v>
      </c>
      <c r="O10" s="223">
        <f t="shared" si="2"/>
        <v>0</v>
      </c>
      <c r="P10" s="223">
        <f t="shared" si="2"/>
        <v>0</v>
      </c>
      <c r="Q10" s="223">
        <f t="shared" si="2"/>
        <v>0</v>
      </c>
      <c r="R10" s="223">
        <f t="shared" si="2"/>
        <v>0</v>
      </c>
      <c r="S10" s="223">
        <f t="shared" si="2"/>
        <v>0</v>
      </c>
      <c r="T10" s="223">
        <f t="shared" si="2"/>
        <v>0</v>
      </c>
      <c r="U10" s="223">
        <f t="shared" si="2"/>
        <v>0</v>
      </c>
      <c r="V10" s="223">
        <f t="shared" si="2"/>
        <v>0</v>
      </c>
      <c r="W10" s="223">
        <f t="shared" si="2"/>
        <v>0</v>
      </c>
      <c r="X10" s="223">
        <f t="shared" si="2"/>
        <v>0</v>
      </c>
      <c r="Y10" s="223">
        <f t="shared" si="2"/>
        <v>0</v>
      </c>
      <c r="Z10" s="223">
        <f t="shared" si="2"/>
        <v>40</v>
      </c>
      <c r="AA10" s="223">
        <f t="shared" si="2"/>
        <v>184</v>
      </c>
      <c r="AB10" s="223">
        <f t="shared" si="2"/>
        <v>0</v>
      </c>
      <c r="AC10" s="223">
        <f t="shared" si="2"/>
        <v>184</v>
      </c>
    </row>
    <row r="11" spans="1:29" s="200" customFormat="1" ht="15" customHeight="1" x14ac:dyDescent="0.2">
      <c r="A11" s="207">
        <v>5</v>
      </c>
      <c r="B11" s="214">
        <v>136709</v>
      </c>
      <c r="C11" s="205">
        <v>50</v>
      </c>
      <c r="D11" s="205"/>
      <c r="E11" s="205"/>
      <c r="F11" s="205">
        <f>30+4</f>
        <v>34</v>
      </c>
      <c r="G11" s="206"/>
      <c r="H11" s="205"/>
      <c r="I11" s="205"/>
      <c r="J11" s="205"/>
      <c r="K11" s="205">
        <v>60</v>
      </c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6"/>
      <c r="W11" s="205"/>
      <c r="X11" s="205"/>
      <c r="Y11" s="205"/>
      <c r="Z11" s="205">
        <f>40</f>
        <v>40</v>
      </c>
      <c r="AA11" s="203">
        <f>J11+L11+V11+R11+N11+O11+P11+Q11+K11+W11+S11+T11+X11+M11+Y11+H11+C11+I11+D11+E11+G11+F11+Z11+U11</f>
        <v>184</v>
      </c>
      <c r="AB11" s="226"/>
      <c r="AC11" s="203">
        <f>AA11+AB11</f>
        <v>184</v>
      </c>
    </row>
    <row r="12" spans="1:29" s="200" customFormat="1" ht="20.25" customHeight="1" x14ac:dyDescent="0.2">
      <c r="A12" s="341" t="s">
        <v>350</v>
      </c>
      <c r="B12" s="342"/>
      <c r="C12" s="223">
        <f t="shared" ref="C12:AC12" si="3">C13+C14</f>
        <v>37</v>
      </c>
      <c r="D12" s="223">
        <f t="shared" si="3"/>
        <v>0</v>
      </c>
      <c r="E12" s="223">
        <f t="shared" si="3"/>
        <v>0</v>
      </c>
      <c r="F12" s="223">
        <f t="shared" si="3"/>
        <v>17</v>
      </c>
      <c r="G12" s="223">
        <f t="shared" si="3"/>
        <v>0</v>
      </c>
      <c r="H12" s="223">
        <f t="shared" si="3"/>
        <v>0</v>
      </c>
      <c r="I12" s="223">
        <f t="shared" si="3"/>
        <v>0</v>
      </c>
      <c r="J12" s="223">
        <f t="shared" si="3"/>
        <v>0</v>
      </c>
      <c r="K12" s="223">
        <f t="shared" si="3"/>
        <v>0</v>
      </c>
      <c r="L12" s="223">
        <f t="shared" si="3"/>
        <v>0</v>
      </c>
      <c r="M12" s="223">
        <f t="shared" si="3"/>
        <v>0</v>
      </c>
      <c r="N12" s="223">
        <f t="shared" si="3"/>
        <v>0</v>
      </c>
      <c r="O12" s="223">
        <f t="shared" si="3"/>
        <v>25</v>
      </c>
      <c r="P12" s="223">
        <f t="shared" si="3"/>
        <v>0</v>
      </c>
      <c r="Q12" s="223">
        <f t="shared" si="3"/>
        <v>0</v>
      </c>
      <c r="R12" s="223">
        <f t="shared" si="3"/>
        <v>0</v>
      </c>
      <c r="S12" s="223">
        <f t="shared" si="3"/>
        <v>0</v>
      </c>
      <c r="T12" s="223">
        <f t="shared" si="3"/>
        <v>0</v>
      </c>
      <c r="U12" s="223">
        <f t="shared" si="3"/>
        <v>0</v>
      </c>
      <c r="V12" s="223">
        <f t="shared" si="3"/>
        <v>0</v>
      </c>
      <c r="W12" s="223">
        <f t="shared" si="3"/>
        <v>0</v>
      </c>
      <c r="X12" s="223">
        <f t="shared" si="3"/>
        <v>0</v>
      </c>
      <c r="Y12" s="223">
        <f t="shared" si="3"/>
        <v>0</v>
      </c>
      <c r="Z12" s="223">
        <f t="shared" si="3"/>
        <v>50</v>
      </c>
      <c r="AA12" s="223">
        <f t="shared" si="3"/>
        <v>129</v>
      </c>
      <c r="AB12" s="223">
        <f t="shared" si="3"/>
        <v>0</v>
      </c>
      <c r="AC12" s="223">
        <f t="shared" si="3"/>
        <v>129</v>
      </c>
    </row>
    <row r="13" spans="1:29" s="200" customFormat="1" ht="12.75" customHeight="1" x14ac:dyDescent="0.2">
      <c r="A13" s="207">
        <v>6</v>
      </c>
      <c r="B13" s="214">
        <v>154940</v>
      </c>
      <c r="C13" s="205">
        <f>40-6+3</f>
        <v>37</v>
      </c>
      <c r="D13" s="205"/>
      <c r="E13" s="205"/>
      <c r="F13" s="205">
        <f>25-3-5</f>
        <v>17</v>
      </c>
      <c r="G13" s="206"/>
      <c r="H13" s="205"/>
      <c r="I13" s="205"/>
      <c r="J13" s="205"/>
      <c r="K13" s="205"/>
      <c r="L13" s="205"/>
      <c r="M13" s="205"/>
      <c r="N13" s="205"/>
      <c r="O13" s="205">
        <f>22+6-3</f>
        <v>25</v>
      </c>
      <c r="P13" s="205"/>
      <c r="Q13" s="205"/>
      <c r="R13" s="205"/>
      <c r="S13" s="205"/>
      <c r="T13" s="205"/>
      <c r="U13" s="205"/>
      <c r="V13" s="206"/>
      <c r="W13" s="205"/>
      <c r="X13" s="205"/>
      <c r="Y13" s="205"/>
      <c r="Z13" s="205">
        <f>50</f>
        <v>50</v>
      </c>
      <c r="AA13" s="203">
        <f>J13+L13+V13+R13+N13+O13+P13+Q13+K13+W13+S13+T13+X13+M13+Y13+H13+C13+I13+D13+E13+G13+F13+Z13+U13</f>
        <v>129</v>
      </c>
      <c r="AB13" s="226"/>
      <c r="AC13" s="203">
        <f>AA13+AB13</f>
        <v>129</v>
      </c>
    </row>
    <row r="14" spans="1:29" s="200" customFormat="1" ht="18.75" customHeight="1" x14ac:dyDescent="0.2">
      <c r="A14" s="207">
        <v>7</v>
      </c>
      <c r="B14" s="214">
        <v>456758</v>
      </c>
      <c r="C14" s="205"/>
      <c r="D14" s="205"/>
      <c r="E14" s="205"/>
      <c r="F14" s="205"/>
      <c r="G14" s="206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3">
        <f>J14+L14+V14+R14+N14+O14+P14+Q14+K14+W14+S14+T14+X14+M14+Y14+H14+C14+I14+D14+E14+G14+F14+Z14+U14</f>
        <v>0</v>
      </c>
      <c r="AB14" s="226"/>
      <c r="AC14" s="203">
        <f>AA14+AB14</f>
        <v>0</v>
      </c>
    </row>
    <row r="15" spans="1:29" s="200" customFormat="1" ht="21.75" customHeight="1" x14ac:dyDescent="0.2">
      <c r="A15" s="341" t="s">
        <v>351</v>
      </c>
      <c r="B15" s="342"/>
      <c r="C15" s="223">
        <f t="shared" ref="C15:AC15" si="4">C16</f>
        <v>0</v>
      </c>
      <c r="D15" s="223">
        <f t="shared" si="4"/>
        <v>0</v>
      </c>
      <c r="E15" s="223">
        <f t="shared" si="4"/>
        <v>0</v>
      </c>
      <c r="F15" s="223">
        <f t="shared" si="4"/>
        <v>8</v>
      </c>
      <c r="G15" s="223">
        <f t="shared" si="4"/>
        <v>0</v>
      </c>
      <c r="H15" s="223">
        <f t="shared" si="4"/>
        <v>0</v>
      </c>
      <c r="I15" s="223">
        <f t="shared" si="4"/>
        <v>0</v>
      </c>
      <c r="J15" s="223">
        <f t="shared" si="4"/>
        <v>0</v>
      </c>
      <c r="K15" s="223">
        <f t="shared" si="4"/>
        <v>0</v>
      </c>
      <c r="L15" s="223">
        <f t="shared" si="4"/>
        <v>0</v>
      </c>
      <c r="M15" s="223">
        <f t="shared" si="4"/>
        <v>0</v>
      </c>
      <c r="N15" s="223">
        <f t="shared" si="4"/>
        <v>0</v>
      </c>
      <c r="O15" s="223">
        <f t="shared" si="4"/>
        <v>0</v>
      </c>
      <c r="P15" s="223">
        <f t="shared" si="4"/>
        <v>0</v>
      </c>
      <c r="Q15" s="223">
        <f t="shared" si="4"/>
        <v>0</v>
      </c>
      <c r="R15" s="223">
        <f t="shared" si="4"/>
        <v>0</v>
      </c>
      <c r="S15" s="223">
        <f t="shared" si="4"/>
        <v>0</v>
      </c>
      <c r="T15" s="223">
        <f t="shared" si="4"/>
        <v>0</v>
      </c>
      <c r="U15" s="223">
        <f t="shared" si="4"/>
        <v>0</v>
      </c>
      <c r="V15" s="223">
        <f t="shared" si="4"/>
        <v>0</v>
      </c>
      <c r="W15" s="223">
        <f t="shared" si="4"/>
        <v>0</v>
      </c>
      <c r="X15" s="223">
        <f t="shared" si="4"/>
        <v>0</v>
      </c>
      <c r="Y15" s="223">
        <f t="shared" si="4"/>
        <v>0</v>
      </c>
      <c r="Z15" s="223">
        <f t="shared" si="4"/>
        <v>0</v>
      </c>
      <c r="AA15" s="223">
        <f t="shared" si="4"/>
        <v>8</v>
      </c>
      <c r="AB15" s="223">
        <f t="shared" si="4"/>
        <v>0</v>
      </c>
      <c r="AC15" s="223">
        <f t="shared" si="4"/>
        <v>8</v>
      </c>
    </row>
    <row r="16" spans="1:29" s="200" customFormat="1" ht="14.25" customHeight="1" x14ac:dyDescent="0.2">
      <c r="A16" s="207">
        <v>8</v>
      </c>
      <c r="B16" s="214">
        <v>271427</v>
      </c>
      <c r="C16" s="205"/>
      <c r="D16" s="205"/>
      <c r="E16" s="205"/>
      <c r="F16" s="205">
        <f>10-2</f>
        <v>8</v>
      </c>
      <c r="G16" s="206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6"/>
      <c r="W16" s="205"/>
      <c r="X16" s="205"/>
      <c r="Y16" s="205"/>
      <c r="Z16" s="205"/>
      <c r="AA16" s="203">
        <f>J16+L16+V16+R16+N16+O16+P16+Q16+K16+W16+S16+T16+X16+M16+Y16+H16+C16+I16+D16+E16+G16+F16+Z16+U16</f>
        <v>8</v>
      </c>
      <c r="AB16" s="226"/>
      <c r="AC16" s="203">
        <f>AA16+AB16</f>
        <v>8</v>
      </c>
    </row>
    <row r="17" spans="1:29" s="200" customFormat="1" ht="18" customHeight="1" x14ac:dyDescent="0.2">
      <c r="A17" s="341" t="s">
        <v>352</v>
      </c>
      <c r="B17" s="342"/>
      <c r="C17" s="223">
        <f t="shared" ref="C17:AC17" si="5">C18</f>
        <v>0</v>
      </c>
      <c r="D17" s="223">
        <f t="shared" si="5"/>
        <v>0</v>
      </c>
      <c r="E17" s="223">
        <f t="shared" si="5"/>
        <v>0</v>
      </c>
      <c r="F17" s="223">
        <f t="shared" si="5"/>
        <v>0</v>
      </c>
      <c r="G17" s="223">
        <f t="shared" si="5"/>
        <v>0</v>
      </c>
      <c r="H17" s="223">
        <f t="shared" si="5"/>
        <v>52</v>
      </c>
      <c r="I17" s="223">
        <f t="shared" si="5"/>
        <v>0</v>
      </c>
      <c r="J17" s="223">
        <f t="shared" si="5"/>
        <v>0</v>
      </c>
      <c r="K17" s="223">
        <f t="shared" si="5"/>
        <v>0</v>
      </c>
      <c r="L17" s="223">
        <f t="shared" si="5"/>
        <v>0</v>
      </c>
      <c r="M17" s="223">
        <f t="shared" si="5"/>
        <v>0</v>
      </c>
      <c r="N17" s="223">
        <f t="shared" si="5"/>
        <v>0</v>
      </c>
      <c r="O17" s="223">
        <f t="shared" si="5"/>
        <v>0</v>
      </c>
      <c r="P17" s="223">
        <f t="shared" si="5"/>
        <v>0</v>
      </c>
      <c r="Q17" s="223">
        <f t="shared" si="5"/>
        <v>0</v>
      </c>
      <c r="R17" s="223">
        <f t="shared" si="5"/>
        <v>0</v>
      </c>
      <c r="S17" s="223">
        <f t="shared" si="5"/>
        <v>0</v>
      </c>
      <c r="T17" s="223">
        <f t="shared" si="5"/>
        <v>0</v>
      </c>
      <c r="U17" s="223">
        <f t="shared" si="5"/>
        <v>0</v>
      </c>
      <c r="V17" s="223">
        <f t="shared" si="5"/>
        <v>0</v>
      </c>
      <c r="W17" s="223">
        <f t="shared" si="5"/>
        <v>0</v>
      </c>
      <c r="X17" s="223">
        <f t="shared" si="5"/>
        <v>0</v>
      </c>
      <c r="Y17" s="223">
        <f t="shared" si="5"/>
        <v>0</v>
      </c>
      <c r="Z17" s="223">
        <f t="shared" si="5"/>
        <v>0</v>
      </c>
      <c r="AA17" s="223">
        <f t="shared" si="5"/>
        <v>52</v>
      </c>
      <c r="AB17" s="223">
        <f t="shared" si="5"/>
        <v>0</v>
      </c>
      <c r="AC17" s="223">
        <f t="shared" si="5"/>
        <v>52</v>
      </c>
    </row>
    <row r="18" spans="1:29" s="200" customFormat="1" ht="15.75" customHeight="1" x14ac:dyDescent="0.2">
      <c r="A18" s="207">
        <v>9</v>
      </c>
      <c r="B18" s="214">
        <v>104656</v>
      </c>
      <c r="C18" s="205"/>
      <c r="D18" s="205"/>
      <c r="E18" s="205"/>
      <c r="F18" s="205"/>
      <c r="G18" s="206"/>
      <c r="H18" s="205">
        <v>52</v>
      </c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6"/>
      <c r="W18" s="205"/>
      <c r="X18" s="205"/>
      <c r="Y18" s="205"/>
      <c r="Z18" s="205"/>
      <c r="AA18" s="203">
        <f>J18+L18+V18+R18+N18+O18+P18+Q18+K18+W18+S18+T18+X18+M18+Y18+H18+C18+I18+D18+E18+G18+F18+Z18+U18</f>
        <v>52</v>
      </c>
      <c r="AB18" s="226"/>
      <c r="AC18" s="203">
        <f>AA18+AB18</f>
        <v>52</v>
      </c>
    </row>
    <row r="19" spans="1:29" s="200" customFormat="1" ht="12.75" customHeight="1" x14ac:dyDescent="0.2">
      <c r="A19" s="341" t="s">
        <v>353</v>
      </c>
      <c r="B19" s="342"/>
      <c r="C19" s="223">
        <f t="shared" ref="C19:AC19" si="6">C20+C21</f>
        <v>0</v>
      </c>
      <c r="D19" s="223">
        <f t="shared" si="6"/>
        <v>0</v>
      </c>
      <c r="E19" s="223">
        <f t="shared" si="6"/>
        <v>0</v>
      </c>
      <c r="F19" s="223">
        <f t="shared" si="6"/>
        <v>0</v>
      </c>
      <c r="G19" s="223">
        <f t="shared" si="6"/>
        <v>0</v>
      </c>
      <c r="H19" s="223">
        <f t="shared" si="6"/>
        <v>0</v>
      </c>
      <c r="I19" s="223">
        <f t="shared" si="6"/>
        <v>0</v>
      </c>
      <c r="J19" s="223">
        <f t="shared" si="6"/>
        <v>0</v>
      </c>
      <c r="K19" s="223">
        <f t="shared" si="6"/>
        <v>0</v>
      </c>
      <c r="L19" s="223">
        <f t="shared" si="6"/>
        <v>0</v>
      </c>
      <c r="M19" s="223">
        <f t="shared" si="6"/>
        <v>0</v>
      </c>
      <c r="N19" s="223">
        <f t="shared" si="6"/>
        <v>0</v>
      </c>
      <c r="O19" s="223">
        <f t="shared" si="6"/>
        <v>0</v>
      </c>
      <c r="P19" s="223">
        <f t="shared" si="6"/>
        <v>0</v>
      </c>
      <c r="Q19" s="223">
        <f t="shared" si="6"/>
        <v>100</v>
      </c>
      <c r="R19" s="223">
        <f t="shared" si="6"/>
        <v>0</v>
      </c>
      <c r="S19" s="223">
        <f t="shared" si="6"/>
        <v>0</v>
      </c>
      <c r="T19" s="223">
        <f t="shared" si="6"/>
        <v>0</v>
      </c>
      <c r="U19" s="223">
        <f t="shared" si="6"/>
        <v>0</v>
      </c>
      <c r="V19" s="223">
        <f t="shared" si="6"/>
        <v>0</v>
      </c>
      <c r="W19" s="223">
        <f t="shared" si="6"/>
        <v>30</v>
      </c>
      <c r="X19" s="223">
        <f t="shared" si="6"/>
        <v>0</v>
      </c>
      <c r="Y19" s="223">
        <f t="shared" si="6"/>
        <v>0</v>
      </c>
      <c r="Z19" s="223">
        <f t="shared" si="6"/>
        <v>0</v>
      </c>
      <c r="AA19" s="223">
        <f t="shared" si="6"/>
        <v>130</v>
      </c>
      <c r="AB19" s="223">
        <f t="shared" si="6"/>
        <v>0</v>
      </c>
      <c r="AC19" s="223">
        <f t="shared" si="6"/>
        <v>130</v>
      </c>
    </row>
    <row r="20" spans="1:29" s="200" customFormat="1" ht="14.25" customHeight="1" x14ac:dyDescent="0.2">
      <c r="A20" s="207">
        <v>10</v>
      </c>
      <c r="B20" s="214">
        <v>554139</v>
      </c>
      <c r="C20" s="205"/>
      <c r="D20" s="205"/>
      <c r="E20" s="205"/>
      <c r="F20" s="205"/>
      <c r="G20" s="206"/>
      <c r="H20" s="208"/>
      <c r="I20" s="205"/>
      <c r="J20" s="205"/>
      <c r="K20" s="205"/>
      <c r="L20" s="208"/>
      <c r="M20" s="208"/>
      <c r="N20" s="208"/>
      <c r="O20" s="208"/>
      <c r="P20" s="205"/>
      <c r="Q20" s="205">
        <v>80</v>
      </c>
      <c r="R20" s="208"/>
      <c r="S20" s="205"/>
      <c r="T20" s="205"/>
      <c r="U20" s="205"/>
      <c r="V20" s="209"/>
      <c r="W20" s="205">
        <v>30</v>
      </c>
      <c r="X20" s="205"/>
      <c r="Y20" s="205"/>
      <c r="Z20" s="205"/>
      <c r="AA20" s="203">
        <f>J20+L20+V20+R20+N20+O20+P20+Q20+K20+W20+S20+T20+X20+M20+Y20+H20+C20+I20+D20+E20+G20+F20+Z20+U20</f>
        <v>110</v>
      </c>
      <c r="AB20" s="226"/>
      <c r="AC20" s="203">
        <f>AA20+AB20</f>
        <v>110</v>
      </c>
    </row>
    <row r="21" spans="1:29" s="200" customFormat="1" ht="14.25" customHeight="1" x14ac:dyDescent="0.2">
      <c r="A21" s="207">
        <v>11</v>
      </c>
      <c r="B21" s="214">
        <v>1624324</v>
      </c>
      <c r="C21" s="210"/>
      <c r="D21" s="210"/>
      <c r="E21" s="210"/>
      <c r="F21" s="210"/>
      <c r="G21" s="211"/>
      <c r="H21" s="212"/>
      <c r="I21" s="210"/>
      <c r="J21" s="210"/>
      <c r="K21" s="210"/>
      <c r="L21" s="212"/>
      <c r="M21" s="212"/>
      <c r="N21" s="212"/>
      <c r="O21" s="212"/>
      <c r="P21" s="210"/>
      <c r="Q21" s="210">
        <v>20</v>
      </c>
      <c r="R21" s="212"/>
      <c r="S21" s="210"/>
      <c r="T21" s="205"/>
      <c r="U21" s="205"/>
      <c r="V21" s="209"/>
      <c r="W21" s="205"/>
      <c r="X21" s="210"/>
      <c r="Y21" s="210"/>
      <c r="Z21" s="210"/>
      <c r="AA21" s="203">
        <f>J21+L21+V21+R21+N21+O21+P21+Q21+K21+W21+S21+T21+X21+M21+Y21+H21+C21+I21+D21+E21+G21+F21+Z21+U21</f>
        <v>20</v>
      </c>
      <c r="AB21" s="226"/>
      <c r="AC21" s="203">
        <f>AA21+AB21</f>
        <v>20</v>
      </c>
    </row>
    <row r="22" spans="1:29" s="200" customFormat="1" ht="21" customHeight="1" x14ac:dyDescent="0.2">
      <c r="A22" s="341" t="s">
        <v>354</v>
      </c>
      <c r="B22" s="342"/>
      <c r="C22" s="223">
        <f t="shared" ref="C22:AC22" si="7">SUM(C23:C28)</f>
        <v>355</v>
      </c>
      <c r="D22" s="223">
        <f t="shared" si="7"/>
        <v>0</v>
      </c>
      <c r="E22" s="223">
        <f t="shared" si="7"/>
        <v>0</v>
      </c>
      <c r="F22" s="223">
        <f t="shared" si="7"/>
        <v>125</v>
      </c>
      <c r="G22" s="223">
        <f t="shared" si="7"/>
        <v>0</v>
      </c>
      <c r="H22" s="223">
        <f t="shared" si="7"/>
        <v>0</v>
      </c>
      <c r="I22" s="223">
        <f t="shared" si="7"/>
        <v>0</v>
      </c>
      <c r="J22" s="223">
        <f t="shared" si="7"/>
        <v>78</v>
      </c>
      <c r="K22" s="223">
        <f t="shared" si="7"/>
        <v>142</v>
      </c>
      <c r="L22" s="223">
        <f t="shared" si="7"/>
        <v>0</v>
      </c>
      <c r="M22" s="223">
        <f t="shared" si="7"/>
        <v>0</v>
      </c>
      <c r="N22" s="223">
        <f t="shared" si="7"/>
        <v>0</v>
      </c>
      <c r="O22" s="223">
        <f t="shared" si="7"/>
        <v>0</v>
      </c>
      <c r="P22" s="223">
        <f t="shared" si="7"/>
        <v>22</v>
      </c>
      <c r="Q22" s="223">
        <f t="shared" si="7"/>
        <v>0</v>
      </c>
      <c r="R22" s="223">
        <f t="shared" si="7"/>
        <v>0</v>
      </c>
      <c r="S22" s="223">
        <f t="shared" si="7"/>
        <v>5</v>
      </c>
      <c r="T22" s="223">
        <f t="shared" si="7"/>
        <v>19</v>
      </c>
      <c r="U22" s="223">
        <f t="shared" si="7"/>
        <v>0</v>
      </c>
      <c r="V22" s="223">
        <f t="shared" si="7"/>
        <v>0</v>
      </c>
      <c r="W22" s="223">
        <f t="shared" si="7"/>
        <v>192</v>
      </c>
      <c r="X22" s="223">
        <f t="shared" si="7"/>
        <v>0</v>
      </c>
      <c r="Y22" s="223">
        <f t="shared" si="7"/>
        <v>0</v>
      </c>
      <c r="Z22" s="223">
        <f t="shared" si="7"/>
        <v>120</v>
      </c>
      <c r="AA22" s="223">
        <f t="shared" si="7"/>
        <v>1058</v>
      </c>
      <c r="AB22" s="223">
        <f t="shared" si="7"/>
        <v>0</v>
      </c>
      <c r="AC22" s="223">
        <f t="shared" si="7"/>
        <v>1058</v>
      </c>
    </row>
    <row r="23" spans="1:29" s="200" customFormat="1" ht="14.25" customHeight="1" x14ac:dyDescent="0.2">
      <c r="A23" s="207">
        <v>12</v>
      </c>
      <c r="B23" s="214">
        <v>168234</v>
      </c>
      <c r="C23" s="203">
        <v>305</v>
      </c>
      <c r="D23" s="203"/>
      <c r="E23" s="203"/>
      <c r="F23" s="203">
        <v>65</v>
      </c>
      <c r="G23" s="204"/>
      <c r="H23" s="203"/>
      <c r="I23" s="203"/>
      <c r="J23" s="203">
        <v>60</v>
      </c>
      <c r="K23" s="203">
        <v>124</v>
      </c>
      <c r="L23" s="203"/>
      <c r="M23" s="203"/>
      <c r="N23" s="203"/>
      <c r="O23" s="203"/>
      <c r="P23" s="203">
        <v>6</v>
      </c>
      <c r="Q23" s="203"/>
      <c r="R23" s="204"/>
      <c r="S23" s="205">
        <v>2</v>
      </c>
      <c r="T23" s="205">
        <v>9</v>
      </c>
      <c r="U23" s="205"/>
      <c r="V23" s="206"/>
      <c r="W23" s="205">
        <v>180</v>
      </c>
      <c r="X23" s="205"/>
      <c r="Y23" s="205"/>
      <c r="Z23" s="203">
        <f>60+60</f>
        <v>120</v>
      </c>
      <c r="AA23" s="203">
        <f t="shared" ref="AA23:AA28" si="8">J23+L23+V23+R23+N23+O23+P23+Q23+K23+W23+S23+T23+X23+M23+Y23+H23+C23+I23+D23+E23+G23+F23+Z23+U23</f>
        <v>871</v>
      </c>
      <c r="AB23" s="226"/>
      <c r="AC23" s="203">
        <f t="shared" ref="AC23:AC28" si="9">AA23+AB23</f>
        <v>871</v>
      </c>
    </row>
    <row r="24" spans="1:29" s="200" customFormat="1" ht="14.25" customHeight="1" x14ac:dyDescent="0.2">
      <c r="A24" s="207">
        <v>13</v>
      </c>
      <c r="B24" s="214">
        <v>254325</v>
      </c>
      <c r="C24" s="203">
        <v>5</v>
      </c>
      <c r="D24" s="203"/>
      <c r="E24" s="203"/>
      <c r="F24" s="203"/>
      <c r="G24" s="203"/>
      <c r="H24" s="213"/>
      <c r="I24" s="203"/>
      <c r="J24" s="203"/>
      <c r="K24" s="203"/>
      <c r="L24" s="213"/>
      <c r="M24" s="213"/>
      <c r="N24" s="213"/>
      <c r="O24" s="213"/>
      <c r="P24" s="203"/>
      <c r="Q24" s="203"/>
      <c r="R24" s="213"/>
      <c r="S24" s="205">
        <v>3</v>
      </c>
      <c r="T24" s="205">
        <f>10-10</f>
        <v>0</v>
      </c>
      <c r="U24" s="205"/>
      <c r="V24" s="208"/>
      <c r="W24" s="205"/>
      <c r="X24" s="205"/>
      <c r="Y24" s="205"/>
      <c r="Z24" s="203"/>
      <c r="AA24" s="203">
        <f t="shared" si="8"/>
        <v>8</v>
      </c>
      <c r="AB24" s="226"/>
      <c r="AC24" s="203">
        <f t="shared" si="9"/>
        <v>8</v>
      </c>
    </row>
    <row r="25" spans="1:29" s="200" customFormat="1" ht="14.25" customHeight="1" x14ac:dyDescent="0.2">
      <c r="A25" s="207">
        <v>14</v>
      </c>
      <c r="B25" s="214">
        <v>163116</v>
      </c>
      <c r="C25" s="205">
        <v>15</v>
      </c>
      <c r="D25" s="205"/>
      <c r="E25" s="205"/>
      <c r="F25" s="205"/>
      <c r="G25" s="206"/>
      <c r="H25" s="208"/>
      <c r="I25" s="205"/>
      <c r="J25" s="205">
        <v>3</v>
      </c>
      <c r="K25" s="205">
        <v>8</v>
      </c>
      <c r="L25" s="208"/>
      <c r="M25" s="208"/>
      <c r="N25" s="208"/>
      <c r="O25" s="208"/>
      <c r="P25" s="205"/>
      <c r="Q25" s="205"/>
      <c r="R25" s="208"/>
      <c r="S25" s="205"/>
      <c r="T25" s="205"/>
      <c r="U25" s="205"/>
      <c r="V25" s="209"/>
      <c r="W25" s="205">
        <v>12</v>
      </c>
      <c r="X25" s="205"/>
      <c r="Y25" s="205"/>
      <c r="Z25" s="205"/>
      <c r="AA25" s="203">
        <f t="shared" si="8"/>
        <v>38</v>
      </c>
      <c r="AB25" s="226"/>
      <c r="AC25" s="203">
        <f t="shared" si="9"/>
        <v>38</v>
      </c>
    </row>
    <row r="26" spans="1:29" s="200" customFormat="1" ht="12.75" customHeight="1" x14ac:dyDescent="0.2">
      <c r="A26" s="207">
        <v>15</v>
      </c>
      <c r="B26" s="214">
        <v>234431</v>
      </c>
      <c r="C26" s="210"/>
      <c r="D26" s="210"/>
      <c r="E26" s="210"/>
      <c r="F26" s="210">
        <v>60</v>
      </c>
      <c r="G26" s="211"/>
      <c r="H26" s="212"/>
      <c r="I26" s="210"/>
      <c r="J26" s="210"/>
      <c r="K26" s="210"/>
      <c r="L26" s="212"/>
      <c r="M26" s="212"/>
      <c r="N26" s="212"/>
      <c r="O26" s="212"/>
      <c r="P26" s="205">
        <v>16</v>
      </c>
      <c r="Q26" s="210"/>
      <c r="R26" s="212"/>
      <c r="S26" s="205"/>
      <c r="T26" s="205"/>
      <c r="U26" s="205"/>
      <c r="V26" s="209"/>
      <c r="W26" s="205"/>
      <c r="X26" s="205"/>
      <c r="Y26" s="205"/>
      <c r="Z26" s="210"/>
      <c r="AA26" s="203">
        <f t="shared" si="8"/>
        <v>76</v>
      </c>
      <c r="AB26" s="226"/>
      <c r="AC26" s="203">
        <f t="shared" si="9"/>
        <v>76</v>
      </c>
    </row>
    <row r="27" spans="1:29" s="200" customFormat="1" ht="14.25" customHeight="1" x14ac:dyDescent="0.2">
      <c r="A27" s="207">
        <v>16</v>
      </c>
      <c r="B27" s="214">
        <v>302151</v>
      </c>
      <c r="C27" s="205">
        <v>15</v>
      </c>
      <c r="D27" s="205"/>
      <c r="E27" s="205"/>
      <c r="F27" s="205"/>
      <c r="G27" s="206"/>
      <c r="H27" s="208"/>
      <c r="I27" s="205"/>
      <c r="J27" s="205"/>
      <c r="K27" s="205"/>
      <c r="L27" s="208"/>
      <c r="M27" s="208"/>
      <c r="N27" s="208"/>
      <c r="O27" s="208"/>
      <c r="P27" s="205"/>
      <c r="Q27" s="205"/>
      <c r="R27" s="208"/>
      <c r="S27" s="205"/>
      <c r="T27" s="205">
        <f>0+10</f>
        <v>10</v>
      </c>
      <c r="U27" s="205"/>
      <c r="V27" s="209"/>
      <c r="W27" s="205"/>
      <c r="X27" s="205"/>
      <c r="Y27" s="205"/>
      <c r="Z27" s="205"/>
      <c r="AA27" s="203">
        <f t="shared" si="8"/>
        <v>25</v>
      </c>
      <c r="AB27" s="226"/>
      <c r="AC27" s="203">
        <f t="shared" si="9"/>
        <v>25</v>
      </c>
    </row>
    <row r="28" spans="1:29" s="200" customFormat="1" ht="14.25" customHeight="1" x14ac:dyDescent="0.2">
      <c r="A28" s="207">
        <v>17</v>
      </c>
      <c r="B28" s="214">
        <v>409766</v>
      </c>
      <c r="C28" s="210">
        <v>15</v>
      </c>
      <c r="D28" s="210"/>
      <c r="E28" s="210"/>
      <c r="F28" s="210"/>
      <c r="G28" s="211"/>
      <c r="H28" s="212"/>
      <c r="I28" s="210"/>
      <c r="J28" s="210">
        <v>15</v>
      </c>
      <c r="K28" s="210">
        <v>10</v>
      </c>
      <c r="L28" s="212"/>
      <c r="M28" s="212"/>
      <c r="N28" s="212"/>
      <c r="O28" s="212"/>
      <c r="P28" s="210"/>
      <c r="Q28" s="210"/>
      <c r="R28" s="212"/>
      <c r="S28" s="205"/>
      <c r="T28" s="205"/>
      <c r="U28" s="205"/>
      <c r="V28" s="209"/>
      <c r="W28" s="205"/>
      <c r="X28" s="205"/>
      <c r="Y28" s="205"/>
      <c r="Z28" s="210"/>
      <c r="AA28" s="203">
        <f t="shared" si="8"/>
        <v>40</v>
      </c>
      <c r="AB28" s="226"/>
      <c r="AC28" s="203">
        <f t="shared" si="9"/>
        <v>40</v>
      </c>
    </row>
    <row r="29" spans="1:29" s="200" customFormat="1" ht="18.75" customHeight="1" x14ac:dyDescent="0.2">
      <c r="A29" s="341" t="s">
        <v>355</v>
      </c>
      <c r="B29" s="342"/>
      <c r="C29" s="223">
        <f t="shared" ref="C29:AC29" si="10">C30+C31</f>
        <v>130</v>
      </c>
      <c r="D29" s="223">
        <f t="shared" si="10"/>
        <v>0</v>
      </c>
      <c r="E29" s="223">
        <f t="shared" si="10"/>
        <v>0</v>
      </c>
      <c r="F29" s="223">
        <f t="shared" si="10"/>
        <v>180</v>
      </c>
      <c r="G29" s="223">
        <f t="shared" si="10"/>
        <v>498</v>
      </c>
      <c r="H29" s="223">
        <f t="shared" si="10"/>
        <v>0</v>
      </c>
      <c r="I29" s="223">
        <f t="shared" si="10"/>
        <v>0</v>
      </c>
      <c r="J29" s="223">
        <f t="shared" si="10"/>
        <v>0</v>
      </c>
      <c r="K29" s="223">
        <f t="shared" si="10"/>
        <v>0</v>
      </c>
      <c r="L29" s="223">
        <f t="shared" si="10"/>
        <v>0</v>
      </c>
      <c r="M29" s="223">
        <f t="shared" si="10"/>
        <v>0</v>
      </c>
      <c r="N29" s="223">
        <f t="shared" si="10"/>
        <v>0</v>
      </c>
      <c r="O29" s="223">
        <f t="shared" si="10"/>
        <v>0</v>
      </c>
      <c r="P29" s="223">
        <f t="shared" si="10"/>
        <v>118</v>
      </c>
      <c r="Q29" s="223">
        <f t="shared" si="10"/>
        <v>0</v>
      </c>
      <c r="R29" s="223">
        <f t="shared" si="10"/>
        <v>0</v>
      </c>
      <c r="S29" s="223">
        <f t="shared" si="10"/>
        <v>0</v>
      </c>
      <c r="T29" s="223">
        <f t="shared" si="10"/>
        <v>0</v>
      </c>
      <c r="U29" s="223">
        <f t="shared" si="10"/>
        <v>0</v>
      </c>
      <c r="V29" s="223">
        <f t="shared" si="10"/>
        <v>0</v>
      </c>
      <c r="W29" s="223">
        <f t="shared" si="10"/>
        <v>0</v>
      </c>
      <c r="X29" s="223">
        <f t="shared" si="10"/>
        <v>0</v>
      </c>
      <c r="Y29" s="223">
        <f t="shared" si="10"/>
        <v>0</v>
      </c>
      <c r="Z29" s="223">
        <f t="shared" si="10"/>
        <v>20</v>
      </c>
      <c r="AA29" s="223">
        <f t="shared" si="10"/>
        <v>946</v>
      </c>
      <c r="AB29" s="223">
        <f t="shared" si="10"/>
        <v>0</v>
      </c>
      <c r="AC29" s="223">
        <f t="shared" si="10"/>
        <v>946</v>
      </c>
    </row>
    <row r="30" spans="1:29" s="200" customFormat="1" ht="14.25" customHeight="1" x14ac:dyDescent="0.2">
      <c r="A30" s="207">
        <v>18</v>
      </c>
      <c r="B30" s="214">
        <v>255509</v>
      </c>
      <c r="C30" s="203">
        <f>105-15</f>
        <v>90</v>
      </c>
      <c r="D30" s="203"/>
      <c r="E30" s="203"/>
      <c r="F30" s="203">
        <v>134</v>
      </c>
      <c r="G30" s="203">
        <f>230+15+25</f>
        <v>270</v>
      </c>
      <c r="H30" s="203"/>
      <c r="I30" s="203"/>
      <c r="J30" s="203"/>
      <c r="K30" s="203"/>
      <c r="L30" s="203"/>
      <c r="M30" s="203"/>
      <c r="N30" s="203"/>
      <c r="O30" s="203"/>
      <c r="P30" s="203">
        <f>100-2</f>
        <v>98</v>
      </c>
      <c r="Q30" s="203"/>
      <c r="R30" s="203"/>
      <c r="S30" s="203"/>
      <c r="T30" s="203"/>
      <c r="U30" s="203"/>
      <c r="V30" s="203"/>
      <c r="W30" s="203"/>
      <c r="X30" s="203"/>
      <c r="Y30" s="203"/>
      <c r="Z30" s="203">
        <f>61-29-17</f>
        <v>15</v>
      </c>
      <c r="AA30" s="203">
        <f>J30+L30+V30+R30+N30+O30+P30+Q30+K30+W30+S30+T30+X30+M30+Y30+H30+C30+I30+D30+E30+G30+F30+Z30+U30</f>
        <v>607</v>
      </c>
      <c r="AB30" s="226"/>
      <c r="AC30" s="203">
        <f>AA30+AB30</f>
        <v>607</v>
      </c>
    </row>
    <row r="31" spans="1:29" s="200" customFormat="1" ht="14.25" customHeight="1" x14ac:dyDescent="0.2">
      <c r="A31" s="207">
        <v>19</v>
      </c>
      <c r="B31" s="214">
        <v>372794</v>
      </c>
      <c r="C31" s="203">
        <f>55-15</f>
        <v>40</v>
      </c>
      <c r="D31" s="203"/>
      <c r="E31" s="203"/>
      <c r="F31" s="203">
        <v>46</v>
      </c>
      <c r="G31" s="203">
        <f>188+15+25</f>
        <v>228</v>
      </c>
      <c r="H31" s="203"/>
      <c r="I31" s="203"/>
      <c r="J31" s="203"/>
      <c r="K31" s="203"/>
      <c r="L31" s="203"/>
      <c r="M31" s="203"/>
      <c r="N31" s="203"/>
      <c r="O31" s="203"/>
      <c r="P31" s="203">
        <v>20</v>
      </c>
      <c r="Q31" s="203"/>
      <c r="R31" s="203"/>
      <c r="S31" s="203"/>
      <c r="T31" s="203"/>
      <c r="U31" s="203"/>
      <c r="V31" s="203"/>
      <c r="W31" s="203"/>
      <c r="X31" s="203"/>
      <c r="Y31" s="203"/>
      <c r="Z31" s="203">
        <f>17-9-3</f>
        <v>5</v>
      </c>
      <c r="AA31" s="203">
        <f>J31+L31+V31+R31+N31+O31+P31+Q31+K31+W31+S31+T31+X31+M31+Y31+H31+C31+I31+D31+E31+G31+F31+Z31+U31</f>
        <v>339</v>
      </c>
      <c r="AB31" s="226"/>
      <c r="AC31" s="203">
        <f>AA31+AB31</f>
        <v>339</v>
      </c>
    </row>
    <row r="32" spans="1:29" s="200" customFormat="1" ht="18.75" customHeight="1" x14ac:dyDescent="0.2">
      <c r="A32" s="341" t="s">
        <v>356</v>
      </c>
      <c r="B32" s="342"/>
      <c r="C32" s="223">
        <f>C33+C34+C35+C36+C37+C38</f>
        <v>130</v>
      </c>
      <c r="D32" s="223">
        <f>D33+D34+D35+D36+D37+D38</f>
        <v>1450</v>
      </c>
      <c r="E32" s="223">
        <f t="shared" ref="E32:AC32" si="11">E33+E34+E35+E36+E37+E38</f>
        <v>0</v>
      </c>
      <c r="F32" s="223">
        <f t="shared" si="11"/>
        <v>100</v>
      </c>
      <c r="G32" s="223">
        <f t="shared" si="11"/>
        <v>0</v>
      </c>
      <c r="H32" s="223">
        <f t="shared" si="11"/>
        <v>0</v>
      </c>
      <c r="I32" s="223">
        <f t="shared" si="11"/>
        <v>0</v>
      </c>
      <c r="J32" s="223">
        <f t="shared" si="11"/>
        <v>0</v>
      </c>
      <c r="K32" s="223">
        <f t="shared" si="11"/>
        <v>0</v>
      </c>
      <c r="L32" s="223">
        <f t="shared" si="11"/>
        <v>0</v>
      </c>
      <c r="M32" s="223">
        <f t="shared" si="11"/>
        <v>0</v>
      </c>
      <c r="N32" s="223">
        <f t="shared" si="11"/>
        <v>0</v>
      </c>
      <c r="O32" s="223">
        <f t="shared" si="11"/>
        <v>0</v>
      </c>
      <c r="P32" s="223">
        <f t="shared" si="11"/>
        <v>0</v>
      </c>
      <c r="Q32" s="223">
        <f t="shared" si="11"/>
        <v>0</v>
      </c>
      <c r="R32" s="223">
        <f t="shared" si="11"/>
        <v>0</v>
      </c>
      <c r="S32" s="223">
        <f t="shared" si="11"/>
        <v>0</v>
      </c>
      <c r="T32" s="223">
        <f t="shared" si="11"/>
        <v>0</v>
      </c>
      <c r="U32" s="223">
        <f t="shared" si="11"/>
        <v>0</v>
      </c>
      <c r="V32" s="223">
        <f t="shared" si="11"/>
        <v>0</v>
      </c>
      <c r="W32" s="223">
        <f t="shared" si="11"/>
        <v>89</v>
      </c>
      <c r="X32" s="223">
        <f t="shared" si="11"/>
        <v>5</v>
      </c>
      <c r="Y32" s="223">
        <f t="shared" si="11"/>
        <v>0</v>
      </c>
      <c r="Z32" s="223">
        <f t="shared" si="11"/>
        <v>150</v>
      </c>
      <c r="AA32" s="223">
        <f t="shared" si="11"/>
        <v>1924</v>
      </c>
      <c r="AB32" s="223">
        <f t="shared" si="11"/>
        <v>0</v>
      </c>
      <c r="AC32" s="223">
        <f t="shared" si="11"/>
        <v>1924</v>
      </c>
    </row>
    <row r="33" spans="1:29" s="200" customFormat="1" ht="14.25" customHeight="1" x14ac:dyDescent="0.2">
      <c r="A33" s="207">
        <v>20</v>
      </c>
      <c r="B33" s="214">
        <v>131998</v>
      </c>
      <c r="C33" s="205">
        <f>70</f>
        <v>70</v>
      </c>
      <c r="D33" s="205">
        <v>1100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>
        <f>77+12</f>
        <v>89</v>
      </c>
      <c r="X33" s="205">
        <v>5</v>
      </c>
      <c r="Y33" s="205"/>
      <c r="Z33" s="205">
        <v>100</v>
      </c>
      <c r="AA33" s="205">
        <f t="shared" ref="AA33:AA38" si="12">J33+L33+V33+R33+N33+O33+P33+Q33+K33+W33+S33+T33+X33+M33+Y33+H33+C33+I33+D33+E33+G33+F33+Z33+U33</f>
        <v>1364</v>
      </c>
      <c r="AB33" s="226"/>
      <c r="AC33" s="203">
        <f t="shared" ref="AC33:AC38" si="13">AA33+AB33</f>
        <v>1364</v>
      </c>
    </row>
    <row r="34" spans="1:29" s="200" customFormat="1" ht="14.25" customHeight="1" x14ac:dyDescent="0.2">
      <c r="A34" s="207">
        <v>21</v>
      </c>
      <c r="B34" s="214">
        <v>103013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>
        <f t="shared" si="12"/>
        <v>0</v>
      </c>
      <c r="AB34" s="226"/>
      <c r="AC34" s="203">
        <f t="shared" si="13"/>
        <v>0</v>
      </c>
    </row>
    <row r="35" spans="1:29" s="200" customFormat="1" ht="14.25" customHeight="1" x14ac:dyDescent="0.2">
      <c r="A35" s="207">
        <v>22</v>
      </c>
      <c r="B35" s="214">
        <v>139328</v>
      </c>
      <c r="C35" s="205">
        <v>60</v>
      </c>
      <c r="D35" s="205">
        <v>250</v>
      </c>
      <c r="E35" s="205"/>
      <c r="F35" s="205">
        <v>100</v>
      </c>
      <c r="G35" s="205"/>
      <c r="H35" s="208"/>
      <c r="I35" s="205"/>
      <c r="J35" s="205"/>
      <c r="K35" s="205"/>
      <c r="L35" s="205"/>
      <c r="M35" s="208"/>
      <c r="N35" s="208"/>
      <c r="O35" s="208"/>
      <c r="P35" s="205"/>
      <c r="Q35" s="205"/>
      <c r="R35" s="208"/>
      <c r="S35" s="205"/>
      <c r="T35" s="205"/>
      <c r="U35" s="205"/>
      <c r="V35" s="208"/>
      <c r="W35" s="205"/>
      <c r="X35" s="205"/>
      <c r="Y35" s="205"/>
      <c r="Z35" s="205">
        <f>50</f>
        <v>50</v>
      </c>
      <c r="AA35" s="205">
        <f t="shared" si="12"/>
        <v>460</v>
      </c>
      <c r="AB35" s="226"/>
      <c r="AC35" s="203">
        <f t="shared" si="13"/>
        <v>460</v>
      </c>
    </row>
    <row r="36" spans="1:29" s="200" customFormat="1" ht="14.25" customHeight="1" x14ac:dyDescent="0.2">
      <c r="A36" s="207">
        <v>23</v>
      </c>
      <c r="B36" s="214">
        <v>187403</v>
      </c>
      <c r="C36" s="205"/>
      <c r="D36" s="205"/>
      <c r="E36" s="205"/>
      <c r="F36" s="205"/>
      <c r="G36" s="205"/>
      <c r="H36" s="208"/>
      <c r="I36" s="205"/>
      <c r="J36" s="205"/>
      <c r="K36" s="205"/>
      <c r="L36" s="205"/>
      <c r="M36" s="208"/>
      <c r="N36" s="208"/>
      <c r="O36" s="208"/>
      <c r="P36" s="205"/>
      <c r="Q36" s="205"/>
      <c r="R36" s="208"/>
      <c r="S36" s="205"/>
      <c r="T36" s="205"/>
      <c r="U36" s="205"/>
      <c r="V36" s="208"/>
      <c r="W36" s="205"/>
      <c r="X36" s="205"/>
      <c r="Y36" s="205"/>
      <c r="Z36" s="205"/>
      <c r="AA36" s="205">
        <f t="shared" si="12"/>
        <v>0</v>
      </c>
      <c r="AB36" s="226"/>
      <c r="AC36" s="203">
        <f t="shared" si="13"/>
        <v>0</v>
      </c>
    </row>
    <row r="37" spans="1:29" s="200" customFormat="1" ht="14.25" customHeight="1" x14ac:dyDescent="0.2">
      <c r="A37" s="207">
        <v>24</v>
      </c>
      <c r="B37" s="214">
        <v>237858</v>
      </c>
      <c r="C37" s="205"/>
      <c r="D37" s="205">
        <v>100</v>
      </c>
      <c r="E37" s="205"/>
      <c r="F37" s="205"/>
      <c r="G37" s="205"/>
      <c r="H37" s="208"/>
      <c r="I37" s="205"/>
      <c r="J37" s="205"/>
      <c r="K37" s="205"/>
      <c r="L37" s="205"/>
      <c r="M37" s="208"/>
      <c r="N37" s="208"/>
      <c r="O37" s="208"/>
      <c r="P37" s="205"/>
      <c r="Q37" s="205"/>
      <c r="R37" s="208"/>
      <c r="S37" s="205"/>
      <c r="T37" s="205"/>
      <c r="U37" s="205"/>
      <c r="V37" s="208"/>
      <c r="W37" s="205"/>
      <c r="X37" s="205"/>
      <c r="Y37" s="205"/>
      <c r="Z37" s="205"/>
      <c r="AA37" s="205">
        <f t="shared" si="12"/>
        <v>100</v>
      </c>
      <c r="AB37" s="226"/>
      <c r="AC37" s="203">
        <f t="shared" si="13"/>
        <v>100</v>
      </c>
    </row>
    <row r="38" spans="1:29" s="200" customFormat="1" ht="14.25" customHeight="1" x14ac:dyDescent="0.2">
      <c r="A38" s="207">
        <v>25</v>
      </c>
      <c r="B38" s="214">
        <v>288312</v>
      </c>
      <c r="C38" s="205"/>
      <c r="D38" s="205"/>
      <c r="E38" s="205"/>
      <c r="F38" s="205"/>
      <c r="G38" s="205"/>
      <c r="H38" s="208"/>
      <c r="I38" s="205"/>
      <c r="J38" s="205"/>
      <c r="K38" s="205"/>
      <c r="L38" s="205"/>
      <c r="M38" s="208"/>
      <c r="N38" s="208"/>
      <c r="O38" s="208"/>
      <c r="P38" s="205"/>
      <c r="Q38" s="205"/>
      <c r="R38" s="208"/>
      <c r="S38" s="205"/>
      <c r="T38" s="205"/>
      <c r="U38" s="205"/>
      <c r="V38" s="208"/>
      <c r="W38" s="205"/>
      <c r="X38" s="205"/>
      <c r="Y38" s="205"/>
      <c r="Z38" s="205"/>
      <c r="AA38" s="205">
        <f t="shared" si="12"/>
        <v>0</v>
      </c>
      <c r="AB38" s="226"/>
      <c r="AC38" s="203">
        <f t="shared" si="13"/>
        <v>0</v>
      </c>
    </row>
    <row r="39" spans="1:29" s="200" customFormat="1" ht="19.5" customHeight="1" x14ac:dyDescent="0.2">
      <c r="A39" s="343" t="s">
        <v>357</v>
      </c>
      <c r="B39" s="343"/>
      <c r="C39" s="223">
        <f t="shared" ref="C39:AC39" si="14">C40+C41</f>
        <v>117</v>
      </c>
      <c r="D39" s="223">
        <f t="shared" si="14"/>
        <v>0</v>
      </c>
      <c r="E39" s="223">
        <f t="shared" si="14"/>
        <v>0</v>
      </c>
      <c r="F39" s="223">
        <f t="shared" si="14"/>
        <v>50</v>
      </c>
      <c r="G39" s="223">
        <f t="shared" si="14"/>
        <v>0</v>
      </c>
      <c r="H39" s="223">
        <f t="shared" si="14"/>
        <v>0</v>
      </c>
      <c r="I39" s="223">
        <f t="shared" si="14"/>
        <v>0</v>
      </c>
      <c r="J39" s="223">
        <f t="shared" si="14"/>
        <v>10</v>
      </c>
      <c r="K39" s="223">
        <f t="shared" si="14"/>
        <v>65</v>
      </c>
      <c r="L39" s="223">
        <f t="shared" si="14"/>
        <v>0</v>
      </c>
      <c r="M39" s="223">
        <f t="shared" si="14"/>
        <v>0</v>
      </c>
      <c r="N39" s="223">
        <f t="shared" si="14"/>
        <v>0</v>
      </c>
      <c r="O39" s="223">
        <f t="shared" si="14"/>
        <v>100</v>
      </c>
      <c r="P39" s="223">
        <f t="shared" si="14"/>
        <v>0</v>
      </c>
      <c r="Q39" s="223">
        <f t="shared" si="14"/>
        <v>0</v>
      </c>
      <c r="R39" s="223">
        <f t="shared" si="14"/>
        <v>0</v>
      </c>
      <c r="S39" s="223">
        <f t="shared" si="14"/>
        <v>0</v>
      </c>
      <c r="T39" s="223">
        <f t="shared" si="14"/>
        <v>0</v>
      </c>
      <c r="U39" s="223">
        <f t="shared" si="14"/>
        <v>0</v>
      </c>
      <c r="V39" s="223">
        <f t="shared" si="14"/>
        <v>0</v>
      </c>
      <c r="W39" s="223">
        <f t="shared" si="14"/>
        <v>0</v>
      </c>
      <c r="X39" s="223">
        <f t="shared" si="14"/>
        <v>0</v>
      </c>
      <c r="Y39" s="223">
        <f t="shared" si="14"/>
        <v>0</v>
      </c>
      <c r="Z39" s="223">
        <f t="shared" si="14"/>
        <v>0</v>
      </c>
      <c r="AA39" s="223">
        <f t="shared" si="14"/>
        <v>342</v>
      </c>
      <c r="AB39" s="223">
        <f t="shared" si="14"/>
        <v>0</v>
      </c>
      <c r="AC39" s="223">
        <f t="shared" si="14"/>
        <v>342</v>
      </c>
    </row>
    <row r="40" spans="1:29" s="200" customFormat="1" ht="15" customHeight="1" x14ac:dyDescent="0.2">
      <c r="A40" s="207">
        <v>26</v>
      </c>
      <c r="B40" s="214">
        <v>117835</v>
      </c>
      <c r="C40" s="205">
        <v>92</v>
      </c>
      <c r="D40" s="205"/>
      <c r="E40" s="205"/>
      <c r="F40" s="205">
        <v>20</v>
      </c>
      <c r="G40" s="205"/>
      <c r="H40" s="205"/>
      <c r="I40" s="205"/>
      <c r="J40" s="205"/>
      <c r="K40" s="205">
        <v>25</v>
      </c>
      <c r="L40" s="205"/>
      <c r="M40" s="205"/>
      <c r="N40" s="205"/>
      <c r="O40" s="205">
        <v>55</v>
      </c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>
        <f>J40+L40+V40+R40+N40+O40+P40+Q40+K40+W40+S40+T40+X40+M40+Y40+H40+C40+I40+D40+E40+G40+F40+Z40+U40</f>
        <v>192</v>
      </c>
      <c r="AB40" s="226"/>
      <c r="AC40" s="203">
        <f>AA40+AB40</f>
        <v>192</v>
      </c>
    </row>
    <row r="41" spans="1:29" s="200" customFormat="1" ht="15" customHeight="1" x14ac:dyDescent="0.2">
      <c r="A41" s="207">
        <v>27</v>
      </c>
      <c r="B41" s="214">
        <v>70282</v>
      </c>
      <c r="C41" s="205">
        <v>25</v>
      </c>
      <c r="D41" s="205"/>
      <c r="E41" s="205"/>
      <c r="F41" s="205">
        <v>30</v>
      </c>
      <c r="G41" s="205"/>
      <c r="H41" s="205"/>
      <c r="I41" s="205"/>
      <c r="J41" s="205">
        <v>10</v>
      </c>
      <c r="K41" s="205">
        <v>40</v>
      </c>
      <c r="L41" s="205"/>
      <c r="M41" s="205"/>
      <c r="N41" s="205"/>
      <c r="O41" s="205">
        <v>45</v>
      </c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>
        <f>J41+L41+V41+R41+N41+O41+P41+Q41+K41+W41+S41+T41+X41+M41+Y41+H41+C41+I41+D41+E41+G41+F41+Z41+U41</f>
        <v>150</v>
      </c>
      <c r="AB41" s="226"/>
      <c r="AC41" s="203">
        <f>AA41+AB41</f>
        <v>150</v>
      </c>
    </row>
    <row r="42" spans="1:29" s="200" customFormat="1" ht="19.5" customHeight="1" x14ac:dyDescent="0.2">
      <c r="A42" s="343" t="s">
        <v>358</v>
      </c>
      <c r="B42" s="343"/>
      <c r="C42" s="223">
        <f t="shared" ref="C42:AC42" si="15">C43+C44</f>
        <v>0</v>
      </c>
      <c r="D42" s="223">
        <f t="shared" si="15"/>
        <v>0</v>
      </c>
      <c r="E42" s="223">
        <f t="shared" si="15"/>
        <v>0</v>
      </c>
      <c r="F42" s="223">
        <f t="shared" si="15"/>
        <v>60</v>
      </c>
      <c r="G42" s="223">
        <f t="shared" si="15"/>
        <v>0</v>
      </c>
      <c r="H42" s="223">
        <f t="shared" si="15"/>
        <v>0</v>
      </c>
      <c r="I42" s="223">
        <f t="shared" si="15"/>
        <v>0</v>
      </c>
      <c r="J42" s="223">
        <f t="shared" si="15"/>
        <v>0</v>
      </c>
      <c r="K42" s="223">
        <f t="shared" si="15"/>
        <v>0</v>
      </c>
      <c r="L42" s="223">
        <f t="shared" si="15"/>
        <v>200</v>
      </c>
      <c r="M42" s="223">
        <f t="shared" si="15"/>
        <v>2400</v>
      </c>
      <c r="N42" s="223">
        <f t="shared" si="15"/>
        <v>200</v>
      </c>
      <c r="O42" s="223">
        <f t="shared" si="15"/>
        <v>0</v>
      </c>
      <c r="P42" s="223">
        <f t="shared" si="15"/>
        <v>0</v>
      </c>
      <c r="Q42" s="223">
        <f t="shared" si="15"/>
        <v>0</v>
      </c>
      <c r="R42" s="223">
        <f t="shared" si="15"/>
        <v>0</v>
      </c>
      <c r="S42" s="223">
        <f t="shared" si="15"/>
        <v>0</v>
      </c>
      <c r="T42" s="223">
        <f t="shared" si="15"/>
        <v>0</v>
      </c>
      <c r="U42" s="223">
        <f t="shared" si="15"/>
        <v>0</v>
      </c>
      <c r="V42" s="223">
        <f t="shared" si="15"/>
        <v>0</v>
      </c>
      <c r="W42" s="223">
        <f t="shared" si="15"/>
        <v>0</v>
      </c>
      <c r="X42" s="223">
        <f t="shared" si="15"/>
        <v>0</v>
      </c>
      <c r="Y42" s="223">
        <f t="shared" si="15"/>
        <v>0</v>
      </c>
      <c r="Z42" s="223">
        <f t="shared" si="15"/>
        <v>0</v>
      </c>
      <c r="AA42" s="223">
        <f t="shared" si="15"/>
        <v>2860</v>
      </c>
      <c r="AB42" s="223">
        <f t="shared" si="15"/>
        <v>0</v>
      </c>
      <c r="AC42" s="223">
        <f t="shared" si="15"/>
        <v>2860</v>
      </c>
    </row>
    <row r="43" spans="1:29" s="200" customFormat="1" ht="14.25" customHeight="1" x14ac:dyDescent="0.2">
      <c r="A43" s="207">
        <v>28</v>
      </c>
      <c r="B43" s="214">
        <v>73817</v>
      </c>
      <c r="C43" s="205"/>
      <c r="D43" s="205"/>
      <c r="E43" s="205"/>
      <c r="F43" s="205">
        <v>60</v>
      </c>
      <c r="G43" s="205"/>
      <c r="H43" s="205"/>
      <c r="I43" s="205"/>
      <c r="J43" s="205"/>
      <c r="K43" s="205"/>
      <c r="L43" s="205">
        <v>190</v>
      </c>
      <c r="M43" s="205">
        <v>2380</v>
      </c>
      <c r="N43" s="205">
        <v>200</v>
      </c>
      <c r="O43" s="205"/>
      <c r="P43" s="205"/>
      <c r="Q43" s="205"/>
      <c r="R43" s="205"/>
      <c r="S43" s="205"/>
      <c r="T43" s="203"/>
      <c r="U43" s="203"/>
      <c r="V43" s="205"/>
      <c r="W43" s="205"/>
      <c r="X43" s="205"/>
      <c r="Y43" s="205"/>
      <c r="Z43" s="205"/>
      <c r="AA43" s="203">
        <f>J43+L43+V43+R43+N43+O43+P43+Q43+K43+W43+S43+T43+X43+M43+Y43+H43+C43+I43+D43+E43+G43+F43+Z43+U43</f>
        <v>2830</v>
      </c>
      <c r="AB43" s="226"/>
      <c r="AC43" s="203">
        <f>AA43+AB43</f>
        <v>2830</v>
      </c>
    </row>
    <row r="44" spans="1:29" s="200" customFormat="1" ht="14.25" customHeight="1" x14ac:dyDescent="0.2">
      <c r="A44" s="207">
        <v>29</v>
      </c>
      <c r="B44" s="214">
        <v>90954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>
        <v>10</v>
      </c>
      <c r="M44" s="205">
        <v>20</v>
      </c>
      <c r="N44" s="205"/>
      <c r="O44" s="205"/>
      <c r="P44" s="205"/>
      <c r="Q44" s="205"/>
      <c r="R44" s="205"/>
      <c r="S44" s="205"/>
      <c r="T44" s="203"/>
      <c r="U44" s="203"/>
      <c r="V44" s="205"/>
      <c r="W44" s="205"/>
      <c r="X44" s="205"/>
      <c r="Y44" s="205"/>
      <c r="Z44" s="205"/>
      <c r="AA44" s="203">
        <f>J44+L44+V44+R44+N44+O44+P44+Q44+K44+W44+S44+T44+X44+M44+Y44+H44+C44+I44+D44+E44+G44+F44+Z44+U44</f>
        <v>30</v>
      </c>
      <c r="AB44" s="226"/>
      <c r="AC44" s="203">
        <f>AA44+AB44</f>
        <v>30</v>
      </c>
    </row>
    <row r="45" spans="1:29" s="200" customFormat="1" ht="18.75" customHeight="1" x14ac:dyDescent="0.2">
      <c r="A45" s="341" t="s">
        <v>359</v>
      </c>
      <c r="B45" s="342"/>
      <c r="C45" s="223">
        <f t="shared" ref="C45:AC45" si="16">C46+C47+C48</f>
        <v>0</v>
      </c>
      <c r="D45" s="223">
        <f t="shared" si="16"/>
        <v>0</v>
      </c>
      <c r="E45" s="223">
        <f t="shared" si="16"/>
        <v>0</v>
      </c>
      <c r="F45" s="223">
        <f t="shared" si="16"/>
        <v>38</v>
      </c>
      <c r="G45" s="223">
        <f t="shared" si="16"/>
        <v>0</v>
      </c>
      <c r="H45" s="223">
        <f t="shared" si="16"/>
        <v>0</v>
      </c>
      <c r="I45" s="223">
        <f t="shared" si="16"/>
        <v>0</v>
      </c>
      <c r="J45" s="223">
        <f t="shared" si="16"/>
        <v>0</v>
      </c>
      <c r="K45" s="223">
        <f t="shared" si="16"/>
        <v>0</v>
      </c>
      <c r="L45" s="223">
        <f t="shared" si="16"/>
        <v>0</v>
      </c>
      <c r="M45" s="223">
        <f t="shared" si="16"/>
        <v>0</v>
      </c>
      <c r="N45" s="223">
        <f t="shared" si="16"/>
        <v>0</v>
      </c>
      <c r="O45" s="223">
        <f t="shared" si="16"/>
        <v>0</v>
      </c>
      <c r="P45" s="223">
        <f t="shared" si="16"/>
        <v>0</v>
      </c>
      <c r="Q45" s="223">
        <f t="shared" si="16"/>
        <v>0</v>
      </c>
      <c r="R45" s="223">
        <f t="shared" si="16"/>
        <v>0</v>
      </c>
      <c r="S45" s="223">
        <f t="shared" si="16"/>
        <v>0</v>
      </c>
      <c r="T45" s="223">
        <f t="shared" si="16"/>
        <v>0</v>
      </c>
      <c r="U45" s="223">
        <f t="shared" si="16"/>
        <v>0</v>
      </c>
      <c r="V45" s="223">
        <f t="shared" si="16"/>
        <v>0</v>
      </c>
      <c r="W45" s="223">
        <f t="shared" si="16"/>
        <v>0</v>
      </c>
      <c r="X45" s="223">
        <f t="shared" si="16"/>
        <v>0</v>
      </c>
      <c r="Y45" s="223">
        <f t="shared" si="16"/>
        <v>0</v>
      </c>
      <c r="Z45" s="223">
        <f t="shared" si="16"/>
        <v>0</v>
      </c>
      <c r="AA45" s="223">
        <f t="shared" si="16"/>
        <v>38</v>
      </c>
      <c r="AB45" s="223">
        <f t="shared" si="16"/>
        <v>0</v>
      </c>
      <c r="AC45" s="223">
        <f t="shared" si="16"/>
        <v>38</v>
      </c>
    </row>
    <row r="46" spans="1:29" s="200" customFormat="1" ht="15" customHeight="1" x14ac:dyDescent="0.2">
      <c r="A46" s="207">
        <v>30</v>
      </c>
      <c r="B46" s="214">
        <v>85552</v>
      </c>
      <c r="C46" s="203"/>
      <c r="D46" s="203"/>
      <c r="E46" s="203"/>
      <c r="F46" s="203">
        <f>5-4</f>
        <v>1</v>
      </c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5"/>
      <c r="U46" s="205"/>
      <c r="V46" s="205"/>
      <c r="W46" s="205"/>
      <c r="X46" s="203"/>
      <c r="Y46" s="203"/>
      <c r="Z46" s="203"/>
      <c r="AA46" s="203">
        <f>J46+L46+V46+R46+N46+O46+P46+Q46+K46+W46+S46+T46+X46+M46+Y46+H46+C46+I46+D46+E46+G46+F46+Z46+U46</f>
        <v>1</v>
      </c>
      <c r="AB46" s="226"/>
      <c r="AC46" s="203">
        <f>AA46+AB46</f>
        <v>1</v>
      </c>
    </row>
    <row r="47" spans="1:29" s="200" customFormat="1" ht="13.5" customHeight="1" x14ac:dyDescent="0.2">
      <c r="A47" s="207">
        <v>31</v>
      </c>
      <c r="B47" s="214">
        <v>176445</v>
      </c>
      <c r="C47" s="205"/>
      <c r="D47" s="205"/>
      <c r="E47" s="205"/>
      <c r="F47" s="205">
        <v>37</v>
      </c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3">
        <f>J47+L47+V47+R47+N47+O47+P47+Q47+K47+W47+S47+T47+X47+M47+Y47+H47+C47+I47+D47+E47+G47+F47+Z47+U47</f>
        <v>37</v>
      </c>
      <c r="AB47" s="226"/>
      <c r="AC47" s="203">
        <f>AA47+AB47</f>
        <v>37</v>
      </c>
    </row>
    <row r="48" spans="1:29" s="200" customFormat="1" ht="15" customHeight="1" x14ac:dyDescent="0.2">
      <c r="A48" s="202">
        <v>32</v>
      </c>
      <c r="B48" s="225">
        <v>101946</v>
      </c>
      <c r="C48" s="210"/>
      <c r="D48" s="210"/>
      <c r="E48" s="210"/>
      <c r="F48" s="210"/>
      <c r="G48" s="210"/>
      <c r="H48" s="212"/>
      <c r="I48" s="210"/>
      <c r="J48" s="210"/>
      <c r="K48" s="210"/>
      <c r="L48" s="212"/>
      <c r="M48" s="212"/>
      <c r="N48" s="212"/>
      <c r="O48" s="212"/>
      <c r="P48" s="210"/>
      <c r="Q48" s="210"/>
      <c r="R48" s="212"/>
      <c r="S48" s="210"/>
      <c r="T48" s="205"/>
      <c r="U48" s="205"/>
      <c r="V48" s="208"/>
      <c r="W48" s="205"/>
      <c r="X48" s="210"/>
      <c r="Y48" s="210"/>
      <c r="Z48" s="210"/>
      <c r="AA48" s="203">
        <f>J48+L48+V48+R48+N48+O48+P48+Q48+K48+W48+S48+T48+X48+M48+Y48+H48+C48+I48+D48+E48+G48+F48+Z48+U48</f>
        <v>0</v>
      </c>
      <c r="AB48" s="226"/>
      <c r="AC48" s="203">
        <f>AA48+AB48</f>
        <v>0</v>
      </c>
    </row>
    <row r="49" spans="1:29" s="200" customFormat="1" ht="17.25" customHeight="1" x14ac:dyDescent="0.2">
      <c r="A49" s="341" t="s">
        <v>360</v>
      </c>
      <c r="B49" s="342"/>
      <c r="C49" s="223">
        <f t="shared" ref="C49:AC49" si="17">C50</f>
        <v>166</v>
      </c>
      <c r="D49" s="223">
        <f t="shared" si="17"/>
        <v>0</v>
      </c>
      <c r="E49" s="223">
        <f t="shared" si="17"/>
        <v>0</v>
      </c>
      <c r="F49" s="223">
        <f t="shared" si="17"/>
        <v>0</v>
      </c>
      <c r="G49" s="223">
        <f t="shared" si="17"/>
        <v>0</v>
      </c>
      <c r="H49" s="223">
        <f t="shared" si="17"/>
        <v>0</v>
      </c>
      <c r="I49" s="223">
        <f t="shared" si="17"/>
        <v>0</v>
      </c>
      <c r="J49" s="223">
        <f t="shared" si="17"/>
        <v>0</v>
      </c>
      <c r="K49" s="223">
        <f t="shared" si="17"/>
        <v>0</v>
      </c>
      <c r="L49" s="223">
        <f t="shared" si="17"/>
        <v>0</v>
      </c>
      <c r="M49" s="223">
        <f t="shared" si="17"/>
        <v>0</v>
      </c>
      <c r="N49" s="223">
        <f t="shared" si="17"/>
        <v>0</v>
      </c>
      <c r="O49" s="223">
        <f t="shared" si="17"/>
        <v>134</v>
      </c>
      <c r="P49" s="223">
        <f t="shared" si="17"/>
        <v>0</v>
      </c>
      <c r="Q49" s="223">
        <f t="shared" si="17"/>
        <v>0</v>
      </c>
      <c r="R49" s="223">
        <f t="shared" si="17"/>
        <v>0</v>
      </c>
      <c r="S49" s="223">
        <f t="shared" si="17"/>
        <v>0</v>
      </c>
      <c r="T49" s="223">
        <f t="shared" si="17"/>
        <v>0</v>
      </c>
      <c r="U49" s="223">
        <f t="shared" si="17"/>
        <v>0</v>
      </c>
      <c r="V49" s="223">
        <f t="shared" si="17"/>
        <v>0</v>
      </c>
      <c r="W49" s="223">
        <f t="shared" si="17"/>
        <v>60</v>
      </c>
      <c r="X49" s="223">
        <f t="shared" si="17"/>
        <v>0</v>
      </c>
      <c r="Y49" s="223">
        <f t="shared" si="17"/>
        <v>0</v>
      </c>
      <c r="Z49" s="223">
        <f t="shared" si="17"/>
        <v>54</v>
      </c>
      <c r="AA49" s="223">
        <f t="shared" si="17"/>
        <v>414</v>
      </c>
      <c r="AB49" s="223">
        <f t="shared" si="17"/>
        <v>0</v>
      </c>
      <c r="AC49" s="223">
        <f t="shared" si="17"/>
        <v>414</v>
      </c>
    </row>
    <row r="50" spans="1:29" s="200" customFormat="1" ht="14.25" customHeight="1" x14ac:dyDescent="0.2">
      <c r="A50" s="215">
        <v>33</v>
      </c>
      <c r="B50" s="228">
        <v>136459</v>
      </c>
      <c r="C50" s="203">
        <f>200-34</f>
        <v>166</v>
      </c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>
        <f>100+34</f>
        <v>134</v>
      </c>
      <c r="P50" s="203"/>
      <c r="Q50" s="203"/>
      <c r="R50" s="203"/>
      <c r="S50" s="203"/>
      <c r="T50" s="205"/>
      <c r="U50" s="205"/>
      <c r="V50" s="205"/>
      <c r="W50" s="205">
        <v>60</v>
      </c>
      <c r="X50" s="203"/>
      <c r="Y50" s="203"/>
      <c r="Z50" s="203">
        <f>40+14</f>
        <v>54</v>
      </c>
      <c r="AA50" s="203">
        <f>J50+L50+V50+R50+N50+O50+P50+Q50+K50+W50+S50+T50+X50+M50+Y50+H50+C50+I50+D50+E50+G50+F50+Z50+U50</f>
        <v>414</v>
      </c>
      <c r="AB50" s="226"/>
      <c r="AC50" s="203">
        <f>AA50+AB50</f>
        <v>414</v>
      </c>
    </row>
    <row r="51" spans="1:29" s="200" customFormat="1" ht="26.25" customHeight="1" x14ac:dyDescent="0.2">
      <c r="A51" s="341" t="s">
        <v>361</v>
      </c>
      <c r="B51" s="342"/>
      <c r="C51" s="223">
        <f t="shared" ref="C51:J51" si="18">SUM(C52:C62)</f>
        <v>323</v>
      </c>
      <c r="D51" s="223">
        <f t="shared" si="18"/>
        <v>0</v>
      </c>
      <c r="E51" s="223">
        <f t="shared" si="18"/>
        <v>3435</v>
      </c>
      <c r="F51" s="223">
        <f t="shared" si="18"/>
        <v>0</v>
      </c>
      <c r="G51" s="223">
        <f t="shared" si="18"/>
        <v>0</v>
      </c>
      <c r="H51" s="223">
        <f t="shared" si="18"/>
        <v>0</v>
      </c>
      <c r="I51" s="223">
        <f t="shared" si="18"/>
        <v>0</v>
      </c>
      <c r="J51" s="223">
        <f t="shared" si="18"/>
        <v>764</v>
      </c>
      <c r="K51" s="223">
        <f t="shared" ref="K51:AC51" si="19">SUM(K52:K62)</f>
        <v>575</v>
      </c>
      <c r="L51" s="223">
        <f t="shared" si="19"/>
        <v>0</v>
      </c>
      <c r="M51" s="223">
        <f t="shared" si="19"/>
        <v>0</v>
      </c>
      <c r="N51" s="223">
        <f t="shared" si="19"/>
        <v>0</v>
      </c>
      <c r="O51" s="223">
        <f t="shared" si="19"/>
        <v>0</v>
      </c>
      <c r="P51" s="223">
        <f t="shared" si="19"/>
        <v>0</v>
      </c>
      <c r="Q51" s="223">
        <f t="shared" si="19"/>
        <v>228</v>
      </c>
      <c r="R51" s="223">
        <f t="shared" si="19"/>
        <v>0</v>
      </c>
      <c r="S51" s="223">
        <f t="shared" si="19"/>
        <v>213</v>
      </c>
      <c r="T51" s="223">
        <f t="shared" si="19"/>
        <v>0</v>
      </c>
      <c r="U51" s="223">
        <f t="shared" si="19"/>
        <v>162</v>
      </c>
      <c r="V51" s="223">
        <f t="shared" si="19"/>
        <v>0</v>
      </c>
      <c r="W51" s="223">
        <f t="shared" si="19"/>
        <v>313</v>
      </c>
      <c r="X51" s="223">
        <f t="shared" si="19"/>
        <v>257</v>
      </c>
      <c r="Y51" s="223">
        <f t="shared" si="19"/>
        <v>0</v>
      </c>
      <c r="Z51" s="223">
        <f t="shared" si="19"/>
        <v>596</v>
      </c>
      <c r="AA51" s="223">
        <f t="shared" si="19"/>
        <v>6866</v>
      </c>
      <c r="AB51" s="223">
        <f t="shared" si="19"/>
        <v>50</v>
      </c>
      <c r="AC51" s="223">
        <f t="shared" si="19"/>
        <v>6916</v>
      </c>
    </row>
    <row r="52" spans="1:29" s="200" customFormat="1" ht="14.25" customHeight="1" x14ac:dyDescent="0.2">
      <c r="A52" s="207">
        <v>34</v>
      </c>
      <c r="B52" s="214">
        <v>176179</v>
      </c>
      <c r="C52" s="216">
        <v>41</v>
      </c>
      <c r="D52" s="216"/>
      <c r="E52" s="216">
        <f>339</f>
        <v>339</v>
      </c>
      <c r="F52" s="216"/>
      <c r="G52" s="216"/>
      <c r="H52" s="217"/>
      <c r="I52" s="216"/>
      <c r="J52" s="216">
        <v>253</v>
      </c>
      <c r="K52" s="216">
        <v>254</v>
      </c>
      <c r="L52" s="217"/>
      <c r="M52" s="217"/>
      <c r="N52" s="217"/>
      <c r="O52" s="217"/>
      <c r="P52" s="216"/>
      <c r="Q52" s="216"/>
      <c r="R52" s="217"/>
      <c r="S52" s="216">
        <f>85-47</f>
        <v>38</v>
      </c>
      <c r="T52" s="205"/>
      <c r="U52" s="205">
        <f>20+20</f>
        <v>40</v>
      </c>
      <c r="V52" s="208"/>
      <c r="W52" s="205">
        <f>233-12-14</f>
        <v>207</v>
      </c>
      <c r="X52" s="216">
        <f>80+12+3+14</f>
        <v>109</v>
      </c>
      <c r="Y52" s="216"/>
      <c r="Z52" s="216">
        <f>105-1</f>
        <v>104</v>
      </c>
      <c r="AA52" s="203">
        <f t="shared" ref="AA52:AA62" si="20">J52+L52+V52+R52+N52+O52+P52+Q52+K52+W52+S52+T52+X52+M52+Y52+H52+C52+I52+D52+E52+G52+F52+Z52+U52</f>
        <v>1385</v>
      </c>
      <c r="AB52" s="229">
        <v>10</v>
      </c>
      <c r="AC52" s="203">
        <f t="shared" ref="AC52:AC62" si="21">AA52+AB52</f>
        <v>1395</v>
      </c>
    </row>
    <row r="53" spans="1:29" s="200" customFormat="1" ht="14.25" customHeight="1" x14ac:dyDescent="0.2">
      <c r="A53" s="207">
        <v>35</v>
      </c>
      <c r="B53" s="214">
        <v>242246</v>
      </c>
      <c r="C53" s="205">
        <v>50</v>
      </c>
      <c r="D53" s="205"/>
      <c r="E53" s="205">
        <f>139</f>
        <v>139</v>
      </c>
      <c r="F53" s="205"/>
      <c r="G53" s="205"/>
      <c r="H53" s="205"/>
      <c r="I53" s="205"/>
      <c r="J53" s="205">
        <v>80</v>
      </c>
      <c r="K53" s="205">
        <v>78</v>
      </c>
      <c r="L53" s="205"/>
      <c r="M53" s="205"/>
      <c r="N53" s="205"/>
      <c r="O53" s="205"/>
      <c r="P53" s="205"/>
      <c r="Q53" s="205"/>
      <c r="R53" s="205"/>
      <c r="S53" s="205">
        <f>95-62</f>
        <v>33</v>
      </c>
      <c r="T53" s="205"/>
      <c r="U53" s="205">
        <f>10+10</f>
        <v>20</v>
      </c>
      <c r="V53" s="205"/>
      <c r="W53" s="205">
        <f>25-5-6</f>
        <v>14</v>
      </c>
      <c r="X53" s="205">
        <f>47+5+1</f>
        <v>53</v>
      </c>
      <c r="Y53" s="205"/>
      <c r="Z53" s="205">
        <v>38</v>
      </c>
      <c r="AA53" s="203">
        <f t="shared" si="20"/>
        <v>505</v>
      </c>
      <c r="AB53" s="229">
        <v>15</v>
      </c>
      <c r="AC53" s="203">
        <f t="shared" si="21"/>
        <v>520</v>
      </c>
    </row>
    <row r="54" spans="1:29" s="200" customFormat="1" ht="14.25" customHeight="1" x14ac:dyDescent="0.2">
      <c r="A54" s="207">
        <v>36</v>
      </c>
      <c r="B54" s="214">
        <v>308314</v>
      </c>
      <c r="C54" s="205">
        <v>11</v>
      </c>
      <c r="D54" s="205"/>
      <c r="E54" s="205">
        <f>39+15</f>
        <v>54</v>
      </c>
      <c r="F54" s="205"/>
      <c r="G54" s="205"/>
      <c r="H54" s="208"/>
      <c r="I54" s="205"/>
      <c r="J54" s="205">
        <v>18</v>
      </c>
      <c r="K54" s="205">
        <v>9</v>
      </c>
      <c r="L54" s="208"/>
      <c r="M54" s="208"/>
      <c r="N54" s="208"/>
      <c r="O54" s="208"/>
      <c r="P54" s="205"/>
      <c r="Q54" s="205">
        <v>87</v>
      </c>
      <c r="R54" s="208"/>
      <c r="S54" s="205">
        <f>33-13</f>
        <v>20</v>
      </c>
      <c r="T54" s="203"/>
      <c r="U54" s="203">
        <f>3</f>
        <v>3</v>
      </c>
      <c r="V54" s="208"/>
      <c r="W54" s="205">
        <f>2-1</f>
        <v>1</v>
      </c>
      <c r="X54" s="205">
        <f>22+4</f>
        <v>26</v>
      </c>
      <c r="Y54" s="205"/>
      <c r="Z54" s="205">
        <v>10</v>
      </c>
      <c r="AA54" s="203">
        <f t="shared" si="20"/>
        <v>239</v>
      </c>
      <c r="AB54" s="229"/>
      <c r="AC54" s="203">
        <f t="shared" si="21"/>
        <v>239</v>
      </c>
    </row>
    <row r="55" spans="1:29" s="200" customFormat="1" ht="14.25" customHeight="1" x14ac:dyDescent="0.2">
      <c r="A55" s="207">
        <v>37</v>
      </c>
      <c r="B55" s="214">
        <v>157415</v>
      </c>
      <c r="C55" s="205">
        <v>118</v>
      </c>
      <c r="D55" s="205"/>
      <c r="E55" s="205">
        <f>680-65</f>
        <v>615</v>
      </c>
      <c r="F55" s="205"/>
      <c r="G55" s="205"/>
      <c r="H55" s="208"/>
      <c r="I55" s="205"/>
      <c r="J55" s="205">
        <f>279-5</f>
        <v>274</v>
      </c>
      <c r="K55" s="205">
        <v>192</v>
      </c>
      <c r="L55" s="208"/>
      <c r="M55" s="208"/>
      <c r="N55" s="208"/>
      <c r="O55" s="208"/>
      <c r="P55" s="205"/>
      <c r="Q55" s="205"/>
      <c r="R55" s="208"/>
      <c r="S55" s="205">
        <f>0+47-1</f>
        <v>46</v>
      </c>
      <c r="T55" s="203"/>
      <c r="U55" s="203">
        <f>70</f>
        <v>70</v>
      </c>
      <c r="V55" s="208"/>
      <c r="W55" s="205">
        <f>95-3-8</f>
        <v>84</v>
      </c>
      <c r="X55" s="205">
        <f>20+3+8</f>
        <v>31</v>
      </c>
      <c r="Y55" s="205"/>
      <c r="Z55" s="205">
        <v>239</v>
      </c>
      <c r="AA55" s="203">
        <f t="shared" si="20"/>
        <v>1669</v>
      </c>
      <c r="AB55" s="229">
        <v>10</v>
      </c>
      <c r="AC55" s="203">
        <f t="shared" si="21"/>
        <v>1679</v>
      </c>
    </row>
    <row r="56" spans="1:29" s="200" customFormat="1" ht="14.25" customHeight="1" x14ac:dyDescent="0.2">
      <c r="A56" s="207">
        <v>38</v>
      </c>
      <c r="B56" s="214">
        <v>216447</v>
      </c>
      <c r="C56" s="205">
        <v>72</v>
      </c>
      <c r="D56" s="205"/>
      <c r="E56" s="205">
        <f>239</f>
        <v>239</v>
      </c>
      <c r="F56" s="205"/>
      <c r="G56" s="205"/>
      <c r="H56" s="205"/>
      <c r="I56" s="205"/>
      <c r="J56" s="205">
        <v>74</v>
      </c>
      <c r="K56" s="205">
        <v>36</v>
      </c>
      <c r="L56" s="205"/>
      <c r="M56" s="205"/>
      <c r="N56" s="205"/>
      <c r="O56" s="205"/>
      <c r="P56" s="205"/>
      <c r="Q56" s="205"/>
      <c r="R56" s="205"/>
      <c r="S56" s="205">
        <f>0+62</f>
        <v>62</v>
      </c>
      <c r="T56" s="203"/>
      <c r="U56" s="203">
        <f>20</f>
        <v>20</v>
      </c>
      <c r="V56" s="205"/>
      <c r="W56" s="205">
        <f>10-3</f>
        <v>7</v>
      </c>
      <c r="X56" s="205">
        <f>23+5</f>
        <v>28</v>
      </c>
      <c r="Y56" s="205"/>
      <c r="Z56" s="205">
        <v>48</v>
      </c>
      <c r="AA56" s="203">
        <f t="shared" si="20"/>
        <v>586</v>
      </c>
      <c r="AB56" s="229">
        <v>15</v>
      </c>
      <c r="AC56" s="203">
        <f t="shared" si="21"/>
        <v>601</v>
      </c>
    </row>
    <row r="57" spans="1:29" s="200" customFormat="1" ht="14.25" customHeight="1" x14ac:dyDescent="0.2">
      <c r="A57" s="207">
        <v>39</v>
      </c>
      <c r="B57" s="214">
        <v>275478</v>
      </c>
      <c r="C57" s="205">
        <v>31</v>
      </c>
      <c r="D57" s="205"/>
      <c r="E57" s="205">
        <f>74</f>
        <v>74</v>
      </c>
      <c r="F57" s="205"/>
      <c r="G57" s="205"/>
      <c r="H57" s="205"/>
      <c r="I57" s="205"/>
      <c r="J57" s="205">
        <f>40-5</f>
        <v>35</v>
      </c>
      <c r="K57" s="205">
        <v>6</v>
      </c>
      <c r="L57" s="205"/>
      <c r="M57" s="205"/>
      <c r="N57" s="205"/>
      <c r="O57" s="205"/>
      <c r="P57" s="205"/>
      <c r="Q57" s="205">
        <f>113-2</f>
        <v>111</v>
      </c>
      <c r="R57" s="205"/>
      <c r="S57" s="205">
        <f>0+13</f>
        <v>13</v>
      </c>
      <c r="T57" s="203"/>
      <c r="U57" s="203">
        <f>10-1</f>
        <v>9</v>
      </c>
      <c r="V57" s="205"/>
      <c r="W57" s="205"/>
      <c r="X57" s="205">
        <f>10</f>
        <v>10</v>
      </c>
      <c r="Y57" s="205"/>
      <c r="Z57" s="205">
        <f>10</f>
        <v>10</v>
      </c>
      <c r="AA57" s="203">
        <f t="shared" si="20"/>
        <v>299</v>
      </c>
      <c r="AB57" s="229"/>
      <c r="AC57" s="203">
        <f t="shared" si="21"/>
        <v>299</v>
      </c>
    </row>
    <row r="58" spans="1:29" s="200" customFormat="1" ht="14.25" customHeight="1" x14ac:dyDescent="0.2">
      <c r="A58" s="207">
        <v>40</v>
      </c>
      <c r="B58" s="214">
        <v>261888</v>
      </c>
      <c r="C58" s="205"/>
      <c r="D58" s="205"/>
      <c r="E58" s="205">
        <f>391+180</f>
        <v>571</v>
      </c>
      <c r="F58" s="205"/>
      <c r="G58" s="205"/>
      <c r="H58" s="208"/>
      <c r="I58" s="205"/>
      <c r="J58" s="205">
        <f>20+10</f>
        <v>30</v>
      </c>
      <c r="K58" s="205"/>
      <c r="L58" s="208"/>
      <c r="M58" s="208"/>
      <c r="N58" s="208"/>
      <c r="O58" s="208"/>
      <c r="P58" s="205"/>
      <c r="Q58" s="205"/>
      <c r="R58" s="208"/>
      <c r="S58" s="205"/>
      <c r="T58" s="203"/>
      <c r="U58" s="203"/>
      <c r="V58" s="208"/>
      <c r="W58" s="205"/>
      <c r="X58" s="205"/>
      <c r="Y58" s="205"/>
      <c r="Z58" s="205"/>
      <c r="AA58" s="203">
        <f t="shared" si="20"/>
        <v>601</v>
      </c>
      <c r="AB58" s="226"/>
      <c r="AC58" s="203">
        <f t="shared" si="21"/>
        <v>601</v>
      </c>
    </row>
    <row r="59" spans="1:29" s="200" customFormat="1" ht="14.25" customHeight="1" x14ac:dyDescent="0.2">
      <c r="A59" s="207">
        <v>41</v>
      </c>
      <c r="B59" s="214">
        <v>145264</v>
      </c>
      <c r="C59" s="205"/>
      <c r="D59" s="205"/>
      <c r="E59" s="205">
        <f>300</f>
        <v>300</v>
      </c>
      <c r="F59" s="205"/>
      <c r="G59" s="205"/>
      <c r="H59" s="208"/>
      <c r="I59" s="205"/>
      <c r="J59" s="205"/>
      <c r="K59" s="205"/>
      <c r="L59" s="208"/>
      <c r="M59" s="208"/>
      <c r="N59" s="208"/>
      <c r="O59" s="208"/>
      <c r="P59" s="205"/>
      <c r="Q59" s="205">
        <v>20</v>
      </c>
      <c r="R59" s="208"/>
      <c r="S59" s="205">
        <f>0+1</f>
        <v>1</v>
      </c>
      <c r="T59" s="203"/>
      <c r="U59" s="203"/>
      <c r="V59" s="208"/>
      <c r="W59" s="205"/>
      <c r="X59" s="205"/>
      <c r="Y59" s="205"/>
      <c r="Z59" s="205">
        <v>7</v>
      </c>
      <c r="AA59" s="203">
        <f t="shared" si="20"/>
        <v>328</v>
      </c>
      <c r="AB59" s="226"/>
      <c r="AC59" s="203">
        <f t="shared" si="21"/>
        <v>328</v>
      </c>
    </row>
    <row r="60" spans="1:29" s="200" customFormat="1" ht="14.25" customHeight="1" x14ac:dyDescent="0.2">
      <c r="A60" s="207">
        <v>42</v>
      </c>
      <c r="B60" s="214">
        <v>267275</v>
      </c>
      <c r="C60" s="205"/>
      <c r="D60" s="205"/>
      <c r="E60" s="205">
        <v>2</v>
      </c>
      <c r="F60" s="205"/>
      <c r="G60" s="205"/>
      <c r="H60" s="208"/>
      <c r="I60" s="205"/>
      <c r="J60" s="205"/>
      <c r="K60" s="205"/>
      <c r="L60" s="208"/>
      <c r="M60" s="208"/>
      <c r="N60" s="208"/>
      <c r="O60" s="208"/>
      <c r="P60" s="205"/>
      <c r="Q60" s="205"/>
      <c r="R60" s="208"/>
      <c r="S60" s="205"/>
      <c r="T60" s="203"/>
      <c r="U60" s="203"/>
      <c r="V60" s="208"/>
      <c r="W60" s="205"/>
      <c r="X60" s="205"/>
      <c r="Y60" s="205"/>
      <c r="Z60" s="205"/>
      <c r="AA60" s="203">
        <f t="shared" si="20"/>
        <v>2</v>
      </c>
      <c r="AB60" s="226"/>
      <c r="AC60" s="203">
        <f t="shared" si="21"/>
        <v>2</v>
      </c>
    </row>
    <row r="61" spans="1:29" s="200" customFormat="1" ht="14.25" customHeight="1" x14ac:dyDescent="0.2">
      <c r="A61" s="207">
        <v>43</v>
      </c>
      <c r="B61" s="214">
        <v>242490</v>
      </c>
      <c r="C61" s="205"/>
      <c r="D61" s="205"/>
      <c r="E61" s="205">
        <f>810-130</f>
        <v>680</v>
      </c>
      <c r="F61" s="205"/>
      <c r="G61" s="205"/>
      <c r="H61" s="208"/>
      <c r="I61" s="205"/>
      <c r="J61" s="205"/>
      <c r="K61" s="205"/>
      <c r="L61" s="208"/>
      <c r="M61" s="208"/>
      <c r="N61" s="208"/>
      <c r="O61" s="208"/>
      <c r="P61" s="205"/>
      <c r="Q61" s="205">
        <v>10</v>
      </c>
      <c r="R61" s="208"/>
      <c r="S61" s="205"/>
      <c r="T61" s="203"/>
      <c r="U61" s="203"/>
      <c r="V61" s="208"/>
      <c r="W61" s="205"/>
      <c r="X61" s="205"/>
      <c r="Y61" s="205"/>
      <c r="Z61" s="205">
        <v>7</v>
      </c>
      <c r="AA61" s="203">
        <f t="shared" si="20"/>
        <v>697</v>
      </c>
      <c r="AB61" s="226"/>
      <c r="AC61" s="203">
        <f t="shared" si="21"/>
        <v>697</v>
      </c>
    </row>
    <row r="62" spans="1:29" s="200" customFormat="1" ht="14.25" customHeight="1" x14ac:dyDescent="0.2">
      <c r="A62" s="207">
        <v>44</v>
      </c>
      <c r="B62" s="214">
        <v>367819</v>
      </c>
      <c r="C62" s="203"/>
      <c r="D62" s="203"/>
      <c r="E62" s="203">
        <v>422</v>
      </c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>
        <f>86+24+23</f>
        <v>133</v>
      </c>
      <c r="AA62" s="203">
        <f t="shared" si="20"/>
        <v>555</v>
      </c>
      <c r="AB62" s="226"/>
      <c r="AC62" s="203">
        <f t="shared" si="21"/>
        <v>555</v>
      </c>
    </row>
    <row r="63" spans="1:29" s="200" customFormat="1" ht="19.5" customHeight="1" x14ac:dyDescent="0.2">
      <c r="A63" s="341" t="s">
        <v>362</v>
      </c>
      <c r="B63" s="342"/>
      <c r="C63" s="223">
        <f t="shared" ref="C63:AC63" si="22">C64+C65</f>
        <v>20</v>
      </c>
      <c r="D63" s="223">
        <f t="shared" si="22"/>
        <v>0</v>
      </c>
      <c r="E63" s="223">
        <f t="shared" si="22"/>
        <v>0</v>
      </c>
      <c r="F63" s="223">
        <f t="shared" si="22"/>
        <v>0</v>
      </c>
      <c r="G63" s="223">
        <f t="shared" si="22"/>
        <v>0</v>
      </c>
      <c r="H63" s="223">
        <f t="shared" si="22"/>
        <v>0</v>
      </c>
      <c r="I63" s="223">
        <f t="shared" si="22"/>
        <v>0</v>
      </c>
      <c r="J63" s="223">
        <f t="shared" si="22"/>
        <v>0</v>
      </c>
      <c r="K63" s="223">
        <f t="shared" si="22"/>
        <v>0</v>
      </c>
      <c r="L63" s="223">
        <f t="shared" si="22"/>
        <v>0</v>
      </c>
      <c r="M63" s="223">
        <f t="shared" si="22"/>
        <v>0</v>
      </c>
      <c r="N63" s="223">
        <f t="shared" si="22"/>
        <v>0</v>
      </c>
      <c r="O63" s="223">
        <f t="shared" si="22"/>
        <v>0</v>
      </c>
      <c r="P63" s="223">
        <f t="shared" si="22"/>
        <v>0</v>
      </c>
      <c r="Q63" s="223">
        <f t="shared" si="22"/>
        <v>0</v>
      </c>
      <c r="R63" s="223">
        <f t="shared" si="22"/>
        <v>0</v>
      </c>
      <c r="S63" s="223">
        <f t="shared" si="22"/>
        <v>0</v>
      </c>
      <c r="T63" s="223">
        <f t="shared" si="22"/>
        <v>0</v>
      </c>
      <c r="U63" s="223">
        <f t="shared" si="22"/>
        <v>0</v>
      </c>
      <c r="V63" s="223">
        <f t="shared" si="22"/>
        <v>0</v>
      </c>
      <c r="W63" s="223">
        <f t="shared" si="22"/>
        <v>0</v>
      </c>
      <c r="X63" s="223">
        <f t="shared" si="22"/>
        <v>0</v>
      </c>
      <c r="Y63" s="223">
        <f t="shared" si="22"/>
        <v>0</v>
      </c>
      <c r="Z63" s="223">
        <f t="shared" si="22"/>
        <v>60</v>
      </c>
      <c r="AA63" s="223">
        <f t="shared" si="22"/>
        <v>80</v>
      </c>
      <c r="AB63" s="223">
        <f t="shared" si="22"/>
        <v>0</v>
      </c>
      <c r="AC63" s="223">
        <f t="shared" si="22"/>
        <v>80</v>
      </c>
    </row>
    <row r="64" spans="1:29" s="200" customFormat="1" ht="15.75" customHeight="1" x14ac:dyDescent="0.2">
      <c r="A64" s="207">
        <v>45</v>
      </c>
      <c r="B64" s="214">
        <v>147390</v>
      </c>
      <c r="C64" s="205">
        <v>10</v>
      </c>
      <c r="D64" s="205"/>
      <c r="E64" s="205"/>
      <c r="F64" s="205"/>
      <c r="G64" s="205"/>
      <c r="H64" s="208"/>
      <c r="I64" s="205"/>
      <c r="J64" s="205"/>
      <c r="K64" s="205"/>
      <c r="L64" s="208"/>
      <c r="M64" s="208"/>
      <c r="N64" s="208"/>
      <c r="O64" s="208"/>
      <c r="P64" s="205"/>
      <c r="Q64" s="205"/>
      <c r="R64" s="208"/>
      <c r="S64" s="205"/>
      <c r="T64" s="203"/>
      <c r="U64" s="203"/>
      <c r="V64" s="208"/>
      <c r="W64" s="205"/>
      <c r="X64" s="205"/>
      <c r="Y64" s="205"/>
      <c r="Z64" s="205">
        <v>60</v>
      </c>
      <c r="AA64" s="203">
        <f>J64+L64+V64+R64+N64+O64+P64+Q64+K64+W64+S64+T64+X64+M64+Y64+H64+C64+I64+D64+E64+G64+F64+Z64+U64</f>
        <v>70</v>
      </c>
      <c r="AB64" s="226"/>
      <c r="AC64" s="203">
        <f>AA64+AB64</f>
        <v>70</v>
      </c>
    </row>
    <row r="65" spans="1:29" s="200" customFormat="1" ht="14.25" customHeight="1" x14ac:dyDescent="0.2">
      <c r="A65" s="207">
        <v>46</v>
      </c>
      <c r="B65" s="214">
        <v>257460</v>
      </c>
      <c r="C65" s="203">
        <v>10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>
        <f>J65+L65+V65+R65+N65+O65+P65+Q65+K65+W65+S65+T65+X65+M65+Y65+H65+C65+I65+D65+E65+G65+F65+Z65+U65</f>
        <v>10</v>
      </c>
      <c r="AB65" s="226"/>
      <c r="AC65" s="203">
        <f>AA65+AB65</f>
        <v>10</v>
      </c>
    </row>
    <row r="66" spans="1:29" s="200" customFormat="1" ht="24" customHeight="1" x14ac:dyDescent="0.2">
      <c r="A66" s="341" t="s">
        <v>363</v>
      </c>
      <c r="B66" s="342"/>
      <c r="C66" s="223">
        <f t="shared" ref="C66:AC66" si="23">SUM(C67:C72)</f>
        <v>355</v>
      </c>
      <c r="D66" s="223">
        <f t="shared" si="23"/>
        <v>0</v>
      </c>
      <c r="E66" s="223">
        <f t="shared" si="23"/>
        <v>0</v>
      </c>
      <c r="F66" s="223">
        <f t="shared" si="23"/>
        <v>58</v>
      </c>
      <c r="G66" s="223">
        <f t="shared" si="23"/>
        <v>0</v>
      </c>
      <c r="H66" s="223">
        <f t="shared" si="23"/>
        <v>0</v>
      </c>
      <c r="I66" s="223">
        <f t="shared" si="23"/>
        <v>210</v>
      </c>
      <c r="J66" s="223">
        <f t="shared" si="23"/>
        <v>200</v>
      </c>
      <c r="K66" s="223">
        <f t="shared" si="23"/>
        <v>200</v>
      </c>
      <c r="L66" s="223">
        <f t="shared" si="23"/>
        <v>0</v>
      </c>
      <c r="M66" s="223">
        <f t="shared" si="23"/>
        <v>0</v>
      </c>
      <c r="N66" s="223">
        <f t="shared" si="23"/>
        <v>0</v>
      </c>
      <c r="O66" s="223">
        <f t="shared" si="23"/>
        <v>79</v>
      </c>
      <c r="P66" s="223">
        <f t="shared" si="23"/>
        <v>231</v>
      </c>
      <c r="Q66" s="223">
        <f t="shared" si="23"/>
        <v>224</v>
      </c>
      <c r="R66" s="223">
        <f t="shared" si="23"/>
        <v>0</v>
      </c>
      <c r="S66" s="223">
        <f t="shared" si="23"/>
        <v>22</v>
      </c>
      <c r="T66" s="223">
        <f t="shared" si="23"/>
        <v>40</v>
      </c>
      <c r="U66" s="223">
        <f t="shared" si="23"/>
        <v>0</v>
      </c>
      <c r="V66" s="223">
        <f t="shared" si="23"/>
        <v>20</v>
      </c>
      <c r="W66" s="223">
        <f t="shared" si="23"/>
        <v>119</v>
      </c>
      <c r="X66" s="223">
        <f t="shared" si="23"/>
        <v>8</v>
      </c>
      <c r="Y66" s="223">
        <f t="shared" si="23"/>
        <v>0</v>
      </c>
      <c r="Z66" s="223">
        <f t="shared" si="23"/>
        <v>50</v>
      </c>
      <c r="AA66" s="223">
        <f t="shared" si="23"/>
        <v>1816</v>
      </c>
      <c r="AB66" s="223">
        <f t="shared" si="23"/>
        <v>0</v>
      </c>
      <c r="AC66" s="223">
        <f t="shared" si="23"/>
        <v>1816</v>
      </c>
    </row>
    <row r="67" spans="1:29" s="200" customFormat="1" ht="15.75" customHeight="1" x14ac:dyDescent="0.2">
      <c r="A67" s="202">
        <v>47</v>
      </c>
      <c r="B67" s="225">
        <v>142411</v>
      </c>
      <c r="C67" s="203">
        <v>70</v>
      </c>
      <c r="D67" s="203"/>
      <c r="E67" s="203"/>
      <c r="F67" s="203">
        <v>55</v>
      </c>
      <c r="G67" s="203"/>
      <c r="H67" s="203"/>
      <c r="I67" s="203">
        <v>50</v>
      </c>
      <c r="J67" s="203">
        <v>65</v>
      </c>
      <c r="K67" s="203">
        <v>55</v>
      </c>
      <c r="L67" s="203"/>
      <c r="M67" s="203"/>
      <c r="N67" s="203"/>
      <c r="O67" s="203">
        <v>16</v>
      </c>
      <c r="P67" s="203">
        <v>215</v>
      </c>
      <c r="Q67" s="203">
        <v>10</v>
      </c>
      <c r="R67" s="203"/>
      <c r="S67" s="203">
        <f>8-2</f>
        <v>6</v>
      </c>
      <c r="T67" s="203">
        <v>26</v>
      </c>
      <c r="U67" s="203"/>
      <c r="V67" s="203"/>
      <c r="W67" s="203">
        <v>42</v>
      </c>
      <c r="X67" s="203"/>
      <c r="Y67" s="203"/>
      <c r="Z67" s="203"/>
      <c r="AA67" s="203">
        <f t="shared" ref="AA67:AA72" si="24">J67+L67+V67+R67+N67+O67+P67+Q67+K67+W67+S67+T67+X67+M67+Y67+H67+C67+I67+D67+E67+G67+F67+Z67+U67</f>
        <v>610</v>
      </c>
      <c r="AB67" s="226"/>
      <c r="AC67" s="203">
        <f t="shared" ref="AC67:AC72" si="25">AA67+AB67</f>
        <v>610</v>
      </c>
    </row>
    <row r="68" spans="1:29" s="200" customFormat="1" ht="15.75" customHeight="1" x14ac:dyDescent="0.2">
      <c r="A68" s="202">
        <v>48</v>
      </c>
      <c r="B68" s="225">
        <v>211123</v>
      </c>
      <c r="C68" s="203">
        <v>30</v>
      </c>
      <c r="D68" s="203"/>
      <c r="E68" s="203"/>
      <c r="F68" s="203"/>
      <c r="G68" s="203"/>
      <c r="H68" s="203"/>
      <c r="I68" s="203"/>
      <c r="J68" s="203">
        <v>35</v>
      </c>
      <c r="K68" s="203">
        <v>20</v>
      </c>
      <c r="L68" s="203"/>
      <c r="M68" s="203"/>
      <c r="N68" s="203"/>
      <c r="O68" s="203">
        <v>25</v>
      </c>
      <c r="P68" s="203">
        <v>4</v>
      </c>
      <c r="Q68" s="203"/>
      <c r="R68" s="203"/>
      <c r="S68" s="203">
        <f>8+1</f>
        <v>9</v>
      </c>
      <c r="T68" s="203">
        <v>11</v>
      </c>
      <c r="U68" s="203"/>
      <c r="V68" s="203">
        <v>20</v>
      </c>
      <c r="W68" s="203">
        <v>57</v>
      </c>
      <c r="X68" s="203"/>
      <c r="Y68" s="203"/>
      <c r="Z68" s="203"/>
      <c r="AA68" s="203">
        <f t="shared" si="24"/>
        <v>211</v>
      </c>
      <c r="AB68" s="226"/>
      <c r="AC68" s="203">
        <f t="shared" si="25"/>
        <v>211</v>
      </c>
    </row>
    <row r="69" spans="1:29" s="200" customFormat="1" ht="15.75" customHeight="1" x14ac:dyDescent="0.2">
      <c r="A69" s="202">
        <v>49</v>
      </c>
      <c r="B69" s="214">
        <v>282411</v>
      </c>
      <c r="C69" s="203"/>
      <c r="D69" s="203"/>
      <c r="E69" s="203"/>
      <c r="F69" s="203">
        <f>5-2</f>
        <v>3</v>
      </c>
      <c r="G69" s="203"/>
      <c r="H69" s="203"/>
      <c r="I69" s="203"/>
      <c r="J69" s="203"/>
      <c r="K69" s="203"/>
      <c r="L69" s="203"/>
      <c r="M69" s="203"/>
      <c r="N69" s="203"/>
      <c r="O69" s="203"/>
      <c r="P69" s="203">
        <f>0+2</f>
        <v>2</v>
      </c>
      <c r="Q69" s="203"/>
      <c r="R69" s="203"/>
      <c r="S69" s="203">
        <f>0+2+1</f>
        <v>3</v>
      </c>
      <c r="T69" s="203">
        <v>3</v>
      </c>
      <c r="U69" s="203"/>
      <c r="V69" s="203"/>
      <c r="W69" s="203"/>
      <c r="X69" s="203"/>
      <c r="Y69" s="203"/>
      <c r="Z69" s="203"/>
      <c r="AA69" s="203">
        <f t="shared" si="24"/>
        <v>11</v>
      </c>
      <c r="AB69" s="226"/>
      <c r="AC69" s="203">
        <f t="shared" si="25"/>
        <v>11</v>
      </c>
    </row>
    <row r="70" spans="1:29" s="200" customFormat="1" ht="15.75" customHeight="1" x14ac:dyDescent="0.2">
      <c r="A70" s="202">
        <v>50</v>
      </c>
      <c r="B70" s="214">
        <v>151537</v>
      </c>
      <c r="C70" s="203">
        <v>150</v>
      </c>
      <c r="D70" s="203"/>
      <c r="E70" s="203"/>
      <c r="F70" s="203"/>
      <c r="G70" s="203"/>
      <c r="H70" s="213"/>
      <c r="I70" s="203">
        <v>160</v>
      </c>
      <c r="J70" s="203">
        <v>93</v>
      </c>
      <c r="K70" s="203">
        <v>125</v>
      </c>
      <c r="L70" s="213"/>
      <c r="M70" s="213"/>
      <c r="N70" s="213"/>
      <c r="O70" s="203">
        <v>38</v>
      </c>
      <c r="P70" s="203"/>
      <c r="Q70" s="203">
        <v>174</v>
      </c>
      <c r="R70" s="213"/>
      <c r="S70" s="203">
        <f>9-3-2</f>
        <v>4</v>
      </c>
      <c r="T70" s="203"/>
      <c r="U70" s="203"/>
      <c r="V70" s="213"/>
      <c r="W70" s="203">
        <f>30-10</f>
        <v>20</v>
      </c>
      <c r="X70" s="203">
        <v>8</v>
      </c>
      <c r="Y70" s="203"/>
      <c r="Z70" s="203">
        <v>50</v>
      </c>
      <c r="AA70" s="203">
        <f t="shared" si="24"/>
        <v>822</v>
      </c>
      <c r="AB70" s="226"/>
      <c r="AC70" s="203">
        <f t="shared" si="25"/>
        <v>822</v>
      </c>
    </row>
    <row r="71" spans="1:29" s="200" customFormat="1" ht="15.75" customHeight="1" x14ac:dyDescent="0.2">
      <c r="A71" s="202">
        <v>51</v>
      </c>
      <c r="B71" s="214">
        <v>217717</v>
      </c>
      <c r="C71" s="203">
        <v>105</v>
      </c>
      <c r="D71" s="203"/>
      <c r="E71" s="203"/>
      <c r="F71" s="203"/>
      <c r="G71" s="203"/>
      <c r="H71" s="203"/>
      <c r="I71" s="203"/>
      <c r="J71" s="203">
        <v>7</v>
      </c>
      <c r="K71" s="203"/>
      <c r="L71" s="203"/>
      <c r="M71" s="203"/>
      <c r="N71" s="203"/>
      <c r="O71" s="203"/>
      <c r="P71" s="203"/>
      <c r="Q71" s="203">
        <v>40</v>
      </c>
      <c r="R71" s="203"/>
      <c r="S71" s="203"/>
      <c r="T71" s="203"/>
      <c r="U71" s="203"/>
      <c r="V71" s="203"/>
      <c r="W71" s="203"/>
      <c r="X71" s="203"/>
      <c r="Y71" s="203"/>
      <c r="Z71" s="203"/>
      <c r="AA71" s="203">
        <f t="shared" si="24"/>
        <v>152</v>
      </c>
      <c r="AB71" s="226"/>
      <c r="AC71" s="203">
        <f t="shared" si="25"/>
        <v>152</v>
      </c>
    </row>
    <row r="72" spans="1:29" s="200" customFormat="1" ht="15.75" customHeight="1" x14ac:dyDescent="0.2">
      <c r="A72" s="202">
        <v>52</v>
      </c>
      <c r="B72" s="214">
        <v>352016</v>
      </c>
      <c r="C72" s="205"/>
      <c r="D72" s="205"/>
      <c r="E72" s="205"/>
      <c r="F72" s="205"/>
      <c r="G72" s="205"/>
      <c r="H72" s="208"/>
      <c r="I72" s="205"/>
      <c r="J72" s="205"/>
      <c r="K72" s="205"/>
      <c r="L72" s="208"/>
      <c r="M72" s="208"/>
      <c r="N72" s="208"/>
      <c r="O72" s="208"/>
      <c r="P72" s="205">
        <v>10</v>
      </c>
      <c r="Q72" s="205"/>
      <c r="R72" s="208"/>
      <c r="S72" s="205"/>
      <c r="T72" s="203"/>
      <c r="U72" s="203"/>
      <c r="V72" s="208"/>
      <c r="W72" s="205"/>
      <c r="X72" s="205"/>
      <c r="Y72" s="205"/>
      <c r="Z72" s="205"/>
      <c r="AA72" s="203">
        <f t="shared" si="24"/>
        <v>10</v>
      </c>
      <c r="AB72" s="226"/>
      <c r="AC72" s="203">
        <f t="shared" si="25"/>
        <v>10</v>
      </c>
    </row>
    <row r="73" spans="1:29" s="200" customFormat="1" ht="18.75" customHeight="1" x14ac:dyDescent="0.2">
      <c r="A73" s="341" t="s">
        <v>364</v>
      </c>
      <c r="B73" s="342"/>
      <c r="C73" s="223">
        <f t="shared" ref="C73:AC73" si="26">C74+C75</f>
        <v>120</v>
      </c>
      <c r="D73" s="223">
        <f t="shared" si="26"/>
        <v>0</v>
      </c>
      <c r="E73" s="223">
        <f t="shared" si="26"/>
        <v>0</v>
      </c>
      <c r="F73" s="223">
        <f t="shared" si="26"/>
        <v>140</v>
      </c>
      <c r="G73" s="223">
        <f t="shared" si="26"/>
        <v>0</v>
      </c>
      <c r="H73" s="223">
        <f t="shared" si="26"/>
        <v>0</v>
      </c>
      <c r="I73" s="223">
        <f t="shared" si="26"/>
        <v>0</v>
      </c>
      <c r="J73" s="223">
        <f t="shared" si="26"/>
        <v>30</v>
      </c>
      <c r="K73" s="223">
        <f t="shared" si="26"/>
        <v>10</v>
      </c>
      <c r="L73" s="223">
        <f t="shared" si="26"/>
        <v>0</v>
      </c>
      <c r="M73" s="223">
        <f t="shared" si="26"/>
        <v>0</v>
      </c>
      <c r="N73" s="223">
        <f t="shared" si="26"/>
        <v>0</v>
      </c>
      <c r="O73" s="223">
        <f t="shared" si="26"/>
        <v>0</v>
      </c>
      <c r="P73" s="223">
        <f t="shared" si="26"/>
        <v>36</v>
      </c>
      <c r="Q73" s="223">
        <f t="shared" si="26"/>
        <v>0</v>
      </c>
      <c r="R73" s="223">
        <f t="shared" si="26"/>
        <v>0</v>
      </c>
      <c r="S73" s="223">
        <f t="shared" si="26"/>
        <v>0</v>
      </c>
      <c r="T73" s="223">
        <f t="shared" si="26"/>
        <v>0</v>
      </c>
      <c r="U73" s="223">
        <f t="shared" si="26"/>
        <v>0</v>
      </c>
      <c r="V73" s="223">
        <f t="shared" si="26"/>
        <v>0</v>
      </c>
      <c r="W73" s="223">
        <f t="shared" si="26"/>
        <v>0</v>
      </c>
      <c r="X73" s="223">
        <f t="shared" si="26"/>
        <v>7</v>
      </c>
      <c r="Y73" s="223">
        <f t="shared" si="26"/>
        <v>40</v>
      </c>
      <c r="Z73" s="223">
        <f t="shared" si="26"/>
        <v>137</v>
      </c>
      <c r="AA73" s="223">
        <f t="shared" si="26"/>
        <v>520</v>
      </c>
      <c r="AB73" s="223">
        <f t="shared" si="26"/>
        <v>0</v>
      </c>
      <c r="AC73" s="223">
        <f t="shared" si="26"/>
        <v>520</v>
      </c>
    </row>
    <row r="74" spans="1:29" s="200" customFormat="1" ht="18" customHeight="1" x14ac:dyDescent="0.2">
      <c r="A74" s="207">
        <v>53</v>
      </c>
      <c r="B74" s="214">
        <v>98144</v>
      </c>
      <c r="C74" s="203">
        <v>100</v>
      </c>
      <c r="D74" s="203"/>
      <c r="E74" s="203"/>
      <c r="F74" s="203">
        <v>140</v>
      </c>
      <c r="G74" s="203"/>
      <c r="H74" s="203"/>
      <c r="I74" s="203"/>
      <c r="J74" s="203">
        <v>30</v>
      </c>
      <c r="K74" s="203">
        <v>10</v>
      </c>
      <c r="L74" s="203"/>
      <c r="M74" s="203"/>
      <c r="N74" s="203"/>
      <c r="O74" s="203"/>
      <c r="P74" s="203">
        <v>36</v>
      </c>
      <c r="Q74" s="203"/>
      <c r="R74" s="203"/>
      <c r="S74" s="203"/>
      <c r="T74" s="203"/>
      <c r="U74" s="203"/>
      <c r="V74" s="203"/>
      <c r="W74" s="203"/>
      <c r="X74" s="203">
        <v>7</v>
      </c>
      <c r="Y74" s="203">
        <v>30</v>
      </c>
      <c r="Z74" s="203">
        <f>130+7</f>
        <v>137</v>
      </c>
      <c r="AA74" s="203">
        <f>J74+L74+V74+R74+N74+O74+P74+Q74+K74+W74+S74+T74+X74+M74+Y74+H74+C74+I74+D74+E74+G74+F74+Z74+U74</f>
        <v>490</v>
      </c>
      <c r="AB74" s="226"/>
      <c r="AC74" s="203">
        <f>AA74+AB74</f>
        <v>490</v>
      </c>
    </row>
    <row r="75" spans="1:29" s="200" customFormat="1" ht="12.75" customHeight="1" x14ac:dyDescent="0.2">
      <c r="A75" s="207">
        <v>54</v>
      </c>
      <c r="B75" s="214">
        <v>144203</v>
      </c>
      <c r="C75" s="203">
        <v>20</v>
      </c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>
        <v>10</v>
      </c>
      <c r="Z75" s="203"/>
      <c r="AA75" s="203">
        <f>J75+L75+V75+R75+N75+O75+P75+Q75+K75+W75+S75+T75+X75+M75+Y75+H75+C75+I75+D75+E75+G75+F75+Z75+U75</f>
        <v>30</v>
      </c>
      <c r="AB75" s="226"/>
      <c r="AC75" s="203">
        <f>AA75+AB75</f>
        <v>30</v>
      </c>
    </row>
    <row r="76" spans="1:29" s="200" customFormat="1" ht="24.75" customHeight="1" x14ac:dyDescent="0.2">
      <c r="A76" s="341" t="s">
        <v>365</v>
      </c>
      <c r="B76" s="342"/>
      <c r="C76" s="223">
        <f t="shared" ref="C76:AC76" si="27">C77</f>
        <v>0</v>
      </c>
      <c r="D76" s="223">
        <f t="shared" si="27"/>
        <v>0</v>
      </c>
      <c r="E76" s="223">
        <f t="shared" si="27"/>
        <v>0</v>
      </c>
      <c r="F76" s="223">
        <f t="shared" si="27"/>
        <v>45</v>
      </c>
      <c r="G76" s="223">
        <f t="shared" si="27"/>
        <v>0</v>
      </c>
      <c r="H76" s="223">
        <f t="shared" si="27"/>
        <v>0</v>
      </c>
      <c r="I76" s="223">
        <f t="shared" si="27"/>
        <v>0</v>
      </c>
      <c r="J76" s="223">
        <f t="shared" si="27"/>
        <v>0</v>
      </c>
      <c r="K76" s="223">
        <f t="shared" si="27"/>
        <v>70</v>
      </c>
      <c r="L76" s="223">
        <f t="shared" si="27"/>
        <v>0</v>
      </c>
      <c r="M76" s="223">
        <f t="shared" si="27"/>
        <v>0</v>
      </c>
      <c r="N76" s="223">
        <f t="shared" si="27"/>
        <v>0</v>
      </c>
      <c r="O76" s="223">
        <f t="shared" si="27"/>
        <v>0</v>
      </c>
      <c r="P76" s="223">
        <f t="shared" si="27"/>
        <v>0</v>
      </c>
      <c r="Q76" s="223">
        <f t="shared" si="27"/>
        <v>0</v>
      </c>
      <c r="R76" s="223">
        <f t="shared" si="27"/>
        <v>0</v>
      </c>
      <c r="S76" s="223">
        <f t="shared" si="27"/>
        <v>0</v>
      </c>
      <c r="T76" s="223">
        <f t="shared" si="27"/>
        <v>0</v>
      </c>
      <c r="U76" s="223">
        <f t="shared" si="27"/>
        <v>0</v>
      </c>
      <c r="V76" s="223">
        <f t="shared" si="27"/>
        <v>0</v>
      </c>
      <c r="W76" s="223">
        <f t="shared" si="27"/>
        <v>10</v>
      </c>
      <c r="X76" s="223">
        <f t="shared" si="27"/>
        <v>0</v>
      </c>
      <c r="Y76" s="223">
        <f t="shared" si="27"/>
        <v>0</v>
      </c>
      <c r="Z76" s="223">
        <f t="shared" si="27"/>
        <v>0</v>
      </c>
      <c r="AA76" s="223">
        <f t="shared" si="27"/>
        <v>125</v>
      </c>
      <c r="AB76" s="223">
        <f t="shared" si="27"/>
        <v>0</v>
      </c>
      <c r="AC76" s="223">
        <f t="shared" si="27"/>
        <v>125</v>
      </c>
    </row>
    <row r="77" spans="1:29" s="200" customFormat="1" ht="16.5" customHeight="1" x14ac:dyDescent="0.2">
      <c r="A77" s="207">
        <v>55</v>
      </c>
      <c r="B77" s="214">
        <v>127636</v>
      </c>
      <c r="C77" s="203"/>
      <c r="D77" s="203"/>
      <c r="E77" s="203"/>
      <c r="F77" s="203">
        <v>45</v>
      </c>
      <c r="G77" s="203"/>
      <c r="H77" s="203"/>
      <c r="I77" s="203"/>
      <c r="J77" s="203"/>
      <c r="K77" s="203">
        <v>70</v>
      </c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>
        <v>10</v>
      </c>
      <c r="X77" s="203"/>
      <c r="Y77" s="203"/>
      <c r="Z77" s="203"/>
      <c r="AA77" s="203">
        <f>J77+L77+V77+R77+N77+O77+P77+Q77+K77+W77+S77+T77+X77+M77+Y77+H77+C77+I77+D77+E77+G77+F77+Z77+U77</f>
        <v>125</v>
      </c>
      <c r="AB77" s="226"/>
      <c r="AC77" s="203">
        <f>AA77+AB77</f>
        <v>125</v>
      </c>
    </row>
    <row r="78" spans="1:29" s="200" customFormat="1" ht="18.75" customHeight="1" x14ac:dyDescent="0.2">
      <c r="A78" s="341" t="s">
        <v>366</v>
      </c>
      <c r="B78" s="342"/>
      <c r="C78" s="223">
        <f t="shared" ref="C78:AC78" si="28">C79+C80</f>
        <v>10</v>
      </c>
      <c r="D78" s="223">
        <f t="shared" si="28"/>
        <v>0</v>
      </c>
      <c r="E78" s="223">
        <f t="shared" si="28"/>
        <v>0</v>
      </c>
      <c r="F78" s="223">
        <f t="shared" si="28"/>
        <v>25</v>
      </c>
      <c r="G78" s="223">
        <f t="shared" si="28"/>
        <v>0</v>
      </c>
      <c r="H78" s="223">
        <f t="shared" si="28"/>
        <v>0</v>
      </c>
      <c r="I78" s="223">
        <f t="shared" si="28"/>
        <v>0</v>
      </c>
      <c r="J78" s="223">
        <f t="shared" si="28"/>
        <v>0</v>
      </c>
      <c r="K78" s="223">
        <f t="shared" si="28"/>
        <v>20</v>
      </c>
      <c r="L78" s="223">
        <f t="shared" si="28"/>
        <v>0</v>
      </c>
      <c r="M78" s="223">
        <f t="shared" si="28"/>
        <v>0</v>
      </c>
      <c r="N78" s="223">
        <f t="shared" si="28"/>
        <v>0</v>
      </c>
      <c r="O78" s="223">
        <f t="shared" si="28"/>
        <v>0</v>
      </c>
      <c r="P78" s="223">
        <f t="shared" si="28"/>
        <v>0</v>
      </c>
      <c r="Q78" s="223">
        <f t="shared" si="28"/>
        <v>0</v>
      </c>
      <c r="R78" s="223">
        <f t="shared" si="28"/>
        <v>0</v>
      </c>
      <c r="S78" s="223">
        <f t="shared" si="28"/>
        <v>0</v>
      </c>
      <c r="T78" s="223">
        <f t="shared" si="28"/>
        <v>0</v>
      </c>
      <c r="U78" s="223">
        <f t="shared" si="28"/>
        <v>0</v>
      </c>
      <c r="V78" s="223">
        <f t="shared" si="28"/>
        <v>0</v>
      </c>
      <c r="W78" s="223">
        <f t="shared" si="28"/>
        <v>0</v>
      </c>
      <c r="X78" s="223">
        <f t="shared" si="28"/>
        <v>0</v>
      </c>
      <c r="Y78" s="223">
        <f t="shared" si="28"/>
        <v>0</v>
      </c>
      <c r="Z78" s="223">
        <f t="shared" si="28"/>
        <v>40</v>
      </c>
      <c r="AA78" s="223">
        <f t="shared" si="28"/>
        <v>95</v>
      </c>
      <c r="AB78" s="223">
        <f t="shared" si="28"/>
        <v>0</v>
      </c>
      <c r="AC78" s="223">
        <f t="shared" si="28"/>
        <v>95</v>
      </c>
    </row>
    <row r="79" spans="1:29" s="200" customFormat="1" ht="15.75" customHeight="1" x14ac:dyDescent="0.2">
      <c r="A79" s="207">
        <v>56</v>
      </c>
      <c r="B79" s="214">
        <v>191319</v>
      </c>
      <c r="C79" s="203">
        <v>10</v>
      </c>
      <c r="D79" s="203"/>
      <c r="E79" s="203"/>
      <c r="F79" s="203">
        <v>25</v>
      </c>
      <c r="G79" s="203"/>
      <c r="H79" s="203"/>
      <c r="I79" s="203"/>
      <c r="J79" s="203"/>
      <c r="K79" s="203">
        <v>20</v>
      </c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>
        <f>40</f>
        <v>40</v>
      </c>
      <c r="AA79" s="203">
        <f>J79+L79+V79+R79+N79+O79+P79+Q79+K79+W79+S79+T79+X79+M79+Y79+H79+C79+I79+D79+E79+G79+F79+Z79+U79</f>
        <v>95</v>
      </c>
      <c r="AB79" s="226"/>
      <c r="AC79" s="203">
        <f>AA79+AB79</f>
        <v>95</v>
      </c>
    </row>
    <row r="80" spans="1:29" s="200" customFormat="1" ht="17.25" customHeight="1" x14ac:dyDescent="0.2">
      <c r="A80" s="207">
        <v>57</v>
      </c>
      <c r="B80" s="214">
        <v>105940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>
        <f>J80+L80+V80+R80+N80+O80+P80+Q80+K80+W80+S80+T80+X80+M80+Y80+H80+C80+I80+D80+E80+G80+F80+Z80+U80</f>
        <v>0</v>
      </c>
      <c r="AB80" s="226"/>
      <c r="AC80" s="203">
        <f>AA80+AB80</f>
        <v>0</v>
      </c>
    </row>
    <row r="81" spans="1:29" s="200" customFormat="1" ht="18.75" customHeight="1" x14ac:dyDescent="0.2">
      <c r="A81" s="341" t="s">
        <v>88</v>
      </c>
      <c r="B81" s="342"/>
      <c r="C81" s="223">
        <f t="shared" ref="C81:AC81" si="29">C4+C7+C10+C12+C15+C17+C19+C22+C29+C32+C39+C42+C49+C51+C63+C66+C73+C76+C78+C45</f>
        <v>2328</v>
      </c>
      <c r="D81" s="223">
        <f t="shared" si="29"/>
        <v>1450</v>
      </c>
      <c r="E81" s="223">
        <f t="shared" si="29"/>
        <v>3435</v>
      </c>
      <c r="F81" s="223">
        <f t="shared" si="29"/>
        <v>903</v>
      </c>
      <c r="G81" s="223">
        <f t="shared" si="29"/>
        <v>728</v>
      </c>
      <c r="H81" s="223">
        <f t="shared" si="29"/>
        <v>52</v>
      </c>
      <c r="I81" s="223">
        <f t="shared" si="29"/>
        <v>210</v>
      </c>
      <c r="J81" s="223">
        <f t="shared" si="29"/>
        <v>1082</v>
      </c>
      <c r="K81" s="223">
        <f t="shared" si="29"/>
        <v>1254</v>
      </c>
      <c r="L81" s="223">
        <f t="shared" si="29"/>
        <v>200</v>
      </c>
      <c r="M81" s="223">
        <f t="shared" si="29"/>
        <v>2400</v>
      </c>
      <c r="N81" s="223">
        <f t="shared" si="29"/>
        <v>200</v>
      </c>
      <c r="O81" s="223">
        <f t="shared" si="29"/>
        <v>338</v>
      </c>
      <c r="P81" s="223">
        <f t="shared" si="29"/>
        <v>407</v>
      </c>
      <c r="Q81" s="223">
        <f t="shared" si="29"/>
        <v>752</v>
      </c>
      <c r="R81" s="223">
        <f t="shared" si="29"/>
        <v>40</v>
      </c>
      <c r="S81" s="223">
        <f t="shared" si="29"/>
        <v>240</v>
      </c>
      <c r="T81" s="223">
        <f t="shared" si="29"/>
        <v>59</v>
      </c>
      <c r="U81" s="223">
        <f t="shared" si="29"/>
        <v>162</v>
      </c>
      <c r="V81" s="223">
        <f t="shared" si="29"/>
        <v>20</v>
      </c>
      <c r="W81" s="223">
        <f t="shared" si="29"/>
        <v>813</v>
      </c>
      <c r="X81" s="223">
        <f t="shared" si="29"/>
        <v>277</v>
      </c>
      <c r="Y81" s="223">
        <f t="shared" si="29"/>
        <v>250</v>
      </c>
      <c r="Z81" s="223">
        <f>Z4+Z7+Z10+Z12+Z15+Z17+Z19+Z22+Z29+Z32+Z39+Z42+Z49+Z51+Z63+Z66+Z73+Z76+Z78+Z45</f>
        <v>1637</v>
      </c>
      <c r="AA81" s="223">
        <f t="shared" si="29"/>
        <v>19237</v>
      </c>
      <c r="AB81" s="223">
        <f t="shared" si="29"/>
        <v>50</v>
      </c>
      <c r="AC81" s="223">
        <f t="shared" si="29"/>
        <v>19287</v>
      </c>
    </row>
    <row r="84" spans="1:29" x14ac:dyDescent="0.2"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</row>
  </sheetData>
  <mergeCells count="22">
    <mergeCell ref="A4:B4"/>
    <mergeCell ref="A7:B7"/>
    <mergeCell ref="A10:B10"/>
    <mergeCell ref="A12:B12"/>
    <mergeCell ref="A1:AC1"/>
    <mergeCell ref="A63:B63"/>
    <mergeCell ref="A15:B15"/>
    <mergeCell ref="A17:B17"/>
    <mergeCell ref="A19:B19"/>
    <mergeCell ref="A22:B22"/>
    <mergeCell ref="A29:B29"/>
    <mergeCell ref="A32:B32"/>
    <mergeCell ref="A39:B39"/>
    <mergeCell ref="A42:B42"/>
    <mergeCell ref="A45:B45"/>
    <mergeCell ref="A49:B49"/>
    <mergeCell ref="A51:B51"/>
    <mergeCell ref="A66:B66"/>
    <mergeCell ref="A73:B73"/>
    <mergeCell ref="A76:B76"/>
    <mergeCell ref="A78:B78"/>
    <mergeCell ref="A81:B81"/>
  </mergeCells>
  <pageMargins left="0" right="0" top="0" bottom="0" header="0.31496062992125984" footer="0.31496062992125984"/>
  <pageSetup paperSize="9" scale="65" fitToHeight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8.7109375" defaultRowHeight="12.75" x14ac:dyDescent="0.25"/>
  <cols>
    <col min="1" max="1" width="6.7109375" style="3" customWidth="1"/>
    <col min="2" max="2" width="29.85546875" style="2" customWidth="1"/>
    <col min="3" max="3" width="35.85546875" style="19" customWidth="1"/>
    <col min="4" max="16384" width="8.7109375" style="2"/>
  </cols>
  <sheetData>
    <row r="1" spans="1:3" ht="21.75" customHeight="1" x14ac:dyDescent="0.25">
      <c r="A1" s="483" t="s">
        <v>545</v>
      </c>
      <c r="B1" s="484"/>
      <c r="C1" s="484"/>
    </row>
    <row r="2" spans="1:3" ht="16.5" customHeight="1" x14ac:dyDescent="0.25">
      <c r="B2" s="485"/>
      <c r="C2" s="485"/>
    </row>
    <row r="3" spans="1:3" s="3" customFormat="1" ht="66.75" customHeight="1" x14ac:dyDescent="0.25">
      <c r="A3" s="486" t="s">
        <v>0</v>
      </c>
      <c r="B3" s="486" t="s">
        <v>455</v>
      </c>
      <c r="C3" s="487" t="s">
        <v>546</v>
      </c>
    </row>
    <row r="4" spans="1:3" ht="23.25" customHeight="1" x14ac:dyDescent="0.25">
      <c r="A4" s="178">
        <v>1</v>
      </c>
      <c r="B4" s="488" t="s">
        <v>547</v>
      </c>
      <c r="C4" s="25">
        <v>34</v>
      </c>
    </row>
    <row r="5" spans="1:3" ht="23.25" customHeight="1" x14ac:dyDescent="0.25">
      <c r="A5" s="178">
        <v>2</v>
      </c>
      <c r="B5" s="488" t="s">
        <v>43</v>
      </c>
      <c r="C5" s="25">
        <v>11</v>
      </c>
    </row>
    <row r="6" spans="1:3" ht="23.25" customHeight="1" x14ac:dyDescent="0.25">
      <c r="A6" s="178">
        <v>3</v>
      </c>
      <c r="B6" s="488" t="s">
        <v>28</v>
      </c>
      <c r="C6" s="25">
        <v>34</v>
      </c>
    </row>
    <row r="7" spans="1:3" ht="23.25" customHeight="1" x14ac:dyDescent="0.25">
      <c r="A7" s="178">
        <v>4</v>
      </c>
      <c r="B7" s="488" t="s">
        <v>548</v>
      </c>
      <c r="C7" s="25">
        <v>62</v>
      </c>
    </row>
    <row r="8" spans="1:3" ht="23.25" customHeight="1" x14ac:dyDescent="0.25">
      <c r="A8" s="178">
        <v>5</v>
      </c>
      <c r="B8" s="488" t="s">
        <v>40</v>
      </c>
      <c r="C8" s="25">
        <v>8</v>
      </c>
    </row>
    <row r="9" spans="1:3" ht="23.25" customHeight="1" x14ac:dyDescent="0.25">
      <c r="A9" s="178">
        <v>6</v>
      </c>
      <c r="B9" s="489" t="s">
        <v>5</v>
      </c>
      <c r="C9" s="25">
        <v>11</v>
      </c>
    </row>
    <row r="10" spans="1:3" ht="23.25" customHeight="1" x14ac:dyDescent="0.25">
      <c r="A10" s="178">
        <v>7</v>
      </c>
      <c r="B10" s="489" t="s">
        <v>2</v>
      </c>
      <c r="C10" s="25">
        <v>9</v>
      </c>
    </row>
    <row r="11" spans="1:3" ht="23.25" customHeight="1" x14ac:dyDescent="0.25">
      <c r="A11" s="178">
        <v>8</v>
      </c>
      <c r="B11" s="489" t="s">
        <v>19</v>
      </c>
      <c r="C11" s="25">
        <v>17</v>
      </c>
    </row>
    <row r="12" spans="1:3" ht="23.25" customHeight="1" x14ac:dyDescent="0.25">
      <c r="A12" s="178">
        <v>9</v>
      </c>
      <c r="B12" s="489" t="s">
        <v>549</v>
      </c>
      <c r="C12" s="25">
        <v>27</v>
      </c>
    </row>
    <row r="13" spans="1:3" ht="29.25" customHeight="1" x14ac:dyDescent="0.25">
      <c r="A13" s="178">
        <v>10</v>
      </c>
      <c r="B13" s="489" t="s">
        <v>37</v>
      </c>
      <c r="C13" s="25">
        <v>11</v>
      </c>
    </row>
    <row r="14" spans="1:3" ht="23.25" customHeight="1" x14ac:dyDescent="0.25">
      <c r="A14" s="178">
        <v>11</v>
      </c>
      <c r="B14" s="489" t="s">
        <v>24</v>
      </c>
      <c r="C14" s="25">
        <v>8</v>
      </c>
    </row>
    <row r="15" spans="1:3" ht="23.25" customHeight="1" x14ac:dyDescent="0.25">
      <c r="A15" s="178">
        <v>12</v>
      </c>
      <c r="B15" s="489" t="s">
        <v>34</v>
      </c>
      <c r="C15" s="25">
        <v>14</v>
      </c>
    </row>
    <row r="16" spans="1:3" ht="23.25" customHeight="1" x14ac:dyDescent="0.25">
      <c r="A16" s="178">
        <v>13</v>
      </c>
      <c r="B16" s="489" t="s">
        <v>46</v>
      </c>
      <c r="C16" s="25">
        <v>41</v>
      </c>
    </row>
    <row r="17" spans="1:3" ht="23.25" customHeight="1" x14ac:dyDescent="0.25">
      <c r="A17" s="178">
        <v>14</v>
      </c>
      <c r="B17" s="489" t="s">
        <v>550</v>
      </c>
      <c r="C17" s="25">
        <v>28</v>
      </c>
    </row>
    <row r="18" spans="1:3" ht="23.25" customHeight="1" x14ac:dyDescent="0.25">
      <c r="A18" s="178">
        <v>15</v>
      </c>
      <c r="B18" s="489" t="s">
        <v>551</v>
      </c>
      <c r="C18" s="25">
        <v>29</v>
      </c>
    </row>
    <row r="19" spans="1:3" ht="23.25" customHeight="1" x14ac:dyDescent="0.25">
      <c r="A19" s="178">
        <v>16</v>
      </c>
      <c r="B19" s="489" t="s">
        <v>47</v>
      </c>
      <c r="C19" s="25">
        <v>12</v>
      </c>
    </row>
    <row r="20" spans="1:3" ht="23.25" customHeight="1" x14ac:dyDescent="0.25">
      <c r="A20" s="178">
        <v>17</v>
      </c>
      <c r="B20" s="489" t="s">
        <v>25</v>
      </c>
      <c r="C20" s="25">
        <v>24</v>
      </c>
    </row>
    <row r="21" spans="1:3" ht="23.25" customHeight="1" x14ac:dyDescent="0.25">
      <c r="A21" s="178">
        <v>18</v>
      </c>
      <c r="B21" s="489" t="s">
        <v>32</v>
      </c>
      <c r="C21" s="25">
        <v>6</v>
      </c>
    </row>
    <row r="22" spans="1:3" ht="23.25" customHeight="1" x14ac:dyDescent="0.25">
      <c r="A22" s="178">
        <v>19</v>
      </c>
      <c r="B22" s="489" t="s">
        <v>42</v>
      </c>
      <c r="C22" s="25">
        <v>11</v>
      </c>
    </row>
    <row r="23" spans="1:3" ht="23.25" customHeight="1" x14ac:dyDescent="0.25">
      <c r="A23" s="178">
        <v>20</v>
      </c>
      <c r="B23" s="489" t="s">
        <v>33</v>
      </c>
      <c r="C23" s="25">
        <v>32</v>
      </c>
    </row>
    <row r="24" spans="1:3" ht="23.25" customHeight="1" x14ac:dyDescent="0.25">
      <c r="A24" s="178">
        <v>21</v>
      </c>
      <c r="B24" s="489" t="s">
        <v>29</v>
      </c>
      <c r="C24" s="25">
        <v>56</v>
      </c>
    </row>
    <row r="25" spans="1:3" ht="23.25" customHeight="1" x14ac:dyDescent="0.25">
      <c r="A25" s="178">
        <v>22</v>
      </c>
      <c r="B25" s="489" t="s">
        <v>22</v>
      </c>
      <c r="C25" s="25">
        <v>9</v>
      </c>
    </row>
    <row r="26" spans="1:3" ht="23.25" customHeight="1" x14ac:dyDescent="0.25">
      <c r="A26" s="178">
        <v>23</v>
      </c>
      <c r="B26" s="489" t="s">
        <v>44</v>
      </c>
      <c r="C26" s="25">
        <v>45</v>
      </c>
    </row>
    <row r="27" spans="1:3" ht="23.25" customHeight="1" x14ac:dyDescent="0.25">
      <c r="A27" s="178">
        <v>24</v>
      </c>
      <c r="B27" s="489" t="s">
        <v>11</v>
      </c>
      <c r="C27" s="25">
        <v>24</v>
      </c>
    </row>
    <row r="28" spans="1:3" ht="23.25" customHeight="1" x14ac:dyDescent="0.25">
      <c r="A28" s="178">
        <v>25</v>
      </c>
      <c r="B28" s="489" t="s">
        <v>18</v>
      </c>
      <c r="C28" s="25">
        <v>14</v>
      </c>
    </row>
    <row r="29" spans="1:3" ht="23.25" customHeight="1" x14ac:dyDescent="0.25">
      <c r="A29" s="3">
        <v>26</v>
      </c>
      <c r="B29" s="489" t="s">
        <v>1</v>
      </c>
      <c r="C29" s="25">
        <v>11</v>
      </c>
    </row>
    <row r="30" spans="1:3" ht="23.25" customHeight="1" x14ac:dyDescent="0.25">
      <c r="A30" s="178">
        <v>27</v>
      </c>
      <c r="B30" s="489" t="s">
        <v>13</v>
      </c>
      <c r="C30" s="25">
        <v>45</v>
      </c>
    </row>
    <row r="31" spans="1:3" ht="23.25" customHeight="1" x14ac:dyDescent="0.25">
      <c r="A31" s="178">
        <v>28</v>
      </c>
      <c r="B31" s="489" t="s">
        <v>4</v>
      </c>
      <c r="C31" s="25">
        <v>28</v>
      </c>
    </row>
    <row r="32" spans="1:3" ht="23.25" customHeight="1" x14ac:dyDescent="0.25">
      <c r="A32" s="178">
        <v>29</v>
      </c>
      <c r="B32" s="489" t="s">
        <v>17</v>
      </c>
      <c r="C32" s="25">
        <v>28</v>
      </c>
    </row>
    <row r="33" spans="1:3" ht="23.25" customHeight="1" x14ac:dyDescent="0.25">
      <c r="A33" s="178">
        <v>30</v>
      </c>
      <c r="B33" s="489" t="s">
        <v>552</v>
      </c>
      <c r="C33" s="25">
        <v>59</v>
      </c>
    </row>
    <row r="34" spans="1:3" ht="23.25" customHeight="1" x14ac:dyDescent="0.25">
      <c r="A34" s="178">
        <v>31</v>
      </c>
      <c r="B34" s="489" t="s">
        <v>45</v>
      </c>
      <c r="C34" s="25">
        <v>46</v>
      </c>
    </row>
    <row r="35" spans="1:3" ht="23.25" customHeight="1" x14ac:dyDescent="0.25">
      <c r="A35" s="178">
        <v>32</v>
      </c>
      <c r="B35" s="489" t="s">
        <v>9</v>
      </c>
      <c r="C35" s="25">
        <v>45</v>
      </c>
    </row>
    <row r="36" spans="1:3" ht="23.25" customHeight="1" x14ac:dyDescent="0.25">
      <c r="A36" s="178">
        <v>33</v>
      </c>
      <c r="B36" s="489" t="s">
        <v>23</v>
      </c>
      <c r="C36" s="25">
        <v>6</v>
      </c>
    </row>
    <row r="37" spans="1:3" ht="23.25" customHeight="1" x14ac:dyDescent="0.25">
      <c r="A37" s="178">
        <v>34</v>
      </c>
      <c r="B37" s="489" t="s">
        <v>50</v>
      </c>
      <c r="C37" s="25">
        <v>8</v>
      </c>
    </row>
    <row r="38" spans="1:3" ht="23.25" customHeight="1" x14ac:dyDescent="0.25">
      <c r="A38" s="178">
        <v>35</v>
      </c>
      <c r="B38" s="489" t="s">
        <v>12</v>
      </c>
      <c r="C38" s="25">
        <v>6</v>
      </c>
    </row>
    <row r="39" spans="1:3" ht="23.25" customHeight="1" x14ac:dyDescent="0.25">
      <c r="A39" s="178">
        <v>36</v>
      </c>
      <c r="B39" s="489" t="s">
        <v>7</v>
      </c>
      <c r="C39" s="25">
        <v>5</v>
      </c>
    </row>
    <row r="40" spans="1:3" ht="23.25" customHeight="1" x14ac:dyDescent="0.25">
      <c r="A40" s="178">
        <v>37</v>
      </c>
      <c r="B40" s="489" t="s">
        <v>14</v>
      </c>
      <c r="C40" s="25">
        <v>6</v>
      </c>
    </row>
    <row r="41" spans="1:3" ht="23.25" customHeight="1" x14ac:dyDescent="0.25">
      <c r="A41" s="178">
        <v>38</v>
      </c>
      <c r="B41" s="489" t="s">
        <v>48</v>
      </c>
      <c r="C41" s="25">
        <v>6</v>
      </c>
    </row>
    <row r="42" spans="1:3" ht="23.25" customHeight="1" x14ac:dyDescent="0.25">
      <c r="A42" s="178">
        <v>39</v>
      </c>
      <c r="B42" s="489" t="s">
        <v>15</v>
      </c>
      <c r="C42" s="25">
        <v>9</v>
      </c>
    </row>
    <row r="43" spans="1:3" ht="23.25" customHeight="1" x14ac:dyDescent="0.25">
      <c r="A43" s="178">
        <v>40</v>
      </c>
      <c r="B43" s="489" t="s">
        <v>26</v>
      </c>
      <c r="C43" s="25">
        <v>17</v>
      </c>
    </row>
    <row r="44" spans="1:3" ht="23.25" customHeight="1" x14ac:dyDescent="0.25">
      <c r="A44" s="178">
        <v>41</v>
      </c>
      <c r="B44" s="489" t="s">
        <v>41</v>
      </c>
      <c r="C44" s="25">
        <v>8</v>
      </c>
    </row>
    <row r="45" spans="1:3" ht="23.25" customHeight="1" x14ac:dyDescent="0.25">
      <c r="A45" s="178">
        <v>42</v>
      </c>
      <c r="B45" s="489" t="s">
        <v>16</v>
      </c>
      <c r="C45" s="25">
        <v>19</v>
      </c>
    </row>
    <row r="46" spans="1:3" ht="23.25" customHeight="1" x14ac:dyDescent="0.25">
      <c r="A46" s="178">
        <v>43</v>
      </c>
      <c r="B46" s="489" t="s">
        <v>49</v>
      </c>
      <c r="C46" s="25">
        <v>11</v>
      </c>
    </row>
    <row r="47" spans="1:3" ht="23.25" customHeight="1" x14ac:dyDescent="0.25">
      <c r="A47" s="178">
        <v>44</v>
      </c>
      <c r="B47" s="489" t="s">
        <v>27</v>
      </c>
      <c r="C47" s="25">
        <v>54</v>
      </c>
    </row>
    <row r="48" spans="1:3" ht="23.25" customHeight="1" x14ac:dyDescent="0.25">
      <c r="A48" s="178">
        <v>45</v>
      </c>
      <c r="B48" s="489" t="s">
        <v>31</v>
      </c>
      <c r="C48" s="25">
        <v>17</v>
      </c>
    </row>
    <row r="49" spans="1:3" ht="23.25" customHeight="1" x14ac:dyDescent="0.25">
      <c r="A49" s="178">
        <v>46</v>
      </c>
      <c r="B49" s="489" t="s">
        <v>20</v>
      </c>
      <c r="C49" s="25">
        <v>11</v>
      </c>
    </row>
    <row r="50" spans="1:3" ht="24" customHeight="1" x14ac:dyDescent="0.25">
      <c r="A50" s="178">
        <v>47</v>
      </c>
      <c r="B50" s="489" t="s">
        <v>553</v>
      </c>
      <c r="C50" s="25">
        <v>16</v>
      </c>
    </row>
    <row r="51" spans="1:3" ht="23.25" customHeight="1" x14ac:dyDescent="0.25">
      <c r="A51" s="178">
        <v>48</v>
      </c>
      <c r="B51" s="489" t="s">
        <v>554</v>
      </c>
      <c r="C51" s="25">
        <v>384</v>
      </c>
    </row>
    <row r="52" spans="1:3" ht="38.25" customHeight="1" x14ac:dyDescent="0.25">
      <c r="A52" s="178">
        <v>49</v>
      </c>
      <c r="B52" s="490" t="s">
        <v>555</v>
      </c>
      <c r="C52" s="25">
        <v>74</v>
      </c>
    </row>
    <row r="53" spans="1:3" ht="20.25" customHeight="1" x14ac:dyDescent="0.25">
      <c r="A53" s="178"/>
      <c r="B53" s="491" t="s">
        <v>87</v>
      </c>
      <c r="C53" s="492">
        <f>SUM(C4:C52)</f>
        <v>1496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="90" zoomScaleNormal="90" zoomScaleSheetLayoutView="73" workbookViewId="0">
      <pane xSplit="2" ySplit="6" topLeftCell="C134" activePane="bottomRight" state="frozen"/>
      <selection pane="topRight" activeCell="C1" sqref="C1"/>
      <selection pane="bottomLeft" activeCell="A7" sqref="A7"/>
      <selection pane="bottomRight" activeCell="M143" sqref="M143"/>
    </sheetView>
  </sheetViews>
  <sheetFormatPr defaultRowHeight="12.75" x14ac:dyDescent="0.25"/>
  <cols>
    <col min="1" max="1" width="5.5703125" style="232" customWidth="1"/>
    <col min="2" max="2" width="36.140625" style="259" customWidth="1"/>
    <col min="3" max="3" width="10.7109375" style="232" customWidth="1"/>
    <col min="4" max="4" width="11.42578125" style="232" customWidth="1"/>
    <col min="5" max="5" width="10.28515625" style="232" customWidth="1"/>
    <col min="6" max="6" width="13.5703125" style="232" customWidth="1"/>
    <col min="7" max="7" width="7.140625" style="232" customWidth="1"/>
    <col min="8" max="8" width="10.5703125" style="232" customWidth="1"/>
    <col min="9" max="9" width="9" style="232" customWidth="1"/>
    <col min="10" max="10" width="7.7109375" style="232" customWidth="1"/>
    <col min="11" max="11" width="9.140625" style="232" customWidth="1"/>
    <col min="12" max="12" width="8.140625" style="232" customWidth="1"/>
    <col min="13" max="13" width="12.28515625" style="232" customWidth="1"/>
    <col min="14" max="16384" width="9.140625" style="232"/>
  </cols>
  <sheetData>
    <row r="1" spans="1:13" ht="18.75" x14ac:dyDescent="0.25">
      <c r="A1" s="346" t="s">
        <v>367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7"/>
    </row>
    <row r="2" spans="1:13" ht="14.25" customHeight="1" x14ac:dyDescent="0.25">
      <c r="A2" s="233"/>
      <c r="B2" s="234"/>
      <c r="C2" s="233"/>
      <c r="D2" s="233"/>
      <c r="E2" s="233"/>
      <c r="F2" s="233"/>
      <c r="G2" s="234"/>
      <c r="H2" s="234"/>
      <c r="I2" s="234"/>
      <c r="J2" s="234"/>
      <c r="K2" s="348" t="s">
        <v>368</v>
      </c>
      <c r="L2" s="349"/>
      <c r="M2" s="349"/>
    </row>
    <row r="3" spans="1:13" ht="13.5" customHeight="1" x14ac:dyDescent="0.25">
      <c r="A3" s="345" t="s">
        <v>0</v>
      </c>
      <c r="B3" s="345" t="s">
        <v>369</v>
      </c>
      <c r="C3" s="345" t="s">
        <v>289</v>
      </c>
      <c r="D3" s="235"/>
      <c r="E3" s="350" t="s">
        <v>370</v>
      </c>
      <c r="F3" s="350"/>
      <c r="G3" s="350"/>
      <c r="H3" s="350"/>
      <c r="I3" s="350"/>
      <c r="J3" s="350"/>
      <c r="K3" s="350"/>
      <c r="L3" s="350"/>
      <c r="M3" s="351"/>
    </row>
    <row r="4" spans="1:13" ht="13.5" customHeight="1" x14ac:dyDescent="0.25">
      <c r="A4" s="345"/>
      <c r="B4" s="345"/>
      <c r="C4" s="345"/>
      <c r="D4" s="352" t="s">
        <v>371</v>
      </c>
      <c r="E4" s="352" t="s">
        <v>291</v>
      </c>
      <c r="F4" s="345" t="s">
        <v>98</v>
      </c>
      <c r="G4" s="345"/>
      <c r="H4" s="345"/>
      <c r="I4" s="345"/>
      <c r="J4" s="345"/>
      <c r="K4" s="345"/>
      <c r="L4" s="345"/>
      <c r="M4" s="355" t="s">
        <v>372</v>
      </c>
    </row>
    <row r="5" spans="1:13" ht="30.75" customHeight="1" x14ac:dyDescent="0.25">
      <c r="A5" s="345"/>
      <c r="B5" s="345"/>
      <c r="C5" s="345"/>
      <c r="D5" s="353"/>
      <c r="E5" s="353"/>
      <c r="F5" s="345" t="s">
        <v>373</v>
      </c>
      <c r="G5" s="345" t="s">
        <v>374</v>
      </c>
      <c r="H5" s="345" t="s">
        <v>375</v>
      </c>
      <c r="I5" s="345" t="s">
        <v>376</v>
      </c>
      <c r="J5" s="345"/>
      <c r="K5" s="345" t="s">
        <v>377</v>
      </c>
      <c r="L5" s="345" t="s">
        <v>378</v>
      </c>
      <c r="M5" s="353"/>
    </row>
    <row r="6" spans="1:13" ht="21.75" customHeight="1" x14ac:dyDescent="0.25">
      <c r="A6" s="345"/>
      <c r="B6" s="345"/>
      <c r="C6" s="345"/>
      <c r="D6" s="354"/>
      <c r="E6" s="354"/>
      <c r="F6" s="345"/>
      <c r="G6" s="345"/>
      <c r="H6" s="345"/>
      <c r="I6" s="236" t="s">
        <v>379</v>
      </c>
      <c r="J6" s="236" t="s">
        <v>380</v>
      </c>
      <c r="K6" s="345"/>
      <c r="L6" s="345"/>
      <c r="M6" s="354"/>
    </row>
    <row r="7" spans="1:13" ht="16.5" customHeight="1" x14ac:dyDescent="0.25">
      <c r="A7" s="237">
        <v>1</v>
      </c>
      <c r="B7" s="238" t="s">
        <v>93</v>
      </c>
      <c r="C7" s="239">
        <f>D7+E7+M7</f>
        <v>207</v>
      </c>
      <c r="D7" s="239"/>
      <c r="E7" s="239">
        <v>207</v>
      </c>
      <c r="F7" s="239"/>
      <c r="G7" s="239"/>
      <c r="H7" s="239"/>
      <c r="I7" s="239"/>
      <c r="J7" s="239"/>
      <c r="K7" s="239"/>
      <c r="L7" s="239"/>
      <c r="M7" s="240"/>
    </row>
    <row r="8" spans="1:13" ht="16.5" customHeight="1" x14ac:dyDescent="0.25">
      <c r="A8" s="237">
        <v>2</v>
      </c>
      <c r="B8" s="241" t="s">
        <v>94</v>
      </c>
      <c r="C8" s="239">
        <f t="shared" ref="C8:C72" si="0">D8+E8+M8</f>
        <v>294</v>
      </c>
      <c r="D8" s="239"/>
      <c r="E8" s="239">
        <v>294</v>
      </c>
      <c r="F8" s="239"/>
      <c r="G8" s="239"/>
      <c r="H8" s="239"/>
      <c r="I8" s="239"/>
      <c r="J8" s="239"/>
      <c r="K8" s="239"/>
      <c r="L8" s="239"/>
      <c r="M8" s="240"/>
    </row>
    <row r="9" spans="1:13" ht="15.75" customHeight="1" x14ac:dyDescent="0.25">
      <c r="A9" s="237">
        <v>3</v>
      </c>
      <c r="B9" s="242" t="s">
        <v>381</v>
      </c>
      <c r="C9" s="239">
        <f t="shared" si="0"/>
        <v>432</v>
      </c>
      <c r="D9" s="239"/>
      <c r="E9" s="239">
        <v>432</v>
      </c>
      <c r="F9" s="239"/>
      <c r="G9" s="239"/>
      <c r="H9" s="239"/>
      <c r="I9" s="239"/>
      <c r="J9" s="239">
        <v>432</v>
      </c>
      <c r="K9" s="239"/>
      <c r="L9" s="239"/>
      <c r="M9" s="240"/>
    </row>
    <row r="10" spans="1:13" s="244" customFormat="1" ht="15.75" customHeight="1" x14ac:dyDescent="0.25">
      <c r="A10" s="237">
        <v>4</v>
      </c>
      <c r="B10" s="242" t="s">
        <v>47</v>
      </c>
      <c r="C10" s="239">
        <f t="shared" si="0"/>
        <v>1489</v>
      </c>
      <c r="D10" s="239"/>
      <c r="E10" s="239">
        <v>1489</v>
      </c>
      <c r="F10" s="239">
        <v>133</v>
      </c>
      <c r="G10" s="239"/>
      <c r="H10" s="239"/>
      <c r="I10" s="239"/>
      <c r="J10" s="239"/>
      <c r="K10" s="239"/>
      <c r="L10" s="239"/>
      <c r="M10" s="243"/>
    </row>
    <row r="11" spans="1:13" s="244" customFormat="1" ht="17.25" customHeight="1" x14ac:dyDescent="0.25">
      <c r="A11" s="237">
        <v>5</v>
      </c>
      <c r="B11" s="242" t="s">
        <v>3</v>
      </c>
      <c r="C11" s="239">
        <f t="shared" si="0"/>
        <v>866</v>
      </c>
      <c r="D11" s="239"/>
      <c r="E11" s="239">
        <v>866</v>
      </c>
      <c r="F11" s="239">
        <v>69</v>
      </c>
      <c r="G11" s="239"/>
      <c r="H11" s="239"/>
      <c r="I11" s="239"/>
      <c r="J11" s="239"/>
      <c r="K11" s="239"/>
      <c r="L11" s="239"/>
      <c r="M11" s="243"/>
    </row>
    <row r="12" spans="1:13" s="244" customFormat="1" ht="16.5" customHeight="1" x14ac:dyDescent="0.25">
      <c r="A12" s="237">
        <v>6</v>
      </c>
      <c r="B12" s="242" t="s">
        <v>1</v>
      </c>
      <c r="C12" s="239">
        <f t="shared" si="0"/>
        <v>2058</v>
      </c>
      <c r="D12" s="239"/>
      <c r="E12" s="239">
        <v>2058</v>
      </c>
      <c r="F12" s="239">
        <v>203</v>
      </c>
      <c r="G12" s="239"/>
      <c r="H12" s="239"/>
      <c r="I12" s="239"/>
      <c r="J12" s="239"/>
      <c r="K12" s="239"/>
      <c r="L12" s="239"/>
      <c r="M12" s="243"/>
    </row>
    <row r="13" spans="1:13" s="244" customFormat="1" ht="16.5" customHeight="1" x14ac:dyDescent="0.25">
      <c r="A13" s="237">
        <v>7</v>
      </c>
      <c r="B13" s="242" t="s">
        <v>4</v>
      </c>
      <c r="C13" s="239">
        <f t="shared" si="0"/>
        <v>980</v>
      </c>
      <c r="D13" s="239"/>
      <c r="E13" s="239">
        <v>980</v>
      </c>
      <c r="F13" s="239">
        <v>80</v>
      </c>
      <c r="G13" s="239"/>
      <c r="H13" s="239"/>
      <c r="I13" s="239"/>
      <c r="J13" s="239"/>
      <c r="K13" s="239"/>
      <c r="L13" s="239"/>
      <c r="M13" s="243"/>
    </row>
    <row r="14" spans="1:13" ht="18" customHeight="1" x14ac:dyDescent="0.25">
      <c r="A14" s="237">
        <v>8</v>
      </c>
      <c r="B14" s="242" t="s">
        <v>6</v>
      </c>
      <c r="C14" s="239">
        <f t="shared" si="0"/>
        <v>2778</v>
      </c>
      <c r="D14" s="239"/>
      <c r="E14" s="239">
        <v>2778</v>
      </c>
      <c r="F14" s="239">
        <v>265</v>
      </c>
      <c r="G14" s="239"/>
      <c r="H14" s="239"/>
      <c r="I14" s="239"/>
      <c r="J14" s="239"/>
      <c r="K14" s="239"/>
      <c r="L14" s="239"/>
      <c r="M14" s="240"/>
    </row>
    <row r="15" spans="1:13" ht="17.25" customHeight="1" x14ac:dyDescent="0.25">
      <c r="A15" s="237">
        <v>9</v>
      </c>
      <c r="B15" s="242" t="s">
        <v>7</v>
      </c>
      <c r="C15" s="239">
        <f t="shared" si="0"/>
        <v>1340</v>
      </c>
      <c r="D15" s="239"/>
      <c r="E15" s="239">
        <v>1340</v>
      </c>
      <c r="F15" s="239">
        <v>100</v>
      </c>
      <c r="G15" s="239"/>
      <c r="H15" s="239"/>
      <c r="I15" s="239"/>
      <c r="J15" s="239"/>
      <c r="K15" s="239"/>
      <c r="L15" s="239"/>
      <c r="M15" s="240"/>
    </row>
    <row r="16" spans="1:13" ht="16.5" customHeight="1" x14ac:dyDescent="0.25">
      <c r="A16" s="237">
        <v>10</v>
      </c>
      <c r="B16" s="242" t="s">
        <v>8</v>
      </c>
      <c r="C16" s="239">
        <f t="shared" si="0"/>
        <v>977</v>
      </c>
      <c r="D16" s="239"/>
      <c r="E16" s="239">
        <v>977</v>
      </c>
      <c r="F16" s="239">
        <v>71</v>
      </c>
      <c r="G16" s="239"/>
      <c r="H16" s="239"/>
      <c r="I16" s="239"/>
      <c r="J16" s="239"/>
      <c r="K16" s="239"/>
      <c r="L16" s="239"/>
      <c r="M16" s="240"/>
    </row>
    <row r="17" spans="1:13" ht="15.75" customHeight="1" x14ac:dyDescent="0.25">
      <c r="A17" s="237">
        <v>11</v>
      </c>
      <c r="B17" s="242" t="s">
        <v>9</v>
      </c>
      <c r="C17" s="239">
        <f t="shared" si="0"/>
        <v>4649</v>
      </c>
      <c r="D17" s="239"/>
      <c r="E17" s="239">
        <f>4963-314</f>
        <v>4649</v>
      </c>
      <c r="F17" s="239">
        <v>343</v>
      </c>
      <c r="G17" s="239"/>
      <c r="H17" s="239">
        <f>406-314</f>
        <v>92</v>
      </c>
      <c r="I17" s="239"/>
      <c r="J17" s="239"/>
      <c r="K17" s="239">
        <v>6</v>
      </c>
      <c r="L17" s="239"/>
      <c r="M17" s="240"/>
    </row>
    <row r="18" spans="1:13" ht="16.5" customHeight="1" x14ac:dyDescent="0.25">
      <c r="A18" s="237">
        <v>12</v>
      </c>
      <c r="B18" s="242" t="s">
        <v>10</v>
      </c>
      <c r="C18" s="239">
        <f t="shared" si="0"/>
        <v>910</v>
      </c>
      <c r="D18" s="239"/>
      <c r="E18" s="239">
        <v>910</v>
      </c>
      <c r="F18" s="239">
        <v>79</v>
      </c>
      <c r="G18" s="239"/>
      <c r="H18" s="239"/>
      <c r="I18" s="239"/>
      <c r="J18" s="239"/>
      <c r="K18" s="239"/>
      <c r="L18" s="239"/>
      <c r="M18" s="240"/>
    </row>
    <row r="19" spans="1:13" ht="18.75" customHeight="1" x14ac:dyDescent="0.25">
      <c r="A19" s="237">
        <v>13</v>
      </c>
      <c r="B19" s="242" t="s">
        <v>11</v>
      </c>
      <c r="C19" s="239">
        <f t="shared" si="0"/>
        <v>5179</v>
      </c>
      <c r="D19" s="239"/>
      <c r="E19" s="239">
        <f>5504-325</f>
        <v>5179</v>
      </c>
      <c r="F19" s="239">
        <v>417</v>
      </c>
      <c r="G19" s="239"/>
      <c r="H19" s="239">
        <f>421-325</f>
        <v>96</v>
      </c>
      <c r="I19" s="239"/>
      <c r="J19" s="239"/>
      <c r="K19" s="239">
        <v>8</v>
      </c>
      <c r="L19" s="239"/>
      <c r="M19" s="240"/>
    </row>
    <row r="20" spans="1:13" ht="19.5" customHeight="1" x14ac:dyDescent="0.25">
      <c r="A20" s="237">
        <v>14</v>
      </c>
      <c r="B20" s="242" t="s">
        <v>12</v>
      </c>
      <c r="C20" s="239">
        <f t="shared" si="0"/>
        <v>1038</v>
      </c>
      <c r="D20" s="239"/>
      <c r="E20" s="239">
        <v>1038</v>
      </c>
      <c r="F20" s="239">
        <v>78</v>
      </c>
      <c r="G20" s="239"/>
      <c r="H20" s="239"/>
      <c r="I20" s="239"/>
      <c r="J20" s="239"/>
      <c r="K20" s="239"/>
      <c r="L20" s="239"/>
      <c r="M20" s="240"/>
    </row>
    <row r="21" spans="1:13" ht="20.25" customHeight="1" x14ac:dyDescent="0.25">
      <c r="A21" s="237">
        <v>15</v>
      </c>
      <c r="B21" s="242" t="s">
        <v>13</v>
      </c>
      <c r="C21" s="239">
        <f t="shared" si="0"/>
        <v>3291</v>
      </c>
      <c r="D21" s="239"/>
      <c r="E21" s="239">
        <f>3646-355</f>
        <v>3291</v>
      </c>
      <c r="F21" s="239">
        <v>253</v>
      </c>
      <c r="G21" s="239"/>
      <c r="H21" s="239">
        <f>728-355</f>
        <v>373</v>
      </c>
      <c r="I21" s="239"/>
      <c r="J21" s="239"/>
      <c r="K21" s="239">
        <v>4</v>
      </c>
      <c r="L21" s="239"/>
      <c r="M21" s="240"/>
    </row>
    <row r="22" spans="1:13" ht="17.25" customHeight="1" x14ac:dyDescent="0.25">
      <c r="A22" s="237">
        <v>16</v>
      </c>
      <c r="B22" s="242" t="s">
        <v>15</v>
      </c>
      <c r="C22" s="239">
        <f t="shared" si="0"/>
        <v>2425</v>
      </c>
      <c r="D22" s="239"/>
      <c r="E22" s="239">
        <v>2425</v>
      </c>
      <c r="F22" s="239">
        <v>215</v>
      </c>
      <c r="G22" s="239"/>
      <c r="H22" s="239"/>
      <c r="I22" s="239"/>
      <c r="J22" s="239"/>
      <c r="K22" s="239"/>
      <c r="L22" s="239"/>
      <c r="M22" s="240"/>
    </row>
    <row r="23" spans="1:13" ht="19.5" customHeight="1" x14ac:dyDescent="0.25">
      <c r="A23" s="237">
        <v>17</v>
      </c>
      <c r="B23" s="242" t="s">
        <v>38</v>
      </c>
      <c r="C23" s="239">
        <f t="shared" si="0"/>
        <v>1090</v>
      </c>
      <c r="D23" s="239"/>
      <c r="E23" s="239">
        <v>1090</v>
      </c>
      <c r="F23" s="239">
        <v>90</v>
      </c>
      <c r="G23" s="239"/>
      <c r="H23" s="239"/>
      <c r="I23" s="239"/>
      <c r="J23" s="239"/>
      <c r="K23" s="239"/>
      <c r="L23" s="239"/>
      <c r="M23" s="240"/>
    </row>
    <row r="24" spans="1:13" ht="17.25" customHeight="1" x14ac:dyDescent="0.25">
      <c r="A24" s="237">
        <v>18</v>
      </c>
      <c r="B24" s="242" t="s">
        <v>16</v>
      </c>
      <c r="C24" s="239">
        <f t="shared" si="0"/>
        <v>1333</v>
      </c>
      <c r="D24" s="239"/>
      <c r="E24" s="239">
        <v>1333</v>
      </c>
      <c r="F24" s="239">
        <v>92</v>
      </c>
      <c r="G24" s="239"/>
      <c r="H24" s="239"/>
      <c r="I24" s="239"/>
      <c r="J24" s="239"/>
      <c r="K24" s="239"/>
      <c r="L24" s="239"/>
      <c r="M24" s="240"/>
    </row>
    <row r="25" spans="1:13" ht="17.25" customHeight="1" x14ac:dyDescent="0.25">
      <c r="A25" s="237">
        <v>19</v>
      </c>
      <c r="B25" s="242" t="s">
        <v>17</v>
      </c>
      <c r="C25" s="239">
        <f t="shared" si="0"/>
        <v>1084</v>
      </c>
      <c r="D25" s="239"/>
      <c r="E25" s="239">
        <v>1084</v>
      </c>
      <c r="F25" s="239">
        <v>70</v>
      </c>
      <c r="G25" s="239"/>
      <c r="H25" s="239"/>
      <c r="I25" s="239"/>
      <c r="J25" s="239"/>
      <c r="K25" s="239"/>
      <c r="L25" s="239"/>
      <c r="M25" s="240"/>
    </row>
    <row r="26" spans="1:13" ht="17.25" customHeight="1" x14ac:dyDescent="0.25">
      <c r="A26" s="237">
        <v>20</v>
      </c>
      <c r="B26" s="242" t="s">
        <v>18</v>
      </c>
      <c r="C26" s="239">
        <f t="shared" si="0"/>
        <v>855</v>
      </c>
      <c r="D26" s="239"/>
      <c r="E26" s="239">
        <v>855</v>
      </c>
      <c r="F26" s="239">
        <v>91</v>
      </c>
      <c r="G26" s="239"/>
      <c r="H26" s="239"/>
      <c r="I26" s="239"/>
      <c r="J26" s="239"/>
      <c r="K26" s="239"/>
      <c r="L26" s="239"/>
      <c r="M26" s="240"/>
    </row>
    <row r="27" spans="1:13" ht="18" customHeight="1" x14ac:dyDescent="0.25">
      <c r="A27" s="237">
        <v>21</v>
      </c>
      <c r="B27" s="242" t="s">
        <v>44</v>
      </c>
      <c r="C27" s="239">
        <f t="shared" si="0"/>
        <v>1168</v>
      </c>
      <c r="D27" s="239"/>
      <c r="E27" s="239">
        <v>1168</v>
      </c>
      <c r="F27" s="239">
        <v>91</v>
      </c>
      <c r="G27" s="239"/>
      <c r="H27" s="239"/>
      <c r="I27" s="239"/>
      <c r="J27" s="239"/>
      <c r="K27" s="239"/>
      <c r="L27" s="239"/>
      <c r="M27" s="240"/>
    </row>
    <row r="28" spans="1:13" ht="18" customHeight="1" x14ac:dyDescent="0.25">
      <c r="A28" s="237">
        <v>22</v>
      </c>
      <c r="B28" s="242" t="s">
        <v>27</v>
      </c>
      <c r="C28" s="239">
        <f t="shared" si="0"/>
        <v>1554</v>
      </c>
      <c r="D28" s="239"/>
      <c r="E28" s="239">
        <v>1554</v>
      </c>
      <c r="F28" s="239">
        <v>118</v>
      </c>
      <c r="G28" s="239"/>
      <c r="H28" s="239"/>
      <c r="I28" s="239"/>
      <c r="J28" s="239"/>
      <c r="K28" s="239"/>
      <c r="L28" s="239"/>
      <c r="M28" s="240"/>
    </row>
    <row r="29" spans="1:13" ht="17.25" customHeight="1" x14ac:dyDescent="0.25">
      <c r="A29" s="237">
        <v>23</v>
      </c>
      <c r="B29" s="242" t="s">
        <v>36</v>
      </c>
      <c r="C29" s="239">
        <f t="shared" si="0"/>
        <v>3194</v>
      </c>
      <c r="D29" s="239"/>
      <c r="E29" s="239">
        <f>3694-500</f>
        <v>3194</v>
      </c>
      <c r="F29" s="239">
        <v>210</v>
      </c>
      <c r="G29" s="239"/>
      <c r="H29" s="239">
        <f>679-500</f>
        <v>179</v>
      </c>
      <c r="I29" s="239"/>
      <c r="J29" s="239"/>
      <c r="K29" s="239">
        <v>4</v>
      </c>
      <c r="L29" s="239"/>
      <c r="M29" s="240"/>
    </row>
    <row r="30" spans="1:13" ht="17.25" customHeight="1" x14ac:dyDescent="0.25">
      <c r="A30" s="237">
        <v>24</v>
      </c>
      <c r="B30" s="242" t="s">
        <v>382</v>
      </c>
      <c r="C30" s="239">
        <f t="shared" si="0"/>
        <v>7143</v>
      </c>
      <c r="D30" s="239"/>
      <c r="E30" s="239">
        <f>7370-227</f>
        <v>7143</v>
      </c>
      <c r="F30" s="239">
        <v>1291</v>
      </c>
      <c r="G30" s="239"/>
      <c r="H30" s="239">
        <f>450-227</f>
        <v>223</v>
      </c>
      <c r="I30" s="239"/>
      <c r="J30" s="239"/>
      <c r="K30" s="239">
        <v>8</v>
      </c>
      <c r="L30" s="239"/>
      <c r="M30" s="240"/>
    </row>
    <row r="31" spans="1:13" ht="16.5" customHeight="1" x14ac:dyDescent="0.25">
      <c r="A31" s="237">
        <v>25</v>
      </c>
      <c r="B31" s="242" t="s">
        <v>53</v>
      </c>
      <c r="C31" s="239">
        <f t="shared" si="0"/>
        <v>4096</v>
      </c>
      <c r="D31" s="239"/>
      <c r="E31" s="239">
        <v>4096</v>
      </c>
      <c r="F31" s="239"/>
      <c r="G31" s="239"/>
      <c r="H31" s="239">
        <v>690</v>
      </c>
      <c r="I31" s="239"/>
      <c r="J31" s="239"/>
      <c r="K31" s="239">
        <f>6-6</f>
        <v>0</v>
      </c>
      <c r="L31" s="239"/>
      <c r="M31" s="240"/>
    </row>
    <row r="32" spans="1:13" s="244" customFormat="1" ht="18.75" customHeight="1" x14ac:dyDescent="0.25">
      <c r="A32" s="356">
        <v>26</v>
      </c>
      <c r="B32" s="242" t="s">
        <v>99</v>
      </c>
      <c r="C32" s="239">
        <f t="shared" si="0"/>
        <v>3300</v>
      </c>
      <c r="D32" s="239"/>
      <c r="E32" s="239">
        <v>3300</v>
      </c>
      <c r="F32" s="239"/>
      <c r="G32" s="239"/>
      <c r="H32" s="239">
        <v>507</v>
      </c>
      <c r="I32" s="239"/>
      <c r="J32" s="239"/>
      <c r="K32" s="239"/>
      <c r="L32" s="239"/>
      <c r="M32" s="243"/>
    </row>
    <row r="33" spans="1:13" s="244" customFormat="1" ht="39.75" customHeight="1" x14ac:dyDescent="0.25">
      <c r="A33" s="357"/>
      <c r="B33" s="245" t="s">
        <v>383</v>
      </c>
      <c r="C33" s="239">
        <f t="shared" si="0"/>
        <v>2485</v>
      </c>
      <c r="D33" s="239"/>
      <c r="E33" s="239">
        <f>0+2485</f>
        <v>2485</v>
      </c>
      <c r="F33" s="239"/>
      <c r="G33" s="239"/>
      <c r="H33" s="239"/>
      <c r="I33" s="239"/>
      <c r="J33" s="239"/>
      <c r="K33" s="239"/>
      <c r="L33" s="239"/>
      <c r="M33" s="243"/>
    </row>
    <row r="34" spans="1:13" ht="16.5" customHeight="1" x14ac:dyDescent="0.25">
      <c r="A34" s="237">
        <v>27</v>
      </c>
      <c r="B34" s="242" t="s">
        <v>384</v>
      </c>
      <c r="C34" s="239">
        <f t="shared" si="0"/>
        <v>475</v>
      </c>
      <c r="D34" s="239"/>
      <c r="E34" s="239">
        <f>2960-2485</f>
        <v>475</v>
      </c>
      <c r="F34" s="239"/>
      <c r="G34" s="239"/>
      <c r="H34" s="239"/>
      <c r="I34" s="239"/>
      <c r="J34" s="239"/>
      <c r="K34" s="239"/>
      <c r="L34" s="239"/>
      <c r="M34" s="240"/>
    </row>
    <row r="35" spans="1:13" ht="30" customHeight="1" x14ac:dyDescent="0.25">
      <c r="A35" s="237">
        <v>28</v>
      </c>
      <c r="B35" s="246" t="s">
        <v>100</v>
      </c>
      <c r="C35" s="239">
        <f t="shared" si="0"/>
        <v>4360</v>
      </c>
      <c r="D35" s="239"/>
      <c r="E35" s="239">
        <f>3211+1149</f>
        <v>4360</v>
      </c>
      <c r="F35" s="239">
        <f>301+188</f>
        <v>489</v>
      </c>
      <c r="G35" s="239"/>
      <c r="H35" s="239"/>
      <c r="I35" s="239"/>
      <c r="J35" s="239"/>
      <c r="K35" s="239"/>
      <c r="L35" s="239"/>
      <c r="M35" s="240"/>
    </row>
    <row r="36" spans="1:13" ht="23.25" customHeight="1" x14ac:dyDescent="0.25">
      <c r="A36" s="237">
        <v>29</v>
      </c>
      <c r="B36" s="242" t="s">
        <v>385</v>
      </c>
      <c r="C36" s="239">
        <f t="shared" si="0"/>
        <v>383</v>
      </c>
      <c r="D36" s="239"/>
      <c r="E36" s="239">
        <f>1532-1149</f>
        <v>383</v>
      </c>
      <c r="F36" s="239">
        <f>251-188</f>
        <v>63</v>
      </c>
      <c r="G36" s="239"/>
      <c r="H36" s="239"/>
      <c r="I36" s="239"/>
      <c r="J36" s="239"/>
      <c r="K36" s="239"/>
      <c r="L36" s="239"/>
      <c r="M36" s="240"/>
    </row>
    <row r="37" spans="1:13" ht="18.75" customHeight="1" x14ac:dyDescent="0.25">
      <c r="A37" s="237">
        <v>30</v>
      </c>
      <c r="B37" s="242" t="s">
        <v>386</v>
      </c>
      <c r="C37" s="239">
        <f t="shared" si="0"/>
        <v>5749</v>
      </c>
      <c r="D37" s="239"/>
      <c r="E37" s="239">
        <f>5894-145</f>
        <v>5749</v>
      </c>
      <c r="F37" s="239">
        <v>1046</v>
      </c>
      <c r="G37" s="239"/>
      <c r="H37" s="239">
        <f>590+27-145</f>
        <v>472</v>
      </c>
      <c r="I37" s="239"/>
      <c r="J37" s="239">
        <v>30</v>
      </c>
      <c r="K37" s="239">
        <v>12</v>
      </c>
      <c r="L37" s="239"/>
      <c r="M37" s="240"/>
    </row>
    <row r="38" spans="1:13" ht="18.75" customHeight="1" x14ac:dyDescent="0.25">
      <c r="A38" s="237">
        <v>31</v>
      </c>
      <c r="B38" s="242" t="s">
        <v>387</v>
      </c>
      <c r="C38" s="239">
        <f t="shared" si="0"/>
        <v>64</v>
      </c>
      <c r="D38" s="239"/>
      <c r="E38" s="239">
        <f>329-247-18</f>
        <v>64</v>
      </c>
      <c r="F38" s="239"/>
      <c r="G38" s="239"/>
      <c r="H38" s="239"/>
      <c r="I38" s="239"/>
      <c r="J38" s="239"/>
      <c r="K38" s="239"/>
      <c r="L38" s="239"/>
      <c r="M38" s="240"/>
    </row>
    <row r="39" spans="1:13" ht="20.25" customHeight="1" x14ac:dyDescent="0.25">
      <c r="A39" s="237">
        <v>32</v>
      </c>
      <c r="B39" s="242" t="s">
        <v>388</v>
      </c>
      <c r="C39" s="239">
        <f t="shared" si="0"/>
        <v>2191</v>
      </c>
      <c r="D39" s="239"/>
      <c r="E39" s="239">
        <v>2191</v>
      </c>
      <c r="F39" s="239">
        <v>2191</v>
      </c>
      <c r="G39" s="239"/>
      <c r="H39" s="239"/>
      <c r="I39" s="239"/>
      <c r="J39" s="239"/>
      <c r="K39" s="239">
        <f>20+5+19</f>
        <v>44</v>
      </c>
      <c r="L39" s="239"/>
      <c r="M39" s="240"/>
    </row>
    <row r="40" spans="1:13" ht="17.25" customHeight="1" x14ac:dyDescent="0.25">
      <c r="A40" s="237">
        <v>33</v>
      </c>
      <c r="B40" s="247" t="s">
        <v>20</v>
      </c>
      <c r="C40" s="239">
        <f t="shared" si="0"/>
        <v>1856</v>
      </c>
      <c r="D40" s="239"/>
      <c r="E40" s="239">
        <v>1856</v>
      </c>
      <c r="F40" s="239">
        <v>146</v>
      </c>
      <c r="G40" s="239"/>
      <c r="H40" s="239"/>
      <c r="I40" s="239"/>
      <c r="J40" s="239"/>
      <c r="K40" s="239"/>
      <c r="L40" s="239"/>
      <c r="M40" s="240"/>
    </row>
    <row r="41" spans="1:13" ht="18" customHeight="1" x14ac:dyDescent="0.25">
      <c r="A41" s="237">
        <v>34</v>
      </c>
      <c r="B41" s="242" t="s">
        <v>22</v>
      </c>
      <c r="C41" s="239">
        <f t="shared" si="0"/>
        <v>2896</v>
      </c>
      <c r="D41" s="239"/>
      <c r="E41" s="239">
        <v>2896</v>
      </c>
      <c r="F41" s="239">
        <v>225</v>
      </c>
      <c r="G41" s="239"/>
      <c r="H41" s="239"/>
      <c r="I41" s="239"/>
      <c r="J41" s="239"/>
      <c r="K41" s="239">
        <v>4</v>
      </c>
      <c r="L41" s="239"/>
      <c r="M41" s="240"/>
    </row>
    <row r="42" spans="1:13" ht="17.25" customHeight="1" x14ac:dyDescent="0.25">
      <c r="A42" s="237">
        <v>35</v>
      </c>
      <c r="B42" s="242" t="s">
        <v>23</v>
      </c>
      <c r="C42" s="239">
        <f t="shared" si="0"/>
        <v>652</v>
      </c>
      <c r="D42" s="239"/>
      <c r="E42" s="239">
        <v>652</v>
      </c>
      <c r="F42" s="239">
        <v>41</v>
      </c>
      <c r="G42" s="239"/>
      <c r="H42" s="239"/>
      <c r="I42" s="239"/>
      <c r="J42" s="239"/>
      <c r="K42" s="239"/>
      <c r="L42" s="239"/>
      <c r="M42" s="240"/>
    </row>
    <row r="43" spans="1:13" ht="17.25" customHeight="1" x14ac:dyDescent="0.25">
      <c r="A43" s="237">
        <v>36</v>
      </c>
      <c r="B43" s="242" t="s">
        <v>25</v>
      </c>
      <c r="C43" s="239">
        <f t="shared" si="0"/>
        <v>702</v>
      </c>
      <c r="D43" s="239"/>
      <c r="E43" s="239">
        <v>702</v>
      </c>
      <c r="F43" s="239">
        <v>59</v>
      </c>
      <c r="G43" s="239"/>
      <c r="H43" s="239"/>
      <c r="I43" s="239"/>
      <c r="J43" s="239"/>
      <c r="K43" s="239"/>
      <c r="L43" s="239"/>
      <c r="M43" s="240"/>
    </row>
    <row r="44" spans="1:13" ht="18" customHeight="1" x14ac:dyDescent="0.25">
      <c r="A44" s="237">
        <v>37</v>
      </c>
      <c r="B44" s="242" t="s">
        <v>26</v>
      </c>
      <c r="C44" s="239">
        <f t="shared" si="0"/>
        <v>2628</v>
      </c>
      <c r="D44" s="239"/>
      <c r="E44" s="239">
        <v>2628</v>
      </c>
      <c r="F44" s="239">
        <v>249</v>
      </c>
      <c r="G44" s="239"/>
      <c r="H44" s="239"/>
      <c r="I44" s="239"/>
      <c r="J44" s="239"/>
      <c r="K44" s="239"/>
      <c r="L44" s="239"/>
      <c r="M44" s="240"/>
    </row>
    <row r="45" spans="1:13" ht="19.5" customHeight="1" x14ac:dyDescent="0.25">
      <c r="A45" s="237">
        <v>38</v>
      </c>
      <c r="B45" s="242" t="s">
        <v>24</v>
      </c>
      <c r="C45" s="239">
        <f t="shared" si="0"/>
        <v>1275</v>
      </c>
      <c r="D45" s="239"/>
      <c r="E45" s="239">
        <v>1275</v>
      </c>
      <c r="F45" s="239">
        <v>112</v>
      </c>
      <c r="G45" s="239"/>
      <c r="H45" s="239"/>
      <c r="I45" s="239"/>
      <c r="J45" s="239"/>
      <c r="K45" s="239"/>
      <c r="L45" s="239"/>
      <c r="M45" s="240"/>
    </row>
    <row r="46" spans="1:13" ht="20.25" customHeight="1" x14ac:dyDescent="0.25">
      <c r="A46" s="237">
        <v>39</v>
      </c>
      <c r="B46" s="242" t="s">
        <v>28</v>
      </c>
      <c r="C46" s="239">
        <f t="shared" si="0"/>
        <v>4196</v>
      </c>
      <c r="D46" s="239"/>
      <c r="E46" s="239">
        <v>4196</v>
      </c>
      <c r="F46" s="239">
        <v>337</v>
      </c>
      <c r="G46" s="248"/>
      <c r="H46" s="248"/>
      <c r="I46" s="248"/>
      <c r="J46" s="248"/>
      <c r="K46" s="248"/>
      <c r="L46" s="248"/>
      <c r="M46" s="240"/>
    </row>
    <row r="47" spans="1:13" ht="18" customHeight="1" x14ac:dyDescent="0.25">
      <c r="A47" s="237">
        <v>40</v>
      </c>
      <c r="B47" s="242" t="s">
        <v>29</v>
      </c>
      <c r="C47" s="239">
        <f t="shared" si="0"/>
        <v>1223</v>
      </c>
      <c r="D47" s="239"/>
      <c r="E47" s="239">
        <v>1223</v>
      </c>
      <c r="F47" s="239">
        <v>98</v>
      </c>
      <c r="G47" s="239"/>
      <c r="H47" s="239"/>
      <c r="I47" s="239"/>
      <c r="J47" s="239"/>
      <c r="K47" s="239"/>
      <c r="L47" s="239"/>
      <c r="M47" s="240"/>
    </row>
    <row r="48" spans="1:13" ht="18.75" customHeight="1" x14ac:dyDescent="0.25">
      <c r="A48" s="237">
        <v>41</v>
      </c>
      <c r="B48" s="242" t="s">
        <v>30</v>
      </c>
      <c r="C48" s="239">
        <f t="shared" si="0"/>
        <v>1118</v>
      </c>
      <c r="D48" s="239"/>
      <c r="E48" s="239">
        <v>1118</v>
      </c>
      <c r="F48" s="239">
        <v>82</v>
      </c>
      <c r="G48" s="239"/>
      <c r="H48" s="239"/>
      <c r="I48" s="239"/>
      <c r="J48" s="239"/>
      <c r="K48" s="239"/>
      <c r="L48" s="239"/>
      <c r="M48" s="240"/>
    </row>
    <row r="49" spans="1:13" ht="18" customHeight="1" x14ac:dyDescent="0.25">
      <c r="A49" s="237">
        <v>42</v>
      </c>
      <c r="B49" s="242" t="s">
        <v>31</v>
      </c>
      <c r="C49" s="239">
        <f t="shared" si="0"/>
        <v>2293</v>
      </c>
      <c r="D49" s="239"/>
      <c r="E49" s="239">
        <v>2293</v>
      </c>
      <c r="F49" s="239">
        <v>192</v>
      </c>
      <c r="G49" s="239"/>
      <c r="H49" s="239"/>
      <c r="I49" s="239"/>
      <c r="J49" s="239"/>
      <c r="K49" s="239"/>
      <c r="L49" s="239"/>
      <c r="M49" s="240"/>
    </row>
    <row r="50" spans="1:13" ht="18" customHeight="1" x14ac:dyDescent="0.25">
      <c r="A50" s="237">
        <v>43</v>
      </c>
      <c r="B50" s="242" t="s">
        <v>32</v>
      </c>
      <c r="C50" s="239">
        <f t="shared" si="0"/>
        <v>815</v>
      </c>
      <c r="D50" s="239"/>
      <c r="E50" s="239">
        <v>815</v>
      </c>
      <c r="F50" s="239">
        <v>69</v>
      </c>
      <c r="G50" s="239"/>
      <c r="H50" s="239"/>
      <c r="I50" s="239"/>
      <c r="J50" s="239"/>
      <c r="K50" s="239"/>
      <c r="L50" s="239"/>
      <c r="M50" s="240"/>
    </row>
    <row r="51" spans="1:13" ht="18.75" customHeight="1" x14ac:dyDescent="0.25">
      <c r="A51" s="237">
        <v>44</v>
      </c>
      <c r="B51" s="242" t="s">
        <v>33</v>
      </c>
      <c r="C51" s="239">
        <f t="shared" si="0"/>
        <v>1345</v>
      </c>
      <c r="D51" s="239"/>
      <c r="E51" s="239">
        <v>1345</v>
      </c>
      <c r="F51" s="239">
        <v>93</v>
      </c>
      <c r="G51" s="248"/>
      <c r="H51" s="248"/>
      <c r="I51" s="248"/>
      <c r="J51" s="248"/>
      <c r="K51" s="248"/>
      <c r="L51" s="248"/>
      <c r="M51" s="240"/>
    </row>
    <row r="52" spans="1:13" ht="15" customHeight="1" x14ac:dyDescent="0.25">
      <c r="A52" s="237">
        <v>45</v>
      </c>
      <c r="B52" s="242" t="s">
        <v>19</v>
      </c>
      <c r="C52" s="239">
        <f t="shared" si="0"/>
        <v>1592</v>
      </c>
      <c r="D52" s="239"/>
      <c r="E52" s="239">
        <v>1592</v>
      </c>
      <c r="F52" s="239">
        <v>137</v>
      </c>
      <c r="G52" s="239"/>
      <c r="H52" s="239"/>
      <c r="I52" s="239"/>
      <c r="J52" s="239"/>
      <c r="K52" s="239">
        <f>0+6</f>
        <v>6</v>
      </c>
      <c r="L52" s="239"/>
      <c r="M52" s="240"/>
    </row>
    <row r="53" spans="1:13" ht="18" customHeight="1" x14ac:dyDescent="0.25">
      <c r="A53" s="237">
        <v>46</v>
      </c>
      <c r="B53" s="242" t="s">
        <v>35</v>
      </c>
      <c r="C53" s="239">
        <f t="shared" si="0"/>
        <v>1269</v>
      </c>
      <c r="D53" s="239"/>
      <c r="E53" s="239">
        <v>1269</v>
      </c>
      <c r="F53" s="239">
        <v>96</v>
      </c>
      <c r="G53" s="239"/>
      <c r="H53" s="239"/>
      <c r="I53" s="239"/>
      <c r="J53" s="239"/>
      <c r="K53" s="239"/>
      <c r="L53" s="239"/>
      <c r="M53" s="240"/>
    </row>
    <row r="54" spans="1:13" ht="18" customHeight="1" x14ac:dyDescent="0.25">
      <c r="A54" s="237">
        <v>47</v>
      </c>
      <c r="B54" s="242" t="s">
        <v>42</v>
      </c>
      <c r="C54" s="239">
        <f t="shared" si="0"/>
        <v>1239</v>
      </c>
      <c r="D54" s="239"/>
      <c r="E54" s="239">
        <v>1239</v>
      </c>
      <c r="F54" s="239">
        <v>109</v>
      </c>
      <c r="G54" s="239"/>
      <c r="H54" s="239"/>
      <c r="I54" s="239"/>
      <c r="J54" s="239"/>
      <c r="K54" s="239"/>
      <c r="L54" s="239"/>
      <c r="M54" s="240"/>
    </row>
    <row r="55" spans="1:13" ht="20.25" customHeight="1" x14ac:dyDescent="0.25">
      <c r="A55" s="237">
        <v>48</v>
      </c>
      <c r="B55" s="242" t="s">
        <v>37</v>
      </c>
      <c r="C55" s="239">
        <f t="shared" si="0"/>
        <v>4124</v>
      </c>
      <c r="D55" s="239"/>
      <c r="E55" s="239">
        <v>4124</v>
      </c>
      <c r="F55" s="239">
        <v>337</v>
      </c>
      <c r="G55" s="239"/>
      <c r="H55" s="239">
        <v>64</v>
      </c>
      <c r="I55" s="239"/>
      <c r="J55" s="239"/>
      <c r="K55" s="239">
        <f>0+5+7+6+3</f>
        <v>21</v>
      </c>
      <c r="L55" s="239"/>
      <c r="M55" s="240"/>
    </row>
    <row r="56" spans="1:13" ht="20.25" customHeight="1" x14ac:dyDescent="0.25">
      <c r="A56" s="237">
        <v>49</v>
      </c>
      <c r="B56" s="242" t="s">
        <v>21</v>
      </c>
      <c r="C56" s="239">
        <f t="shared" si="0"/>
        <v>1662</v>
      </c>
      <c r="D56" s="239"/>
      <c r="E56" s="239">
        <f>1795-133</f>
        <v>1662</v>
      </c>
      <c r="F56" s="239">
        <v>132</v>
      </c>
      <c r="G56" s="239"/>
      <c r="H56" s="239">
        <f>365-133</f>
        <v>232</v>
      </c>
      <c r="I56" s="239"/>
      <c r="J56" s="239">
        <v>50</v>
      </c>
      <c r="K56" s="239">
        <f>4+2</f>
        <v>6</v>
      </c>
      <c r="L56" s="239"/>
      <c r="M56" s="240"/>
    </row>
    <row r="57" spans="1:13" ht="19.5" customHeight="1" x14ac:dyDescent="0.25">
      <c r="A57" s="237">
        <v>50</v>
      </c>
      <c r="B57" s="242" t="s">
        <v>39</v>
      </c>
      <c r="C57" s="239">
        <f t="shared" si="0"/>
        <v>1114</v>
      </c>
      <c r="D57" s="239"/>
      <c r="E57" s="239">
        <v>1114</v>
      </c>
      <c r="F57" s="239">
        <v>95</v>
      </c>
      <c r="G57" s="239"/>
      <c r="H57" s="239"/>
      <c r="I57" s="239"/>
      <c r="J57" s="239"/>
      <c r="K57" s="239"/>
      <c r="L57" s="239"/>
      <c r="M57" s="240"/>
    </row>
    <row r="58" spans="1:13" ht="19.5" customHeight="1" x14ac:dyDescent="0.25">
      <c r="A58" s="237">
        <v>51</v>
      </c>
      <c r="B58" s="242" t="s">
        <v>40</v>
      </c>
      <c r="C58" s="239">
        <f t="shared" si="0"/>
        <v>1292</v>
      </c>
      <c r="D58" s="239"/>
      <c r="E58" s="239">
        <v>1292</v>
      </c>
      <c r="F58" s="239">
        <v>95</v>
      </c>
      <c r="G58" s="239"/>
      <c r="H58" s="239"/>
      <c r="I58" s="239"/>
      <c r="J58" s="239"/>
      <c r="K58" s="239"/>
      <c r="L58" s="239"/>
      <c r="M58" s="240"/>
    </row>
    <row r="59" spans="1:13" ht="19.5" customHeight="1" x14ac:dyDescent="0.25">
      <c r="A59" s="237">
        <v>52</v>
      </c>
      <c r="B59" s="242" t="s">
        <v>34</v>
      </c>
      <c r="C59" s="239">
        <f t="shared" si="0"/>
        <v>1468</v>
      </c>
      <c r="D59" s="239"/>
      <c r="E59" s="239">
        <v>1468</v>
      </c>
      <c r="F59" s="239">
        <v>123</v>
      </c>
      <c r="G59" s="239"/>
      <c r="H59" s="239"/>
      <c r="I59" s="239"/>
      <c r="J59" s="239"/>
      <c r="K59" s="239"/>
      <c r="L59" s="239"/>
      <c r="M59" s="240"/>
    </row>
    <row r="60" spans="1:13" ht="19.5" customHeight="1" x14ac:dyDescent="0.25">
      <c r="A60" s="237">
        <v>53</v>
      </c>
      <c r="B60" s="242" t="s">
        <v>41</v>
      </c>
      <c r="C60" s="239">
        <f t="shared" si="0"/>
        <v>939</v>
      </c>
      <c r="D60" s="239"/>
      <c r="E60" s="239">
        <v>939</v>
      </c>
      <c r="F60" s="239">
        <v>81</v>
      </c>
      <c r="G60" s="239"/>
      <c r="H60" s="239"/>
      <c r="I60" s="239"/>
      <c r="J60" s="239"/>
      <c r="K60" s="239"/>
      <c r="L60" s="239"/>
      <c r="M60" s="240"/>
    </row>
    <row r="61" spans="1:13" ht="19.5" customHeight="1" x14ac:dyDescent="0.25">
      <c r="A61" s="237">
        <v>54</v>
      </c>
      <c r="B61" s="242" t="s">
        <v>2</v>
      </c>
      <c r="C61" s="239">
        <f t="shared" si="0"/>
        <v>1922</v>
      </c>
      <c r="D61" s="239"/>
      <c r="E61" s="239">
        <v>1922</v>
      </c>
      <c r="F61" s="239">
        <v>146</v>
      </c>
      <c r="G61" s="239"/>
      <c r="H61" s="239"/>
      <c r="I61" s="239"/>
      <c r="J61" s="239"/>
      <c r="K61" s="239"/>
      <c r="L61" s="239"/>
      <c r="M61" s="240"/>
    </row>
    <row r="62" spans="1:13" ht="18.75" customHeight="1" x14ac:dyDescent="0.25">
      <c r="A62" s="237">
        <v>55</v>
      </c>
      <c r="B62" s="242" t="s">
        <v>43</v>
      </c>
      <c r="C62" s="239">
        <f t="shared" si="0"/>
        <v>939</v>
      </c>
      <c r="D62" s="239"/>
      <c r="E62" s="239">
        <v>939</v>
      </c>
      <c r="F62" s="239">
        <v>66</v>
      </c>
      <c r="G62" s="239"/>
      <c r="H62" s="239"/>
      <c r="I62" s="239"/>
      <c r="J62" s="239"/>
      <c r="K62" s="239"/>
      <c r="L62" s="239"/>
      <c r="M62" s="240"/>
    </row>
    <row r="63" spans="1:13" ht="18.75" customHeight="1" x14ac:dyDescent="0.25">
      <c r="A63" s="237">
        <v>56</v>
      </c>
      <c r="B63" s="242" t="s">
        <v>5</v>
      </c>
      <c r="C63" s="239">
        <f t="shared" si="0"/>
        <v>1628</v>
      </c>
      <c r="D63" s="239"/>
      <c r="E63" s="239">
        <v>1628</v>
      </c>
      <c r="F63" s="239">
        <v>113</v>
      </c>
      <c r="G63" s="239"/>
      <c r="H63" s="239"/>
      <c r="I63" s="239"/>
      <c r="J63" s="239"/>
      <c r="K63" s="239">
        <f>0+1</f>
        <v>1</v>
      </c>
      <c r="L63" s="239"/>
      <c r="M63" s="240"/>
    </row>
    <row r="64" spans="1:13" ht="19.5" customHeight="1" x14ac:dyDescent="0.25">
      <c r="A64" s="237">
        <v>57</v>
      </c>
      <c r="B64" s="242" t="s">
        <v>45</v>
      </c>
      <c r="C64" s="239">
        <f t="shared" si="0"/>
        <v>6514</v>
      </c>
      <c r="D64" s="239"/>
      <c r="E64" s="239">
        <v>6514</v>
      </c>
      <c r="F64" s="239">
        <v>543</v>
      </c>
      <c r="G64" s="239"/>
      <c r="H64" s="239"/>
      <c r="I64" s="239"/>
      <c r="J64" s="239">
        <v>30</v>
      </c>
      <c r="K64" s="239">
        <v>8</v>
      </c>
      <c r="L64" s="239"/>
      <c r="M64" s="240"/>
    </row>
    <row r="65" spans="1:13" s="244" customFormat="1" ht="16.5" customHeight="1" x14ac:dyDescent="0.25">
      <c r="A65" s="237">
        <v>58</v>
      </c>
      <c r="B65" s="242" t="s">
        <v>95</v>
      </c>
      <c r="C65" s="239">
        <f t="shared" si="0"/>
        <v>3579</v>
      </c>
      <c r="D65" s="239"/>
      <c r="E65" s="239">
        <v>3579</v>
      </c>
      <c r="F65" s="239">
        <v>303</v>
      </c>
      <c r="G65" s="239"/>
      <c r="H65" s="239"/>
      <c r="I65" s="239"/>
      <c r="J65" s="239"/>
      <c r="K65" s="239"/>
      <c r="L65" s="239"/>
      <c r="M65" s="243"/>
    </row>
    <row r="66" spans="1:13" ht="18" customHeight="1" x14ac:dyDescent="0.25">
      <c r="A66" s="237">
        <v>59</v>
      </c>
      <c r="B66" s="242" t="s">
        <v>46</v>
      </c>
      <c r="C66" s="239">
        <f t="shared" si="0"/>
        <v>756</v>
      </c>
      <c r="D66" s="239"/>
      <c r="E66" s="239">
        <v>756</v>
      </c>
      <c r="F66" s="239">
        <v>48</v>
      </c>
      <c r="G66" s="239"/>
      <c r="H66" s="239"/>
      <c r="I66" s="239"/>
      <c r="J66" s="239"/>
      <c r="K66" s="239"/>
      <c r="L66" s="239"/>
      <c r="M66" s="240"/>
    </row>
    <row r="67" spans="1:13" ht="19.5" customHeight="1" x14ac:dyDescent="0.25">
      <c r="A67" s="237">
        <v>60</v>
      </c>
      <c r="B67" s="242" t="s">
        <v>52</v>
      </c>
      <c r="C67" s="239">
        <f t="shared" si="0"/>
        <v>3123</v>
      </c>
      <c r="D67" s="239"/>
      <c r="E67" s="239">
        <v>3123</v>
      </c>
      <c r="F67" s="239">
        <v>711</v>
      </c>
      <c r="G67" s="239"/>
      <c r="H67" s="239"/>
      <c r="I67" s="239"/>
      <c r="J67" s="239">
        <v>8</v>
      </c>
      <c r="K67" s="239">
        <v>6</v>
      </c>
      <c r="L67" s="239"/>
      <c r="M67" s="240"/>
    </row>
    <row r="68" spans="1:13" ht="16.5" customHeight="1" x14ac:dyDescent="0.25">
      <c r="A68" s="237">
        <v>61</v>
      </c>
      <c r="B68" s="242" t="s">
        <v>48</v>
      </c>
      <c r="C68" s="239">
        <f t="shared" si="0"/>
        <v>1395</v>
      </c>
      <c r="D68" s="239"/>
      <c r="E68" s="239">
        <v>1395</v>
      </c>
      <c r="F68" s="239">
        <v>104</v>
      </c>
      <c r="G68" s="239"/>
      <c r="H68" s="239"/>
      <c r="I68" s="239"/>
      <c r="J68" s="239"/>
      <c r="K68" s="239">
        <f>0+4</f>
        <v>4</v>
      </c>
      <c r="L68" s="239"/>
      <c r="M68" s="240"/>
    </row>
    <row r="69" spans="1:13" ht="16.5" customHeight="1" x14ac:dyDescent="0.25">
      <c r="A69" s="237">
        <v>62</v>
      </c>
      <c r="B69" s="242" t="s">
        <v>49</v>
      </c>
      <c r="C69" s="239">
        <f t="shared" si="0"/>
        <v>2356</v>
      </c>
      <c r="D69" s="239"/>
      <c r="E69" s="239">
        <v>2356</v>
      </c>
      <c r="F69" s="239">
        <v>183</v>
      </c>
      <c r="G69" s="239"/>
      <c r="H69" s="239"/>
      <c r="I69" s="239"/>
      <c r="J69" s="239"/>
      <c r="K69" s="239">
        <f>0+3</f>
        <v>3</v>
      </c>
      <c r="L69" s="239"/>
      <c r="M69" s="240"/>
    </row>
    <row r="70" spans="1:13" ht="16.5" customHeight="1" x14ac:dyDescent="0.25">
      <c r="A70" s="237">
        <v>63</v>
      </c>
      <c r="B70" s="242" t="s">
        <v>50</v>
      </c>
      <c r="C70" s="239">
        <f t="shared" si="0"/>
        <v>1049</v>
      </c>
      <c r="D70" s="239"/>
      <c r="E70" s="239">
        <v>1049</v>
      </c>
      <c r="F70" s="239">
        <v>79</v>
      </c>
      <c r="G70" s="239"/>
      <c r="H70" s="239"/>
      <c r="I70" s="239"/>
      <c r="J70" s="239"/>
      <c r="K70" s="239"/>
      <c r="L70" s="239"/>
      <c r="M70" s="240"/>
    </row>
    <row r="71" spans="1:13" ht="16.5" customHeight="1" x14ac:dyDescent="0.25">
      <c r="A71" s="237">
        <v>64</v>
      </c>
      <c r="B71" s="242" t="s">
        <v>14</v>
      </c>
      <c r="C71" s="239">
        <f t="shared" si="0"/>
        <v>1112</v>
      </c>
      <c r="D71" s="239"/>
      <c r="E71" s="239">
        <v>1112</v>
      </c>
      <c r="F71" s="239">
        <v>86</v>
      </c>
      <c r="G71" s="239"/>
      <c r="H71" s="239"/>
      <c r="I71" s="239"/>
      <c r="J71" s="239"/>
      <c r="K71" s="239"/>
      <c r="L71" s="239"/>
      <c r="M71" s="240"/>
    </row>
    <row r="72" spans="1:13" ht="16.5" customHeight="1" x14ac:dyDescent="0.25">
      <c r="A72" s="237">
        <v>65</v>
      </c>
      <c r="B72" s="242" t="s">
        <v>51</v>
      </c>
      <c r="C72" s="239">
        <f t="shared" si="0"/>
        <v>2217</v>
      </c>
      <c r="D72" s="239"/>
      <c r="E72" s="239">
        <v>2217</v>
      </c>
      <c r="F72" s="239">
        <v>172</v>
      </c>
      <c r="G72" s="239"/>
      <c r="H72" s="239"/>
      <c r="I72" s="239"/>
      <c r="J72" s="239"/>
      <c r="K72" s="239"/>
      <c r="L72" s="239"/>
      <c r="M72" s="240"/>
    </row>
    <row r="73" spans="1:13" ht="30" customHeight="1" x14ac:dyDescent="0.25">
      <c r="A73" s="237">
        <v>66</v>
      </c>
      <c r="B73" s="242" t="s">
        <v>389</v>
      </c>
      <c r="C73" s="239">
        <f t="shared" ref="C73:C136" si="1">D73+E73+M73</f>
        <v>910</v>
      </c>
      <c r="D73" s="239"/>
      <c r="E73" s="239">
        <v>910</v>
      </c>
      <c r="F73" s="239">
        <v>145</v>
      </c>
      <c r="G73" s="239"/>
      <c r="H73" s="239"/>
      <c r="I73" s="239"/>
      <c r="J73" s="239"/>
      <c r="K73" s="239"/>
      <c r="L73" s="239"/>
      <c r="M73" s="240"/>
    </row>
    <row r="74" spans="1:13" ht="39" customHeight="1" x14ac:dyDescent="0.25">
      <c r="A74" s="237">
        <v>67</v>
      </c>
      <c r="B74" s="242" t="s">
        <v>390</v>
      </c>
      <c r="C74" s="239">
        <f t="shared" si="1"/>
        <v>1195</v>
      </c>
      <c r="D74" s="239"/>
      <c r="E74" s="239">
        <v>1195</v>
      </c>
      <c r="F74" s="239">
        <v>106</v>
      </c>
      <c r="G74" s="239"/>
      <c r="H74" s="239"/>
      <c r="I74" s="239"/>
      <c r="J74" s="239"/>
      <c r="K74" s="239"/>
      <c r="L74" s="239"/>
      <c r="M74" s="240"/>
    </row>
    <row r="75" spans="1:13" ht="37.5" customHeight="1" x14ac:dyDescent="0.25">
      <c r="A75" s="237">
        <v>68</v>
      </c>
      <c r="B75" s="242" t="s">
        <v>391</v>
      </c>
      <c r="C75" s="239">
        <f t="shared" si="1"/>
        <v>1544</v>
      </c>
      <c r="D75" s="239"/>
      <c r="E75" s="239">
        <v>1544</v>
      </c>
      <c r="F75" s="239">
        <v>1544</v>
      </c>
      <c r="G75" s="239"/>
      <c r="H75" s="239"/>
      <c r="I75" s="239"/>
      <c r="J75" s="239"/>
      <c r="K75" s="239">
        <f>0+6</f>
        <v>6</v>
      </c>
      <c r="L75" s="239"/>
      <c r="M75" s="240"/>
    </row>
    <row r="76" spans="1:13" ht="24" customHeight="1" x14ac:dyDescent="0.25">
      <c r="A76" s="237">
        <v>69</v>
      </c>
      <c r="B76" s="246" t="s">
        <v>392</v>
      </c>
      <c r="C76" s="239">
        <f t="shared" si="1"/>
        <v>1000</v>
      </c>
      <c r="D76" s="239"/>
      <c r="E76" s="239">
        <v>1000</v>
      </c>
      <c r="F76" s="239"/>
      <c r="G76" s="239"/>
      <c r="H76" s="239"/>
      <c r="I76" s="239"/>
      <c r="J76" s="239"/>
      <c r="K76" s="239"/>
      <c r="L76" s="239"/>
      <c r="M76" s="240"/>
    </row>
    <row r="77" spans="1:13" ht="37.5" customHeight="1" x14ac:dyDescent="0.25">
      <c r="A77" s="237">
        <v>70</v>
      </c>
      <c r="B77" s="242" t="s">
        <v>393</v>
      </c>
      <c r="C77" s="239">
        <f t="shared" si="1"/>
        <v>567</v>
      </c>
      <c r="D77" s="239"/>
      <c r="E77" s="239">
        <f>2265-1699+1</f>
        <v>567</v>
      </c>
      <c r="F77" s="239">
        <f>359-269-34</f>
        <v>56</v>
      </c>
      <c r="G77" s="239"/>
      <c r="H77" s="239"/>
      <c r="I77" s="239"/>
      <c r="J77" s="239"/>
      <c r="K77" s="239"/>
      <c r="L77" s="239"/>
      <c r="M77" s="240"/>
    </row>
    <row r="78" spans="1:13" ht="27" customHeight="1" x14ac:dyDescent="0.25">
      <c r="A78" s="237">
        <v>71</v>
      </c>
      <c r="B78" s="242" t="s">
        <v>394</v>
      </c>
      <c r="C78" s="239">
        <f t="shared" si="1"/>
        <v>3826</v>
      </c>
      <c r="D78" s="239"/>
      <c r="E78" s="239">
        <v>3826</v>
      </c>
      <c r="F78" s="239">
        <v>493</v>
      </c>
      <c r="G78" s="239"/>
      <c r="H78" s="239"/>
      <c r="I78" s="239"/>
      <c r="J78" s="239"/>
      <c r="K78" s="239"/>
      <c r="L78" s="239"/>
      <c r="M78" s="240"/>
    </row>
    <row r="79" spans="1:13" ht="17.25" customHeight="1" x14ac:dyDescent="0.25">
      <c r="A79" s="237">
        <v>72</v>
      </c>
      <c r="B79" s="242" t="s">
        <v>395</v>
      </c>
      <c r="C79" s="239">
        <f t="shared" si="1"/>
        <v>747</v>
      </c>
      <c r="D79" s="239"/>
      <c r="E79" s="239">
        <f>506+241</f>
        <v>747</v>
      </c>
      <c r="F79" s="239"/>
      <c r="G79" s="239">
        <f>506+241</f>
        <v>747</v>
      </c>
      <c r="H79" s="239"/>
      <c r="I79" s="239"/>
      <c r="J79" s="239"/>
      <c r="K79" s="239"/>
      <c r="L79" s="239"/>
      <c r="M79" s="240"/>
    </row>
    <row r="80" spans="1:13" ht="16.5" customHeight="1" x14ac:dyDescent="0.25">
      <c r="A80" s="237">
        <v>73</v>
      </c>
      <c r="B80" s="242" t="s">
        <v>396</v>
      </c>
      <c r="C80" s="239">
        <f t="shared" si="1"/>
        <v>18</v>
      </c>
      <c r="D80" s="239"/>
      <c r="E80" s="239">
        <f>20-2</f>
        <v>18</v>
      </c>
      <c r="F80" s="239"/>
      <c r="G80" s="239"/>
      <c r="H80" s="239"/>
      <c r="I80" s="239"/>
      <c r="J80" s="239"/>
      <c r="K80" s="239"/>
      <c r="L80" s="239"/>
      <c r="M80" s="240"/>
    </row>
    <row r="81" spans="1:13" ht="17.25" customHeight="1" x14ac:dyDescent="0.25">
      <c r="A81" s="237">
        <v>74</v>
      </c>
      <c r="B81" s="242" t="s">
        <v>397</v>
      </c>
      <c r="C81" s="239">
        <f t="shared" si="1"/>
        <v>18</v>
      </c>
      <c r="D81" s="239"/>
      <c r="E81" s="239">
        <f>20-2</f>
        <v>18</v>
      </c>
      <c r="F81" s="239"/>
      <c r="G81" s="239"/>
      <c r="H81" s="239"/>
      <c r="I81" s="239"/>
      <c r="J81" s="239"/>
      <c r="K81" s="239"/>
      <c r="L81" s="239"/>
      <c r="M81" s="240"/>
    </row>
    <row r="82" spans="1:13" ht="18" customHeight="1" x14ac:dyDescent="0.25">
      <c r="A82" s="237">
        <v>75</v>
      </c>
      <c r="B82" s="249" t="s">
        <v>398</v>
      </c>
      <c r="C82" s="239">
        <f t="shared" si="1"/>
        <v>18</v>
      </c>
      <c r="D82" s="239"/>
      <c r="E82" s="239">
        <f>20-2</f>
        <v>18</v>
      </c>
      <c r="F82" s="239"/>
      <c r="G82" s="239"/>
      <c r="H82" s="239"/>
      <c r="I82" s="239"/>
      <c r="J82" s="239"/>
      <c r="K82" s="239"/>
      <c r="L82" s="239"/>
      <c r="M82" s="240"/>
    </row>
    <row r="83" spans="1:13" ht="21" customHeight="1" x14ac:dyDescent="0.25">
      <c r="A83" s="237">
        <v>76</v>
      </c>
      <c r="B83" s="242" t="s">
        <v>399</v>
      </c>
      <c r="C83" s="239">
        <f t="shared" si="1"/>
        <v>169</v>
      </c>
      <c r="D83" s="239"/>
      <c r="E83" s="239">
        <f>150+19</f>
        <v>169</v>
      </c>
      <c r="F83" s="239"/>
      <c r="G83" s="239"/>
      <c r="H83" s="239"/>
      <c r="I83" s="239"/>
      <c r="J83" s="239"/>
      <c r="K83" s="239"/>
      <c r="L83" s="239">
        <f>150+19</f>
        <v>169</v>
      </c>
      <c r="M83" s="240"/>
    </row>
    <row r="84" spans="1:13" ht="16.5" customHeight="1" x14ac:dyDescent="0.25">
      <c r="A84" s="237">
        <v>77</v>
      </c>
      <c r="B84" s="242" t="s">
        <v>400</v>
      </c>
      <c r="C84" s="239">
        <f t="shared" si="1"/>
        <v>294</v>
      </c>
      <c r="D84" s="239"/>
      <c r="E84" s="239">
        <v>294</v>
      </c>
      <c r="F84" s="239"/>
      <c r="G84" s="239"/>
      <c r="H84" s="239"/>
      <c r="I84" s="239"/>
      <c r="J84" s="239"/>
      <c r="K84" s="239"/>
      <c r="L84" s="239">
        <v>80</v>
      </c>
      <c r="M84" s="240"/>
    </row>
    <row r="85" spans="1:13" ht="15" customHeight="1" x14ac:dyDescent="0.25">
      <c r="A85" s="237">
        <v>78</v>
      </c>
      <c r="B85" s="242" t="s">
        <v>401</v>
      </c>
      <c r="C85" s="239">
        <f t="shared" si="1"/>
        <v>18</v>
      </c>
      <c r="D85" s="239"/>
      <c r="E85" s="239">
        <f>20-2</f>
        <v>18</v>
      </c>
      <c r="F85" s="239"/>
      <c r="G85" s="239"/>
      <c r="H85" s="239"/>
      <c r="I85" s="239"/>
      <c r="J85" s="239"/>
      <c r="K85" s="239"/>
      <c r="L85" s="239"/>
      <c r="M85" s="240"/>
    </row>
    <row r="86" spans="1:13" ht="18.75" customHeight="1" x14ac:dyDescent="0.25">
      <c r="A86" s="237">
        <v>79</v>
      </c>
      <c r="B86" s="242" t="s">
        <v>402</v>
      </c>
      <c r="C86" s="239">
        <f t="shared" si="1"/>
        <v>1218</v>
      </c>
      <c r="D86" s="239"/>
      <c r="E86" s="239">
        <f>906+26+286</f>
        <v>1218</v>
      </c>
      <c r="F86" s="239"/>
      <c r="G86" s="239">
        <f>506+26</f>
        <v>532</v>
      </c>
      <c r="H86" s="239">
        <f>400+286</f>
        <v>686</v>
      </c>
      <c r="I86" s="239"/>
      <c r="J86" s="239"/>
      <c r="K86" s="239"/>
      <c r="L86" s="239"/>
      <c r="M86" s="240"/>
    </row>
    <row r="87" spans="1:13" ht="24" customHeight="1" x14ac:dyDescent="0.25">
      <c r="A87" s="237">
        <v>80</v>
      </c>
      <c r="B87" s="242" t="s">
        <v>403</v>
      </c>
      <c r="C87" s="239">
        <f t="shared" si="1"/>
        <v>18</v>
      </c>
      <c r="D87" s="239"/>
      <c r="E87" s="239">
        <f>20-2</f>
        <v>18</v>
      </c>
      <c r="F87" s="239"/>
      <c r="G87" s="239"/>
      <c r="H87" s="239"/>
      <c r="I87" s="239"/>
      <c r="J87" s="239"/>
      <c r="K87" s="239"/>
      <c r="L87" s="239"/>
      <c r="M87" s="240"/>
    </row>
    <row r="88" spans="1:13" ht="15.75" customHeight="1" x14ac:dyDescent="0.25">
      <c r="A88" s="237">
        <v>81</v>
      </c>
      <c r="B88" s="242" t="s">
        <v>404</v>
      </c>
      <c r="C88" s="239">
        <f t="shared" si="1"/>
        <v>27</v>
      </c>
      <c r="D88" s="239"/>
      <c r="E88" s="239">
        <f>30-3</f>
        <v>27</v>
      </c>
      <c r="F88" s="239"/>
      <c r="G88" s="239"/>
      <c r="H88" s="239"/>
      <c r="I88" s="239"/>
      <c r="J88" s="239"/>
      <c r="K88" s="239"/>
      <c r="L88" s="239"/>
      <c r="M88" s="240"/>
    </row>
    <row r="89" spans="1:13" ht="17.25" customHeight="1" x14ac:dyDescent="0.25">
      <c r="A89" s="237">
        <v>82</v>
      </c>
      <c r="B89" s="242" t="s">
        <v>405</v>
      </c>
      <c r="C89" s="239">
        <f t="shared" si="1"/>
        <v>18</v>
      </c>
      <c r="D89" s="239"/>
      <c r="E89" s="239">
        <f>20-2</f>
        <v>18</v>
      </c>
      <c r="F89" s="239"/>
      <c r="G89" s="239"/>
      <c r="H89" s="239"/>
      <c r="I89" s="239"/>
      <c r="J89" s="239"/>
      <c r="K89" s="239"/>
      <c r="L89" s="239"/>
      <c r="M89" s="240"/>
    </row>
    <row r="90" spans="1:13" ht="18.75" customHeight="1" x14ac:dyDescent="0.25">
      <c r="A90" s="237">
        <v>83</v>
      </c>
      <c r="B90" s="242" t="s">
        <v>406</v>
      </c>
      <c r="C90" s="239">
        <f t="shared" si="1"/>
        <v>18</v>
      </c>
      <c r="D90" s="239"/>
      <c r="E90" s="239">
        <f>20-2</f>
        <v>18</v>
      </c>
      <c r="F90" s="239"/>
      <c r="G90" s="239"/>
      <c r="H90" s="239"/>
      <c r="I90" s="239"/>
      <c r="J90" s="239"/>
      <c r="K90" s="239"/>
      <c r="L90" s="239"/>
      <c r="M90" s="240"/>
    </row>
    <row r="91" spans="1:13" ht="15.75" customHeight="1" x14ac:dyDescent="0.25">
      <c r="A91" s="237">
        <v>84</v>
      </c>
      <c r="B91" s="242" t="s">
        <v>407</v>
      </c>
      <c r="C91" s="239">
        <f t="shared" si="1"/>
        <v>478</v>
      </c>
      <c r="D91" s="239"/>
      <c r="E91" s="239">
        <f>586-108</f>
        <v>478</v>
      </c>
      <c r="F91" s="239"/>
      <c r="G91" s="239">
        <f>506-108</f>
        <v>398</v>
      </c>
      <c r="H91" s="239"/>
      <c r="I91" s="239"/>
      <c r="J91" s="239"/>
      <c r="K91" s="239"/>
      <c r="L91" s="239"/>
      <c r="M91" s="240"/>
    </row>
    <row r="92" spans="1:13" ht="15.75" customHeight="1" x14ac:dyDescent="0.25">
      <c r="A92" s="250">
        <v>85</v>
      </c>
      <c r="B92" s="242" t="s">
        <v>408</v>
      </c>
      <c r="C92" s="239">
        <f t="shared" si="1"/>
        <v>18</v>
      </c>
      <c r="D92" s="239"/>
      <c r="E92" s="239">
        <f>20-2</f>
        <v>18</v>
      </c>
      <c r="F92" s="239"/>
      <c r="G92" s="239"/>
      <c r="H92" s="239"/>
      <c r="I92" s="239"/>
      <c r="J92" s="239"/>
      <c r="K92" s="239"/>
      <c r="L92" s="239"/>
      <c r="M92" s="240"/>
    </row>
    <row r="93" spans="1:13" ht="17.25" customHeight="1" x14ac:dyDescent="0.25">
      <c r="A93" s="237">
        <v>86</v>
      </c>
      <c r="B93" s="242" t="s">
        <v>409</v>
      </c>
      <c r="C93" s="239">
        <f t="shared" si="1"/>
        <v>276</v>
      </c>
      <c r="D93" s="239"/>
      <c r="E93" s="239">
        <v>276</v>
      </c>
      <c r="F93" s="239"/>
      <c r="G93" s="239"/>
      <c r="H93" s="239"/>
      <c r="I93" s="239"/>
      <c r="J93" s="239"/>
      <c r="K93" s="239"/>
      <c r="L93" s="239"/>
      <c r="M93" s="240"/>
    </row>
    <row r="94" spans="1:13" ht="39" customHeight="1" x14ac:dyDescent="0.25">
      <c r="A94" s="237">
        <v>87</v>
      </c>
      <c r="B94" s="242" t="s">
        <v>410</v>
      </c>
      <c r="C94" s="239">
        <f t="shared" si="1"/>
        <v>869</v>
      </c>
      <c r="D94" s="239"/>
      <c r="E94" s="239">
        <v>869</v>
      </c>
      <c r="F94" s="239"/>
      <c r="G94" s="239"/>
      <c r="H94" s="239"/>
      <c r="I94" s="239"/>
      <c r="J94" s="239"/>
      <c r="K94" s="239"/>
      <c r="L94" s="239"/>
      <c r="M94" s="240"/>
    </row>
    <row r="95" spans="1:13" ht="18.75" customHeight="1" x14ac:dyDescent="0.25">
      <c r="A95" s="237">
        <v>88</v>
      </c>
      <c r="B95" s="242" t="s">
        <v>411</v>
      </c>
      <c r="C95" s="239">
        <f t="shared" si="1"/>
        <v>382</v>
      </c>
      <c r="D95" s="239"/>
      <c r="E95" s="239">
        <v>382</v>
      </c>
      <c r="F95" s="239"/>
      <c r="G95" s="239"/>
      <c r="H95" s="239"/>
      <c r="I95" s="239"/>
      <c r="J95" s="239"/>
      <c r="K95" s="239"/>
      <c r="L95" s="239"/>
      <c r="M95" s="240"/>
    </row>
    <row r="96" spans="1:13" ht="19.5" customHeight="1" x14ac:dyDescent="0.25">
      <c r="A96" s="237">
        <v>89</v>
      </c>
      <c r="B96" s="242" t="s">
        <v>323</v>
      </c>
      <c r="C96" s="239">
        <f t="shared" si="1"/>
        <v>1139</v>
      </c>
      <c r="D96" s="239"/>
      <c r="E96" s="239">
        <v>1139</v>
      </c>
      <c r="F96" s="239"/>
      <c r="G96" s="239"/>
      <c r="H96" s="239"/>
      <c r="I96" s="239">
        <v>168</v>
      </c>
      <c r="J96" s="239"/>
      <c r="K96" s="239"/>
      <c r="L96" s="239"/>
      <c r="M96" s="240"/>
    </row>
    <row r="97" spans="1:13" ht="15" customHeight="1" x14ac:dyDescent="0.25">
      <c r="A97" s="237">
        <v>90</v>
      </c>
      <c r="B97" s="242" t="s">
        <v>412</v>
      </c>
      <c r="C97" s="239">
        <f t="shared" si="1"/>
        <v>2269</v>
      </c>
      <c r="D97" s="239"/>
      <c r="E97" s="239">
        <v>2269</v>
      </c>
      <c r="F97" s="239">
        <v>2269</v>
      </c>
      <c r="G97" s="239"/>
      <c r="H97" s="239"/>
      <c r="I97" s="239"/>
      <c r="J97" s="239">
        <v>50</v>
      </c>
      <c r="K97" s="239"/>
      <c r="L97" s="239"/>
      <c r="M97" s="240"/>
    </row>
    <row r="98" spans="1:13" ht="15" customHeight="1" x14ac:dyDescent="0.25">
      <c r="A98" s="237">
        <v>91</v>
      </c>
      <c r="B98" s="242" t="s">
        <v>413</v>
      </c>
      <c r="C98" s="239">
        <f t="shared" si="1"/>
        <v>1939</v>
      </c>
      <c r="D98" s="239"/>
      <c r="E98" s="239">
        <v>1939</v>
      </c>
      <c r="F98" s="239">
        <v>1939</v>
      </c>
      <c r="G98" s="239"/>
      <c r="H98" s="239"/>
      <c r="I98" s="239"/>
      <c r="J98" s="239">
        <v>40</v>
      </c>
      <c r="K98" s="239"/>
      <c r="L98" s="239"/>
      <c r="M98" s="240"/>
    </row>
    <row r="99" spans="1:13" ht="15" customHeight="1" x14ac:dyDescent="0.25">
      <c r="A99" s="237">
        <v>92</v>
      </c>
      <c r="B99" s="242" t="s">
        <v>414</v>
      </c>
      <c r="C99" s="239">
        <f t="shared" si="1"/>
        <v>2673</v>
      </c>
      <c r="D99" s="239"/>
      <c r="E99" s="239">
        <v>2673</v>
      </c>
      <c r="F99" s="239">
        <v>2673</v>
      </c>
      <c r="G99" s="239"/>
      <c r="H99" s="239"/>
      <c r="I99" s="239"/>
      <c r="J99" s="239">
        <v>30</v>
      </c>
      <c r="K99" s="239"/>
      <c r="L99" s="239"/>
      <c r="M99" s="240"/>
    </row>
    <row r="100" spans="1:13" ht="15" customHeight="1" x14ac:dyDescent="0.25">
      <c r="A100" s="237">
        <v>93</v>
      </c>
      <c r="B100" s="242" t="s">
        <v>415</v>
      </c>
      <c r="C100" s="239">
        <f t="shared" si="1"/>
        <v>3257</v>
      </c>
      <c r="D100" s="239"/>
      <c r="E100" s="239">
        <v>3257</v>
      </c>
      <c r="F100" s="239">
        <v>3257</v>
      </c>
      <c r="G100" s="239"/>
      <c r="H100" s="239"/>
      <c r="I100" s="239"/>
      <c r="J100" s="239">
        <v>100</v>
      </c>
      <c r="K100" s="239"/>
      <c r="L100" s="239"/>
      <c r="M100" s="240"/>
    </row>
    <row r="101" spans="1:13" ht="15" customHeight="1" x14ac:dyDescent="0.25">
      <c r="A101" s="237">
        <v>94</v>
      </c>
      <c r="B101" s="242" t="s">
        <v>416</v>
      </c>
      <c r="C101" s="239">
        <f t="shared" si="1"/>
        <v>1219</v>
      </c>
      <c r="D101" s="239"/>
      <c r="E101" s="239">
        <v>1219</v>
      </c>
      <c r="F101" s="239">
        <v>1219</v>
      </c>
      <c r="G101" s="239"/>
      <c r="H101" s="239"/>
      <c r="I101" s="239"/>
      <c r="J101" s="239">
        <v>80</v>
      </c>
      <c r="K101" s="239"/>
      <c r="L101" s="239"/>
      <c r="M101" s="240"/>
    </row>
    <row r="102" spans="1:13" ht="18.75" customHeight="1" x14ac:dyDescent="0.25">
      <c r="A102" s="237">
        <v>95</v>
      </c>
      <c r="B102" s="242" t="s">
        <v>417</v>
      </c>
      <c r="C102" s="239">
        <f t="shared" si="1"/>
        <v>3469</v>
      </c>
      <c r="D102" s="239"/>
      <c r="E102" s="239">
        <f>3623-154</f>
        <v>3469</v>
      </c>
      <c r="F102" s="239"/>
      <c r="G102" s="248"/>
      <c r="H102" s="239">
        <f>454-154</f>
        <v>300</v>
      </c>
      <c r="I102" s="239"/>
      <c r="J102" s="248"/>
      <c r="K102" s="248"/>
      <c r="L102" s="248"/>
      <c r="M102" s="240"/>
    </row>
    <row r="103" spans="1:13" ht="18.75" customHeight="1" x14ac:dyDescent="0.25">
      <c r="A103" s="237">
        <v>96</v>
      </c>
      <c r="B103" s="242" t="s">
        <v>418</v>
      </c>
      <c r="C103" s="239">
        <f t="shared" si="1"/>
        <v>1703</v>
      </c>
      <c r="D103" s="239"/>
      <c r="E103" s="239">
        <v>1703</v>
      </c>
      <c r="F103" s="239"/>
      <c r="G103" s="239"/>
      <c r="H103" s="239"/>
      <c r="I103" s="239"/>
      <c r="J103" s="239"/>
      <c r="K103" s="239"/>
      <c r="L103" s="239"/>
      <c r="M103" s="240"/>
    </row>
    <row r="104" spans="1:13" ht="18.75" customHeight="1" x14ac:dyDescent="0.25">
      <c r="A104" s="237">
        <v>97</v>
      </c>
      <c r="B104" s="242" t="s">
        <v>419</v>
      </c>
      <c r="C104" s="239">
        <f t="shared" si="1"/>
        <v>2986</v>
      </c>
      <c r="D104" s="239"/>
      <c r="E104" s="239">
        <v>2986</v>
      </c>
      <c r="F104" s="239"/>
      <c r="G104" s="239"/>
      <c r="H104" s="239">
        <v>1412</v>
      </c>
      <c r="I104" s="239"/>
      <c r="J104" s="239"/>
      <c r="K104" s="239"/>
      <c r="L104" s="239"/>
      <c r="M104" s="240"/>
    </row>
    <row r="105" spans="1:13" ht="18.75" customHeight="1" x14ac:dyDescent="0.25">
      <c r="A105" s="237">
        <v>98</v>
      </c>
      <c r="B105" s="242" t="s">
        <v>420</v>
      </c>
      <c r="C105" s="239">
        <f t="shared" si="1"/>
        <v>1226</v>
      </c>
      <c r="D105" s="239"/>
      <c r="E105" s="239">
        <v>1226</v>
      </c>
      <c r="F105" s="239"/>
      <c r="G105" s="239"/>
      <c r="H105" s="239"/>
      <c r="I105" s="239"/>
      <c r="J105" s="239"/>
      <c r="K105" s="239"/>
      <c r="L105" s="239"/>
      <c r="M105" s="240"/>
    </row>
    <row r="106" spans="1:13" s="244" customFormat="1" ht="18.75" customHeight="1" x14ac:dyDescent="0.25">
      <c r="A106" s="237">
        <v>99</v>
      </c>
      <c r="B106" s="242" t="s">
        <v>421</v>
      </c>
      <c r="C106" s="239">
        <f t="shared" si="1"/>
        <v>4220</v>
      </c>
      <c r="D106" s="239"/>
      <c r="E106" s="239">
        <v>4220</v>
      </c>
      <c r="F106" s="239"/>
      <c r="G106" s="239"/>
      <c r="H106" s="239">
        <v>606</v>
      </c>
      <c r="I106" s="239"/>
      <c r="J106" s="239"/>
      <c r="K106" s="239"/>
      <c r="L106" s="239"/>
      <c r="M106" s="243"/>
    </row>
    <row r="107" spans="1:13" ht="18.75" customHeight="1" x14ac:dyDescent="0.25">
      <c r="A107" s="237">
        <v>100</v>
      </c>
      <c r="B107" s="242" t="s">
        <v>422</v>
      </c>
      <c r="C107" s="239">
        <f t="shared" si="1"/>
        <v>1961</v>
      </c>
      <c r="D107" s="239"/>
      <c r="E107" s="239">
        <v>1961</v>
      </c>
      <c r="F107" s="239"/>
      <c r="G107" s="239"/>
      <c r="H107" s="239"/>
      <c r="I107" s="239"/>
      <c r="J107" s="239"/>
      <c r="K107" s="239"/>
      <c r="L107" s="239"/>
      <c r="M107" s="240"/>
    </row>
    <row r="108" spans="1:13" ht="18.75" customHeight="1" x14ac:dyDescent="0.25">
      <c r="A108" s="237">
        <v>101</v>
      </c>
      <c r="B108" s="242" t="s">
        <v>423</v>
      </c>
      <c r="C108" s="239">
        <f t="shared" si="1"/>
        <v>1984</v>
      </c>
      <c r="D108" s="239"/>
      <c r="E108" s="239">
        <v>1984</v>
      </c>
      <c r="F108" s="239"/>
      <c r="G108" s="239"/>
      <c r="H108" s="239"/>
      <c r="I108" s="239"/>
      <c r="J108" s="239"/>
      <c r="K108" s="239"/>
      <c r="L108" s="239"/>
      <c r="M108" s="240"/>
    </row>
    <row r="109" spans="1:13" ht="18.75" customHeight="1" x14ac:dyDescent="0.25">
      <c r="A109" s="237">
        <v>102</v>
      </c>
      <c r="B109" s="242" t="s">
        <v>424</v>
      </c>
      <c r="C109" s="239">
        <f t="shared" si="1"/>
        <v>1175</v>
      </c>
      <c r="D109" s="239"/>
      <c r="E109" s="239">
        <v>1175</v>
      </c>
      <c r="F109" s="239"/>
      <c r="G109" s="239"/>
      <c r="H109" s="239"/>
      <c r="I109" s="239"/>
      <c r="J109" s="239"/>
      <c r="K109" s="239"/>
      <c r="L109" s="239"/>
      <c r="M109" s="240"/>
    </row>
    <row r="110" spans="1:13" ht="18.75" customHeight="1" x14ac:dyDescent="0.25">
      <c r="A110" s="237">
        <v>103</v>
      </c>
      <c r="B110" s="242" t="s">
        <v>425</v>
      </c>
      <c r="C110" s="239">
        <f t="shared" si="1"/>
        <v>4784</v>
      </c>
      <c r="D110" s="239"/>
      <c r="E110" s="239">
        <v>4784</v>
      </c>
      <c r="F110" s="239"/>
      <c r="G110" s="239"/>
      <c r="H110" s="239">
        <v>934</v>
      </c>
      <c r="I110" s="239"/>
      <c r="J110" s="239"/>
      <c r="K110" s="239"/>
      <c r="L110" s="239"/>
      <c r="M110" s="240"/>
    </row>
    <row r="111" spans="1:13" ht="18.75" customHeight="1" x14ac:dyDescent="0.25">
      <c r="A111" s="237">
        <v>104</v>
      </c>
      <c r="B111" s="242" t="s">
        <v>426</v>
      </c>
      <c r="C111" s="239">
        <f t="shared" si="1"/>
        <v>1580</v>
      </c>
      <c r="D111" s="239"/>
      <c r="E111" s="239">
        <v>1580</v>
      </c>
      <c r="F111" s="239"/>
      <c r="G111" s="239"/>
      <c r="H111" s="239"/>
      <c r="I111" s="239"/>
      <c r="J111" s="239"/>
      <c r="K111" s="239"/>
      <c r="L111" s="239"/>
      <c r="M111" s="240"/>
    </row>
    <row r="112" spans="1:13" ht="18.75" customHeight="1" x14ac:dyDescent="0.25">
      <c r="A112" s="237">
        <v>105</v>
      </c>
      <c r="B112" s="242" t="s">
        <v>427</v>
      </c>
      <c r="C112" s="239">
        <f t="shared" si="1"/>
        <v>1511</v>
      </c>
      <c r="D112" s="239"/>
      <c r="E112" s="239">
        <v>1511</v>
      </c>
      <c r="F112" s="239"/>
      <c r="G112" s="239"/>
      <c r="H112" s="239"/>
      <c r="I112" s="239"/>
      <c r="J112" s="239"/>
      <c r="K112" s="239"/>
      <c r="L112" s="239"/>
      <c r="M112" s="240"/>
    </row>
    <row r="113" spans="1:13" ht="21" customHeight="1" x14ac:dyDescent="0.25">
      <c r="A113" s="237">
        <v>106</v>
      </c>
      <c r="B113" s="242" t="s">
        <v>428</v>
      </c>
      <c r="C113" s="239">
        <f t="shared" si="1"/>
        <v>3372</v>
      </c>
      <c r="D113" s="239"/>
      <c r="E113" s="239">
        <v>3372</v>
      </c>
      <c r="F113" s="239">
        <v>642</v>
      </c>
      <c r="G113" s="239"/>
      <c r="H113" s="239"/>
      <c r="I113" s="239"/>
      <c r="J113" s="239">
        <v>40</v>
      </c>
      <c r="K113" s="239"/>
      <c r="L113" s="239"/>
      <c r="M113" s="240"/>
    </row>
    <row r="114" spans="1:13" ht="19.5" customHeight="1" x14ac:dyDescent="0.25">
      <c r="A114" s="237">
        <v>107</v>
      </c>
      <c r="B114" s="242" t="s">
        <v>429</v>
      </c>
      <c r="C114" s="239">
        <f t="shared" si="1"/>
        <v>2596</v>
      </c>
      <c r="D114" s="239"/>
      <c r="E114" s="239">
        <v>2596</v>
      </c>
      <c r="F114" s="239"/>
      <c r="G114" s="239"/>
      <c r="H114" s="239"/>
      <c r="I114" s="239">
        <v>259</v>
      </c>
      <c r="J114" s="239"/>
      <c r="K114" s="239"/>
      <c r="L114" s="239"/>
      <c r="M114" s="240"/>
    </row>
    <row r="115" spans="1:13" ht="18" customHeight="1" x14ac:dyDescent="0.25">
      <c r="A115" s="237">
        <v>108</v>
      </c>
      <c r="B115" s="242" t="s">
        <v>430</v>
      </c>
      <c r="C115" s="239">
        <f t="shared" si="1"/>
        <v>1826</v>
      </c>
      <c r="D115" s="239"/>
      <c r="E115" s="239">
        <v>1826</v>
      </c>
      <c r="F115" s="239"/>
      <c r="G115" s="239"/>
      <c r="H115" s="239"/>
      <c r="I115" s="239"/>
      <c r="J115" s="239"/>
      <c r="K115" s="239"/>
      <c r="L115" s="239"/>
      <c r="M115" s="240"/>
    </row>
    <row r="116" spans="1:13" ht="16.5" customHeight="1" x14ac:dyDescent="0.25">
      <c r="A116" s="237">
        <v>109</v>
      </c>
      <c r="B116" s="242" t="s">
        <v>431</v>
      </c>
      <c r="C116" s="239">
        <f t="shared" si="1"/>
        <v>1076</v>
      </c>
      <c r="D116" s="239"/>
      <c r="E116" s="239">
        <v>1076</v>
      </c>
      <c r="F116" s="239"/>
      <c r="G116" s="239"/>
      <c r="H116" s="239"/>
      <c r="I116" s="239"/>
      <c r="J116" s="239"/>
      <c r="K116" s="239"/>
      <c r="L116" s="239"/>
      <c r="M116" s="240"/>
    </row>
    <row r="117" spans="1:13" ht="18" customHeight="1" x14ac:dyDescent="0.25">
      <c r="A117" s="237">
        <v>110</v>
      </c>
      <c r="B117" s="242" t="s">
        <v>432</v>
      </c>
      <c r="C117" s="239">
        <f t="shared" si="1"/>
        <v>2119</v>
      </c>
      <c r="D117" s="239"/>
      <c r="E117" s="239">
        <v>2119</v>
      </c>
      <c r="F117" s="239"/>
      <c r="G117" s="239"/>
      <c r="H117" s="239"/>
      <c r="I117" s="239">
        <v>429</v>
      </c>
      <c r="J117" s="239"/>
      <c r="K117" s="239"/>
      <c r="L117" s="239"/>
      <c r="M117" s="240"/>
    </row>
    <row r="118" spans="1:13" ht="19.5" customHeight="1" x14ac:dyDescent="0.25">
      <c r="A118" s="237">
        <v>111</v>
      </c>
      <c r="B118" s="242" t="s">
        <v>433</v>
      </c>
      <c r="C118" s="239">
        <f t="shared" si="1"/>
        <v>70</v>
      </c>
      <c r="D118" s="239"/>
      <c r="E118" s="239">
        <f>845-704-71</f>
        <v>70</v>
      </c>
      <c r="F118" s="239"/>
      <c r="G118" s="239"/>
      <c r="H118" s="239"/>
      <c r="I118" s="239"/>
      <c r="J118" s="239"/>
      <c r="K118" s="239"/>
      <c r="L118" s="239"/>
      <c r="M118" s="240"/>
    </row>
    <row r="119" spans="1:13" ht="40.5" customHeight="1" x14ac:dyDescent="0.25">
      <c r="A119" s="356">
        <v>112</v>
      </c>
      <c r="B119" s="242" t="s">
        <v>101</v>
      </c>
      <c r="C119" s="239">
        <f t="shared" si="1"/>
        <v>775</v>
      </c>
      <c r="D119" s="239"/>
      <c r="E119" s="239">
        <f>0+704+71</f>
        <v>775</v>
      </c>
      <c r="F119" s="239"/>
      <c r="G119" s="239"/>
      <c r="H119" s="239"/>
      <c r="I119" s="239"/>
      <c r="J119" s="239"/>
      <c r="K119" s="239"/>
      <c r="L119" s="239"/>
      <c r="M119" s="240"/>
    </row>
    <row r="120" spans="1:13" ht="19.5" customHeight="1" x14ac:dyDescent="0.25">
      <c r="A120" s="357"/>
      <c r="B120" s="242" t="s">
        <v>434</v>
      </c>
      <c r="C120" s="239">
        <f t="shared" si="1"/>
        <v>6707</v>
      </c>
      <c r="D120" s="239"/>
      <c r="E120" s="239">
        <v>6707</v>
      </c>
      <c r="F120" s="239"/>
      <c r="G120" s="239"/>
      <c r="H120" s="239">
        <v>1220</v>
      </c>
      <c r="I120" s="239">
        <v>502</v>
      </c>
      <c r="J120" s="239"/>
      <c r="K120" s="239"/>
      <c r="L120" s="239"/>
      <c r="M120" s="240"/>
    </row>
    <row r="121" spans="1:13" ht="18.75" customHeight="1" x14ac:dyDescent="0.25">
      <c r="A121" s="237">
        <v>113</v>
      </c>
      <c r="B121" s="242" t="s">
        <v>435</v>
      </c>
      <c r="C121" s="239">
        <f t="shared" si="1"/>
        <v>1964</v>
      </c>
      <c r="D121" s="239"/>
      <c r="E121" s="239">
        <v>1964</v>
      </c>
      <c r="F121" s="239">
        <v>1964</v>
      </c>
      <c r="G121" s="239"/>
      <c r="H121" s="239"/>
      <c r="I121" s="239"/>
      <c r="J121" s="239">
        <v>200</v>
      </c>
      <c r="K121" s="239"/>
      <c r="L121" s="239"/>
      <c r="M121" s="240"/>
    </row>
    <row r="122" spans="1:13" ht="19.5" customHeight="1" x14ac:dyDescent="0.25">
      <c r="A122" s="237">
        <v>114</v>
      </c>
      <c r="B122" s="242" t="s">
        <v>436</v>
      </c>
      <c r="C122" s="239">
        <f t="shared" si="1"/>
        <v>2608</v>
      </c>
      <c r="D122" s="239"/>
      <c r="E122" s="239">
        <v>2608</v>
      </c>
      <c r="F122" s="239"/>
      <c r="G122" s="239"/>
      <c r="H122" s="239">
        <v>436</v>
      </c>
      <c r="I122" s="239">
        <v>175</v>
      </c>
      <c r="J122" s="239"/>
      <c r="K122" s="239"/>
      <c r="L122" s="239"/>
      <c r="M122" s="240"/>
    </row>
    <row r="123" spans="1:13" ht="15" customHeight="1" x14ac:dyDescent="0.25">
      <c r="A123" s="237">
        <v>115</v>
      </c>
      <c r="B123" s="242" t="s">
        <v>437</v>
      </c>
      <c r="C123" s="239">
        <f t="shared" si="1"/>
        <v>687</v>
      </c>
      <c r="D123" s="239"/>
      <c r="E123" s="239">
        <v>687</v>
      </c>
      <c r="F123" s="239"/>
      <c r="G123" s="239"/>
      <c r="H123" s="239"/>
      <c r="I123" s="239"/>
      <c r="J123" s="239"/>
      <c r="K123" s="239"/>
      <c r="L123" s="239"/>
      <c r="M123" s="240"/>
    </row>
    <row r="124" spans="1:13" ht="17.25" customHeight="1" x14ac:dyDescent="0.25">
      <c r="A124" s="236">
        <f t="shared" ref="A124:A137" si="2">A123+1</f>
        <v>116</v>
      </c>
      <c r="B124" s="242" t="s">
        <v>62</v>
      </c>
      <c r="C124" s="239">
        <f t="shared" si="1"/>
        <v>683</v>
      </c>
      <c r="D124" s="239"/>
      <c r="E124" s="239">
        <v>683</v>
      </c>
      <c r="F124" s="239"/>
      <c r="G124" s="239"/>
      <c r="H124" s="239">
        <v>268</v>
      </c>
      <c r="I124" s="239">
        <v>341</v>
      </c>
      <c r="J124" s="239"/>
      <c r="K124" s="239"/>
      <c r="L124" s="239"/>
      <c r="M124" s="240"/>
    </row>
    <row r="125" spans="1:13" ht="16.5" customHeight="1" x14ac:dyDescent="0.25">
      <c r="A125" s="236">
        <f t="shared" si="2"/>
        <v>117</v>
      </c>
      <c r="B125" s="242" t="s">
        <v>74</v>
      </c>
      <c r="C125" s="239">
        <f t="shared" si="1"/>
        <v>1232</v>
      </c>
      <c r="D125" s="239"/>
      <c r="E125" s="239">
        <v>1232</v>
      </c>
      <c r="F125" s="239"/>
      <c r="G125" s="239"/>
      <c r="H125" s="239"/>
      <c r="I125" s="239"/>
      <c r="J125" s="239"/>
      <c r="K125" s="239"/>
      <c r="L125" s="239">
        <v>70</v>
      </c>
      <c r="M125" s="240"/>
    </row>
    <row r="126" spans="1:13" ht="16.5" customHeight="1" x14ac:dyDescent="0.25">
      <c r="A126" s="236">
        <f t="shared" si="2"/>
        <v>118</v>
      </c>
      <c r="B126" s="242" t="s">
        <v>63</v>
      </c>
      <c r="C126" s="239">
        <f t="shared" si="1"/>
        <v>2852</v>
      </c>
      <c r="D126" s="239"/>
      <c r="E126" s="239">
        <v>2852</v>
      </c>
      <c r="F126" s="239">
        <v>2852</v>
      </c>
      <c r="G126" s="239"/>
      <c r="H126" s="239">
        <f>26+28</f>
        <v>54</v>
      </c>
      <c r="I126" s="239"/>
      <c r="J126" s="239">
        <v>872</v>
      </c>
      <c r="K126" s="239">
        <v>10</v>
      </c>
      <c r="L126" s="239"/>
      <c r="M126" s="240"/>
    </row>
    <row r="127" spans="1:13" ht="18" customHeight="1" x14ac:dyDescent="0.25">
      <c r="A127" s="236">
        <f t="shared" si="2"/>
        <v>119</v>
      </c>
      <c r="B127" s="242" t="s">
        <v>438</v>
      </c>
      <c r="C127" s="239">
        <f t="shared" si="1"/>
        <v>13544</v>
      </c>
      <c r="D127" s="239"/>
      <c r="E127" s="239">
        <f>11677+154+1180-286+819</f>
        <v>13544</v>
      </c>
      <c r="F127" s="239"/>
      <c r="G127" s="239"/>
      <c r="H127" s="239">
        <f>11677+154+1180-286+819</f>
        <v>13544</v>
      </c>
      <c r="I127" s="239"/>
      <c r="J127" s="239"/>
      <c r="K127" s="239"/>
      <c r="L127" s="239"/>
      <c r="M127" s="240"/>
    </row>
    <row r="128" spans="1:13" ht="16.5" customHeight="1" x14ac:dyDescent="0.25">
      <c r="A128" s="236">
        <f t="shared" si="2"/>
        <v>120</v>
      </c>
      <c r="B128" s="242" t="s">
        <v>80</v>
      </c>
      <c r="C128" s="239">
        <f t="shared" si="1"/>
        <v>360</v>
      </c>
      <c r="D128" s="239"/>
      <c r="E128" s="239">
        <v>360</v>
      </c>
      <c r="F128" s="239"/>
      <c r="G128" s="239"/>
      <c r="H128" s="239"/>
      <c r="I128" s="239"/>
      <c r="J128" s="239"/>
      <c r="K128" s="239"/>
      <c r="L128" s="239"/>
      <c r="M128" s="240"/>
    </row>
    <row r="129" spans="1:13" ht="15.75" customHeight="1" x14ac:dyDescent="0.25">
      <c r="A129" s="236">
        <f t="shared" si="2"/>
        <v>121</v>
      </c>
      <c r="B129" s="242" t="s">
        <v>75</v>
      </c>
      <c r="C129" s="239">
        <f t="shared" si="1"/>
        <v>6960</v>
      </c>
      <c r="D129" s="239"/>
      <c r="E129" s="239">
        <v>6960</v>
      </c>
      <c r="F129" s="239"/>
      <c r="G129" s="239"/>
      <c r="H129" s="239"/>
      <c r="I129" s="239"/>
      <c r="J129" s="239"/>
      <c r="K129" s="239"/>
      <c r="L129" s="239"/>
      <c r="M129" s="240"/>
    </row>
    <row r="130" spans="1:13" ht="18" customHeight="1" x14ac:dyDescent="0.25">
      <c r="A130" s="236">
        <f t="shared" si="2"/>
        <v>122</v>
      </c>
      <c r="B130" s="242" t="s">
        <v>96</v>
      </c>
      <c r="C130" s="239">
        <f t="shared" si="1"/>
        <v>1724</v>
      </c>
      <c r="D130" s="239"/>
      <c r="E130" s="239">
        <v>1724</v>
      </c>
      <c r="F130" s="239"/>
      <c r="G130" s="239"/>
      <c r="H130" s="239"/>
      <c r="I130" s="239"/>
      <c r="J130" s="239"/>
      <c r="K130" s="239"/>
      <c r="L130" s="239"/>
      <c r="M130" s="240"/>
    </row>
    <row r="131" spans="1:13" ht="15.75" customHeight="1" x14ac:dyDescent="0.25">
      <c r="A131" s="236">
        <f t="shared" si="2"/>
        <v>123</v>
      </c>
      <c r="B131" s="242" t="s">
        <v>76</v>
      </c>
      <c r="C131" s="239">
        <f t="shared" si="1"/>
        <v>2914</v>
      </c>
      <c r="D131" s="239"/>
      <c r="E131" s="239">
        <v>2914</v>
      </c>
      <c r="F131" s="239"/>
      <c r="G131" s="239"/>
      <c r="H131" s="239"/>
      <c r="I131" s="239"/>
      <c r="J131" s="239"/>
      <c r="K131" s="239"/>
      <c r="L131" s="239"/>
      <c r="M131" s="240"/>
    </row>
    <row r="132" spans="1:13" ht="15" customHeight="1" x14ac:dyDescent="0.25">
      <c r="A132" s="236">
        <f t="shared" si="2"/>
        <v>124</v>
      </c>
      <c r="B132" s="242" t="s">
        <v>102</v>
      </c>
      <c r="C132" s="239">
        <f t="shared" si="1"/>
        <v>305</v>
      </c>
      <c r="D132" s="239"/>
      <c r="E132" s="239">
        <f>507-202</f>
        <v>305</v>
      </c>
      <c r="F132" s="239"/>
      <c r="G132" s="239">
        <f>507-202</f>
        <v>305</v>
      </c>
      <c r="H132" s="239"/>
      <c r="I132" s="239"/>
      <c r="J132" s="239"/>
      <c r="K132" s="239"/>
      <c r="L132" s="239"/>
      <c r="M132" s="240"/>
    </row>
    <row r="133" spans="1:13" ht="16.5" customHeight="1" x14ac:dyDescent="0.25">
      <c r="A133" s="236">
        <f t="shared" si="2"/>
        <v>125</v>
      </c>
      <c r="B133" s="242" t="s">
        <v>103</v>
      </c>
      <c r="C133" s="239">
        <f t="shared" si="1"/>
        <v>1362</v>
      </c>
      <c r="D133" s="239"/>
      <c r="E133" s="239">
        <v>1362</v>
      </c>
      <c r="F133" s="239"/>
      <c r="G133" s="239"/>
      <c r="H133" s="239"/>
      <c r="I133" s="239">
        <v>1362</v>
      </c>
      <c r="J133" s="239"/>
      <c r="K133" s="239"/>
      <c r="L133" s="239"/>
      <c r="M133" s="240"/>
    </row>
    <row r="134" spans="1:13" ht="16.5" customHeight="1" x14ac:dyDescent="0.25">
      <c r="A134" s="236">
        <f t="shared" si="2"/>
        <v>126</v>
      </c>
      <c r="B134" s="242" t="s">
        <v>81</v>
      </c>
      <c r="C134" s="239">
        <f t="shared" si="1"/>
        <v>1407</v>
      </c>
      <c r="D134" s="239"/>
      <c r="E134" s="239">
        <v>1407</v>
      </c>
      <c r="F134" s="239"/>
      <c r="G134" s="239"/>
      <c r="H134" s="239"/>
      <c r="I134" s="239">
        <v>707</v>
      </c>
      <c r="J134" s="239"/>
      <c r="K134" s="239"/>
      <c r="L134" s="239"/>
      <c r="M134" s="240"/>
    </row>
    <row r="135" spans="1:13" ht="17.25" customHeight="1" x14ac:dyDescent="0.25">
      <c r="A135" s="236">
        <f t="shared" si="2"/>
        <v>127</v>
      </c>
      <c r="B135" s="247" t="s">
        <v>439</v>
      </c>
      <c r="C135" s="239">
        <f t="shared" si="1"/>
        <v>3798</v>
      </c>
      <c r="D135" s="239"/>
      <c r="E135" s="239">
        <v>3798</v>
      </c>
      <c r="F135" s="239"/>
      <c r="G135" s="239"/>
      <c r="H135" s="239">
        <v>639</v>
      </c>
      <c r="I135" s="239">
        <v>68</v>
      </c>
      <c r="J135" s="239"/>
      <c r="K135" s="239"/>
      <c r="L135" s="239"/>
      <c r="M135" s="240"/>
    </row>
    <row r="136" spans="1:13" ht="14.25" customHeight="1" x14ac:dyDescent="0.25">
      <c r="A136" s="236">
        <f t="shared" si="2"/>
        <v>128</v>
      </c>
      <c r="B136" s="242" t="s">
        <v>440</v>
      </c>
      <c r="C136" s="239">
        <f t="shared" si="1"/>
        <v>235</v>
      </c>
      <c r="D136" s="239"/>
      <c r="E136" s="239">
        <v>235</v>
      </c>
      <c r="F136" s="239"/>
      <c r="G136" s="239"/>
      <c r="H136" s="239"/>
      <c r="I136" s="239"/>
      <c r="J136" s="239"/>
      <c r="K136" s="239"/>
      <c r="L136" s="239"/>
      <c r="M136" s="240"/>
    </row>
    <row r="137" spans="1:13" s="244" customFormat="1" ht="25.5" customHeight="1" x14ac:dyDescent="0.25">
      <c r="A137" s="236">
        <f t="shared" si="2"/>
        <v>129</v>
      </c>
      <c r="B137" s="251" t="s">
        <v>441</v>
      </c>
      <c r="C137" s="248">
        <f>SUM(C138:C140)</f>
        <v>1986</v>
      </c>
      <c r="D137" s="248">
        <f t="shared" ref="D137:M137" si="3">SUM(D138:D140)</f>
        <v>14</v>
      </c>
      <c r="E137" s="248">
        <f t="shared" si="3"/>
        <v>1869</v>
      </c>
      <c r="F137" s="248">
        <f t="shared" si="3"/>
        <v>0</v>
      </c>
      <c r="G137" s="248">
        <f t="shared" si="3"/>
        <v>0</v>
      </c>
      <c r="H137" s="248">
        <f t="shared" si="3"/>
        <v>1869</v>
      </c>
      <c r="I137" s="248">
        <f t="shared" si="3"/>
        <v>0</v>
      </c>
      <c r="J137" s="248">
        <f t="shared" si="3"/>
        <v>0</v>
      </c>
      <c r="K137" s="248">
        <f t="shared" si="3"/>
        <v>0</v>
      </c>
      <c r="L137" s="248">
        <f t="shared" si="3"/>
        <v>0</v>
      </c>
      <c r="M137" s="248">
        <f t="shared" si="3"/>
        <v>103</v>
      </c>
    </row>
    <row r="138" spans="1:13" ht="18" customHeight="1" x14ac:dyDescent="0.25">
      <c r="A138" s="236"/>
      <c r="B138" s="252" t="s">
        <v>442</v>
      </c>
      <c r="C138" s="239">
        <f>D138+E138+M138</f>
        <v>1883</v>
      </c>
      <c r="D138" s="239">
        <f>90-75-1</f>
        <v>14</v>
      </c>
      <c r="E138" s="239">
        <f>4790-2931+10</f>
        <v>1869</v>
      </c>
      <c r="F138" s="239"/>
      <c r="G138" s="239"/>
      <c r="H138" s="239">
        <f>4790-2931+10</f>
        <v>1869</v>
      </c>
      <c r="I138" s="239"/>
      <c r="J138" s="239"/>
      <c r="K138" s="239"/>
      <c r="L138" s="239"/>
      <c r="M138" s="240"/>
    </row>
    <row r="139" spans="1:13" ht="24" customHeight="1" x14ac:dyDescent="0.25">
      <c r="A139" s="236"/>
      <c r="B139" s="253" t="s">
        <v>443</v>
      </c>
      <c r="C139" s="239">
        <f t="shared" ref="C139:C148" si="4">D139+E139+M139</f>
        <v>89</v>
      </c>
      <c r="D139" s="239"/>
      <c r="E139" s="239"/>
      <c r="F139" s="239"/>
      <c r="G139" s="239"/>
      <c r="H139" s="239"/>
      <c r="I139" s="239"/>
      <c r="J139" s="239"/>
      <c r="K139" s="239"/>
      <c r="L139" s="239"/>
      <c r="M139" s="240">
        <f>360-267-4</f>
        <v>89</v>
      </c>
    </row>
    <row r="140" spans="1:13" ht="26.25" customHeight="1" x14ac:dyDescent="0.25">
      <c r="A140" s="236"/>
      <c r="B140" s="253" t="s">
        <v>444</v>
      </c>
      <c r="C140" s="239">
        <f t="shared" si="4"/>
        <v>14</v>
      </c>
      <c r="D140" s="239"/>
      <c r="E140" s="239"/>
      <c r="F140" s="239"/>
      <c r="G140" s="239"/>
      <c r="H140" s="239"/>
      <c r="I140" s="239"/>
      <c r="J140" s="239"/>
      <c r="K140" s="239"/>
      <c r="L140" s="239"/>
      <c r="M140" s="240">
        <f>75-61</f>
        <v>14</v>
      </c>
    </row>
    <row r="141" spans="1:13" ht="26.25" customHeight="1" x14ac:dyDescent="0.25">
      <c r="A141" s="236"/>
      <c r="B141" s="251" t="s">
        <v>445</v>
      </c>
      <c r="C141" s="248">
        <f>SUM(C142:C144)</f>
        <v>3239</v>
      </c>
      <c r="D141" s="248">
        <f t="shared" ref="D141:M141" si="5">SUM(D142:D144)</f>
        <v>76</v>
      </c>
      <c r="E141" s="248">
        <f t="shared" si="5"/>
        <v>2921</v>
      </c>
      <c r="F141" s="248">
        <f t="shared" si="5"/>
        <v>0</v>
      </c>
      <c r="G141" s="248">
        <f t="shared" si="5"/>
        <v>0</v>
      </c>
      <c r="H141" s="248">
        <f t="shared" si="5"/>
        <v>2921</v>
      </c>
      <c r="I141" s="248">
        <f t="shared" si="5"/>
        <v>0</v>
      </c>
      <c r="J141" s="248">
        <f t="shared" si="5"/>
        <v>0</v>
      </c>
      <c r="K141" s="248">
        <f t="shared" si="5"/>
        <v>0</v>
      </c>
      <c r="L141" s="248">
        <f t="shared" si="5"/>
        <v>0</v>
      </c>
      <c r="M141" s="248">
        <f t="shared" si="5"/>
        <v>242</v>
      </c>
    </row>
    <row r="142" spans="1:13" ht="17.25" customHeight="1" x14ac:dyDescent="0.25">
      <c r="A142" s="236"/>
      <c r="B142" s="252" t="s">
        <v>442</v>
      </c>
      <c r="C142" s="239">
        <f>D142+E142+M142</f>
        <v>2997</v>
      </c>
      <c r="D142" s="239">
        <f>0+75+1</f>
        <v>76</v>
      </c>
      <c r="E142" s="239">
        <f>0+2931-10</f>
        <v>2921</v>
      </c>
      <c r="F142" s="239"/>
      <c r="G142" s="239"/>
      <c r="H142" s="239">
        <f>0+2931-10</f>
        <v>2921</v>
      </c>
      <c r="I142" s="239"/>
      <c r="J142" s="239"/>
      <c r="K142" s="239"/>
      <c r="L142" s="239"/>
      <c r="M142" s="240"/>
    </row>
    <row r="143" spans="1:13" ht="26.25" customHeight="1" x14ac:dyDescent="0.25">
      <c r="A143" s="236"/>
      <c r="B143" s="253" t="s">
        <v>443</v>
      </c>
      <c r="C143" s="239">
        <f t="shared" si="4"/>
        <v>181</v>
      </c>
      <c r="D143" s="239"/>
      <c r="E143" s="239"/>
      <c r="F143" s="239"/>
      <c r="G143" s="239"/>
      <c r="H143" s="239"/>
      <c r="I143" s="239"/>
      <c r="J143" s="239"/>
      <c r="K143" s="239"/>
      <c r="L143" s="239"/>
      <c r="M143" s="240">
        <f>0+267+4-90</f>
        <v>181</v>
      </c>
    </row>
    <row r="144" spans="1:13" ht="26.25" customHeight="1" x14ac:dyDescent="0.25">
      <c r="A144" s="236"/>
      <c r="B144" s="253" t="s">
        <v>444</v>
      </c>
      <c r="C144" s="239">
        <f t="shared" si="4"/>
        <v>61</v>
      </c>
      <c r="D144" s="239"/>
      <c r="E144" s="239"/>
      <c r="F144" s="239"/>
      <c r="G144" s="239"/>
      <c r="H144" s="239"/>
      <c r="I144" s="239"/>
      <c r="J144" s="239"/>
      <c r="K144" s="239"/>
      <c r="L144" s="239"/>
      <c r="M144" s="240">
        <f>0+61</f>
        <v>61</v>
      </c>
    </row>
    <row r="145" spans="1:13" ht="18.75" customHeight="1" x14ac:dyDescent="0.25">
      <c r="A145" s="236">
        <v>130</v>
      </c>
      <c r="B145" s="253" t="s">
        <v>446</v>
      </c>
      <c r="C145" s="254">
        <f t="shared" si="4"/>
        <v>25</v>
      </c>
      <c r="D145" s="239"/>
      <c r="E145" s="239">
        <f>0+25</f>
        <v>25</v>
      </c>
      <c r="F145" s="239"/>
      <c r="G145" s="239">
        <f>0+25</f>
        <v>25</v>
      </c>
      <c r="H145" s="239"/>
      <c r="I145" s="239"/>
      <c r="J145" s="239"/>
      <c r="K145" s="239"/>
      <c r="L145" s="239"/>
      <c r="M145" s="240"/>
    </row>
    <row r="146" spans="1:13" ht="52.5" customHeight="1" x14ac:dyDescent="0.25">
      <c r="A146" s="236">
        <v>131</v>
      </c>
      <c r="B146" s="246" t="s">
        <v>447</v>
      </c>
      <c r="C146" s="254">
        <f t="shared" si="4"/>
        <v>1698</v>
      </c>
      <c r="D146" s="239"/>
      <c r="E146" s="239">
        <f>0+1699-1</f>
        <v>1698</v>
      </c>
      <c r="F146" s="239">
        <f>0+269+34</f>
        <v>303</v>
      </c>
      <c r="G146" s="239"/>
      <c r="H146" s="239"/>
      <c r="I146" s="239"/>
      <c r="J146" s="239"/>
      <c r="K146" s="239"/>
      <c r="L146" s="239"/>
      <c r="M146" s="240"/>
    </row>
    <row r="147" spans="1:13" ht="50.25" customHeight="1" x14ac:dyDescent="0.25">
      <c r="A147" s="236">
        <v>132</v>
      </c>
      <c r="B147" s="246" t="s">
        <v>448</v>
      </c>
      <c r="C147" s="254">
        <f t="shared" si="4"/>
        <v>265</v>
      </c>
      <c r="D147" s="239"/>
      <c r="E147" s="239">
        <f>0+247+18</f>
        <v>265</v>
      </c>
      <c r="F147" s="239"/>
      <c r="G147" s="239"/>
      <c r="H147" s="239"/>
      <c r="I147" s="239"/>
      <c r="J147" s="239"/>
      <c r="K147" s="239"/>
      <c r="L147" s="239"/>
      <c r="M147" s="240"/>
    </row>
    <row r="148" spans="1:13" ht="16.5" customHeight="1" x14ac:dyDescent="0.25">
      <c r="A148" s="236"/>
      <c r="B148" s="242" t="s">
        <v>65</v>
      </c>
      <c r="C148" s="254">
        <f t="shared" si="4"/>
        <v>1079</v>
      </c>
      <c r="D148" s="239"/>
      <c r="E148" s="239">
        <f>1061+18+19-19</f>
        <v>1079</v>
      </c>
      <c r="F148" s="239"/>
      <c r="G148" s="239">
        <f>0+18</f>
        <v>18</v>
      </c>
      <c r="H148" s="239">
        <v>105</v>
      </c>
      <c r="I148" s="239"/>
      <c r="J148" s="239"/>
      <c r="K148" s="239"/>
      <c r="L148" s="239"/>
      <c r="M148" s="240"/>
    </row>
    <row r="149" spans="1:13" x14ac:dyDescent="0.25">
      <c r="A149" s="236"/>
      <c r="B149" s="251" t="s">
        <v>104</v>
      </c>
      <c r="C149" s="248">
        <f t="shared" ref="C149:M149" si="6">SUM(C7:C148)-C137-C141</f>
        <v>253934</v>
      </c>
      <c r="D149" s="248">
        <f t="shared" si="6"/>
        <v>90</v>
      </c>
      <c r="E149" s="248">
        <f t="shared" si="6"/>
        <v>253499</v>
      </c>
      <c r="F149" s="248">
        <f t="shared" si="6"/>
        <v>33072</v>
      </c>
      <c r="G149" s="248">
        <f t="shared" si="6"/>
        <v>2025</v>
      </c>
      <c r="H149" s="248">
        <f t="shared" si="6"/>
        <v>27922</v>
      </c>
      <c r="I149" s="248">
        <f t="shared" si="6"/>
        <v>4011</v>
      </c>
      <c r="J149" s="248">
        <f t="shared" si="6"/>
        <v>1962</v>
      </c>
      <c r="K149" s="248">
        <f t="shared" si="6"/>
        <v>161</v>
      </c>
      <c r="L149" s="248">
        <f t="shared" si="6"/>
        <v>319</v>
      </c>
      <c r="M149" s="248">
        <f t="shared" si="6"/>
        <v>345</v>
      </c>
    </row>
    <row r="150" spans="1:13" s="257" customFormat="1" x14ac:dyDescent="0.25">
      <c r="A150" s="255"/>
      <c r="B150" s="256"/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</row>
    <row r="151" spans="1:13" s="257" customFormat="1" x14ac:dyDescent="0.25">
      <c r="A151" s="255"/>
      <c r="B151" s="256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</row>
    <row r="152" spans="1:13" s="257" customFormat="1" x14ac:dyDescent="0.25">
      <c r="A152" s="255"/>
      <c r="B152" s="256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</row>
    <row r="153" spans="1:13" s="257" customFormat="1" ht="15" x14ac:dyDescent="0.25">
      <c r="A153" s="255"/>
      <c r="B153" s="256"/>
      <c r="C153" s="255"/>
      <c r="D153" s="255"/>
      <c r="E153" s="258"/>
      <c r="F153" s="358"/>
      <c r="G153" s="359"/>
      <c r="H153" s="258"/>
      <c r="I153" s="255"/>
      <c r="J153" s="255"/>
      <c r="K153" s="255"/>
      <c r="L153" s="255"/>
      <c r="M153" s="255"/>
    </row>
    <row r="154" spans="1:13" x14ac:dyDescent="0.25">
      <c r="E154" s="255"/>
      <c r="H154" s="255"/>
      <c r="I154" s="255"/>
      <c r="J154" s="255"/>
      <c r="K154" s="255"/>
      <c r="L154" s="255"/>
      <c r="M154" s="255"/>
    </row>
    <row r="155" spans="1:13" x14ac:dyDescent="0.25"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</row>
  </sheetData>
  <mergeCells count="19">
    <mergeCell ref="A32:A33"/>
    <mergeCell ref="A119:A120"/>
    <mergeCell ref="F153:G153"/>
    <mergeCell ref="F5:F6"/>
    <mergeCell ref="G5:G6"/>
    <mergeCell ref="H5:H6"/>
    <mergeCell ref="I5:J5"/>
    <mergeCell ref="K5:K6"/>
    <mergeCell ref="L5:L6"/>
    <mergeCell ref="A1:M1"/>
    <mergeCell ref="K2:M2"/>
    <mergeCell ref="A3:A6"/>
    <mergeCell ref="B3:B6"/>
    <mergeCell ref="C3:C6"/>
    <mergeCell ref="E3:M3"/>
    <mergeCell ref="D4:D6"/>
    <mergeCell ref="E4:E6"/>
    <mergeCell ref="F4:L4"/>
    <mergeCell ref="M4:M6"/>
  </mergeCells>
  <pageMargins left="0.31496062992125984" right="0.19685039370078741" top="0.39370078740157483" bottom="0.39370078740157483" header="0.31496062992125984" footer="0.31496062992125984"/>
  <pageSetup paperSize="9" scale="65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workbookViewId="0">
      <selection activeCell="F15" sqref="F15"/>
    </sheetView>
  </sheetViews>
  <sheetFormatPr defaultRowHeight="12.75" x14ac:dyDescent="0.25"/>
  <cols>
    <col min="1" max="1" width="7.28515625" style="262" customWidth="1"/>
    <col min="2" max="2" width="22" style="264" customWidth="1"/>
    <col min="3" max="3" width="12" style="263" customWidth="1"/>
    <col min="4" max="4" width="12" style="264" customWidth="1"/>
    <col min="5" max="5" width="16.7109375" style="264" customWidth="1"/>
    <col min="6" max="6" width="14" style="264" customWidth="1"/>
    <col min="7" max="7" width="10" style="263" customWidth="1"/>
    <col min="8" max="8" width="13.42578125" style="263" customWidth="1"/>
    <col min="9" max="9" width="9.140625" style="264"/>
    <col min="10" max="10" width="11.85546875" style="264" customWidth="1"/>
    <col min="11" max="16384" width="9.140625" style="264"/>
  </cols>
  <sheetData>
    <row r="1" spans="1:13" ht="36.75" customHeight="1" x14ac:dyDescent="0.25">
      <c r="A1" s="360" t="s">
        <v>449</v>
      </c>
      <c r="B1" s="360"/>
      <c r="C1" s="360"/>
      <c r="D1" s="360"/>
      <c r="E1" s="360"/>
      <c r="F1" s="360"/>
      <c r="G1" s="361"/>
      <c r="H1" s="361"/>
    </row>
    <row r="2" spans="1:13" ht="18.75" customHeight="1" x14ac:dyDescent="0.25">
      <c r="A2" s="265"/>
      <c r="B2" s="265"/>
      <c r="C2" s="266"/>
      <c r="D2" s="266"/>
      <c r="E2" s="266"/>
      <c r="F2" s="266"/>
      <c r="G2" s="267"/>
      <c r="H2" s="267"/>
    </row>
    <row r="3" spans="1:13" s="261" customFormat="1" ht="18.75" customHeight="1" x14ac:dyDescent="0.25">
      <c r="A3" s="362" t="s">
        <v>328</v>
      </c>
      <c r="B3" s="362" t="s">
        <v>329</v>
      </c>
      <c r="C3" s="364" t="s">
        <v>450</v>
      </c>
      <c r="D3" s="365"/>
      <c r="E3" s="364" t="s">
        <v>451</v>
      </c>
      <c r="F3" s="365"/>
      <c r="G3" s="366" t="s">
        <v>104</v>
      </c>
      <c r="H3" s="367"/>
      <c r="I3" s="264"/>
      <c r="J3" s="264"/>
      <c r="K3" s="264"/>
      <c r="L3" s="264"/>
      <c r="M3" s="264"/>
    </row>
    <row r="4" spans="1:13" s="261" customFormat="1" ht="110.25" customHeight="1" x14ac:dyDescent="0.25">
      <c r="A4" s="363"/>
      <c r="B4" s="363"/>
      <c r="C4" s="260" t="s">
        <v>452</v>
      </c>
      <c r="D4" s="260" t="s">
        <v>453</v>
      </c>
      <c r="E4" s="260" t="s">
        <v>452</v>
      </c>
      <c r="F4" s="260" t="s">
        <v>453</v>
      </c>
      <c r="G4" s="260" t="s">
        <v>452</v>
      </c>
      <c r="H4" s="260" t="s">
        <v>453</v>
      </c>
      <c r="I4" s="264"/>
      <c r="J4" s="264"/>
      <c r="K4" s="264"/>
      <c r="L4" s="264"/>
      <c r="M4" s="264"/>
    </row>
    <row r="5" spans="1:13" s="261" customFormat="1" ht="18.75" customHeight="1" x14ac:dyDescent="0.25">
      <c r="A5" s="341" t="s">
        <v>356</v>
      </c>
      <c r="B5" s="342"/>
      <c r="C5" s="223">
        <f>SUM(C6:C7)</f>
        <v>14</v>
      </c>
      <c r="D5" s="223">
        <f t="shared" ref="D5:H5" si="0">SUM(D6:D7)</f>
        <v>2775007</v>
      </c>
      <c r="E5" s="223">
        <f>SUM(E6:E7)</f>
        <v>76</v>
      </c>
      <c r="F5" s="223">
        <f t="shared" ref="F5" si="1">SUM(F6:F7)</f>
        <v>14848088</v>
      </c>
      <c r="G5" s="223">
        <f t="shared" si="0"/>
        <v>90</v>
      </c>
      <c r="H5" s="223">
        <f t="shared" si="0"/>
        <v>17623095</v>
      </c>
      <c r="I5" s="264"/>
      <c r="J5" s="264"/>
      <c r="K5" s="264"/>
      <c r="L5" s="264"/>
      <c r="M5" s="264"/>
    </row>
    <row r="6" spans="1:13" s="261" customFormat="1" ht="14.25" customHeight="1" x14ac:dyDescent="0.25">
      <c r="A6" s="268">
        <v>23</v>
      </c>
      <c r="B6" s="269">
        <v>187403</v>
      </c>
      <c r="C6" s="203">
        <f>75-64</f>
        <v>11</v>
      </c>
      <c r="D6" s="203">
        <f>B6*C6</f>
        <v>2061433</v>
      </c>
      <c r="E6" s="203">
        <v>64</v>
      </c>
      <c r="F6" s="203">
        <f>B6*E6</f>
        <v>11993792</v>
      </c>
      <c r="G6" s="205">
        <f>C6+E6</f>
        <v>75</v>
      </c>
      <c r="H6" s="205">
        <f>D6+F6</f>
        <v>14055225</v>
      </c>
      <c r="I6" s="264"/>
      <c r="J6" s="264"/>
      <c r="K6" s="264"/>
      <c r="L6" s="264"/>
      <c r="M6" s="264"/>
    </row>
    <row r="7" spans="1:13" s="261" customFormat="1" ht="14.25" customHeight="1" x14ac:dyDescent="0.25">
      <c r="A7" s="268">
        <v>24</v>
      </c>
      <c r="B7" s="269">
        <v>237858</v>
      </c>
      <c r="C7" s="203">
        <f>15-11-1</f>
        <v>3</v>
      </c>
      <c r="D7" s="203">
        <f>B7*C7</f>
        <v>713574</v>
      </c>
      <c r="E7" s="203">
        <f>11+1</f>
        <v>12</v>
      </c>
      <c r="F7" s="203">
        <f>B7*E7</f>
        <v>2854296</v>
      </c>
      <c r="G7" s="205">
        <f>C7+E7</f>
        <v>15</v>
      </c>
      <c r="H7" s="205">
        <f>D7+F7</f>
        <v>3567870</v>
      </c>
      <c r="I7" s="264"/>
      <c r="J7" s="264"/>
      <c r="K7" s="264"/>
      <c r="L7" s="264"/>
      <c r="M7" s="264"/>
    </row>
    <row r="8" spans="1:13" s="261" customFormat="1" ht="18.75" customHeight="1" x14ac:dyDescent="0.25">
      <c r="A8" s="341" t="s">
        <v>88</v>
      </c>
      <c r="B8" s="342"/>
      <c r="C8" s="223">
        <f>C5</f>
        <v>14</v>
      </c>
      <c r="D8" s="223">
        <f t="shared" ref="D8:H8" si="2">D5</f>
        <v>2775007</v>
      </c>
      <c r="E8" s="223">
        <f>E5</f>
        <v>76</v>
      </c>
      <c r="F8" s="223">
        <f t="shared" ref="F8" si="3">F5</f>
        <v>14848088</v>
      </c>
      <c r="G8" s="223">
        <f t="shared" si="2"/>
        <v>90</v>
      </c>
      <c r="H8" s="223">
        <f t="shared" si="2"/>
        <v>17623095</v>
      </c>
      <c r="I8" s="264"/>
      <c r="J8" s="264"/>
      <c r="K8" s="264"/>
      <c r="L8" s="264"/>
      <c r="M8" s="264"/>
    </row>
  </sheetData>
  <mergeCells count="8">
    <mergeCell ref="A5:B5"/>
    <mergeCell ref="A8:B8"/>
    <mergeCell ref="A1:H1"/>
    <mergeCell ref="A3:A4"/>
    <mergeCell ref="B3:B4"/>
    <mergeCell ref="C3:D3"/>
    <mergeCell ref="E3:F3"/>
    <mergeCell ref="G3:H3"/>
  </mergeCells>
  <pageMargins left="0" right="0" top="0.74803149606299213" bottom="0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90" zoomScaleNormal="90" workbookViewId="0">
      <pane xSplit="2" ySplit="7" topLeftCell="I14" activePane="bottomRight" state="frozen"/>
      <selection pane="topRight" activeCell="C1" sqref="C1"/>
      <selection pane="bottomLeft" activeCell="A10" sqref="A10"/>
      <selection pane="bottomRight" activeCell="N10" sqref="N10"/>
    </sheetView>
  </sheetViews>
  <sheetFormatPr defaultRowHeight="12.75" x14ac:dyDescent="0.2"/>
  <cols>
    <col min="1" max="1" width="4" style="270" customWidth="1"/>
    <col min="2" max="2" width="35.5703125" style="270" customWidth="1"/>
    <col min="3" max="3" width="11.42578125" style="289" customWidth="1"/>
    <col min="4" max="4" width="16.7109375" style="289" customWidth="1"/>
    <col min="5" max="5" width="14.28515625" style="289" customWidth="1"/>
    <col min="6" max="6" width="16.42578125" style="289" customWidth="1"/>
    <col min="7" max="7" width="14.28515625" style="289" customWidth="1"/>
    <col min="8" max="8" width="17.5703125" style="289" customWidth="1"/>
    <col min="9" max="9" width="10.85546875" style="289" customWidth="1"/>
    <col min="10" max="10" width="16.85546875" style="289" customWidth="1"/>
    <col min="11" max="11" width="17.140625" style="289" customWidth="1"/>
    <col min="12" max="12" width="14.5703125" style="289" customWidth="1"/>
    <col min="13" max="13" width="16.28515625" style="289" customWidth="1"/>
    <col min="14" max="14" width="16.42578125" style="289" customWidth="1"/>
    <col min="15" max="15" width="17.28515625" style="289" customWidth="1"/>
    <col min="16" max="16" width="14.7109375" style="289" customWidth="1"/>
    <col min="17" max="16384" width="9.140625" style="270"/>
  </cols>
  <sheetData>
    <row r="1" spans="1:16" ht="15.75" x14ac:dyDescent="0.25">
      <c r="C1" s="271" t="s">
        <v>454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</row>
    <row r="3" spans="1:16" s="274" customFormat="1" ht="17.25" customHeight="1" x14ac:dyDescent="0.2">
      <c r="A3" s="368" t="s">
        <v>0</v>
      </c>
      <c r="B3" s="369" t="s">
        <v>455</v>
      </c>
      <c r="C3" s="290" t="s">
        <v>456</v>
      </c>
      <c r="D3" s="372" t="s">
        <v>457</v>
      </c>
      <c r="E3" s="373"/>
      <c r="F3" s="373"/>
      <c r="G3" s="373"/>
      <c r="H3" s="374"/>
      <c r="I3" s="375" t="s">
        <v>458</v>
      </c>
      <c r="J3" s="375"/>
      <c r="K3" s="375"/>
      <c r="L3" s="375"/>
      <c r="M3" s="375"/>
      <c r="N3" s="375"/>
      <c r="O3" s="375"/>
      <c r="P3" s="375"/>
    </row>
    <row r="4" spans="1:16" s="274" customFormat="1" ht="17.25" customHeight="1" x14ac:dyDescent="0.2">
      <c r="A4" s="368"/>
      <c r="B4" s="370"/>
      <c r="C4" s="376" t="s">
        <v>104</v>
      </c>
      <c r="D4" s="379" t="s">
        <v>459</v>
      </c>
      <c r="E4" s="380" t="s">
        <v>460</v>
      </c>
      <c r="F4" s="380"/>
      <c r="G4" s="380"/>
      <c r="H4" s="380"/>
      <c r="I4" s="381" t="s">
        <v>88</v>
      </c>
      <c r="J4" s="384" t="s">
        <v>461</v>
      </c>
      <c r="K4" s="385"/>
      <c r="L4" s="386" t="s">
        <v>459</v>
      </c>
      <c r="M4" s="387"/>
      <c r="N4" s="387"/>
      <c r="O4" s="387"/>
      <c r="P4" s="388"/>
    </row>
    <row r="5" spans="1:16" s="276" customFormat="1" ht="48" customHeight="1" x14ac:dyDescent="0.25">
      <c r="A5" s="368"/>
      <c r="B5" s="370"/>
      <c r="C5" s="377"/>
      <c r="D5" s="379"/>
      <c r="E5" s="380"/>
      <c r="F5" s="380"/>
      <c r="G5" s="380"/>
      <c r="H5" s="380"/>
      <c r="I5" s="382"/>
      <c r="J5" s="275" t="s">
        <v>462</v>
      </c>
      <c r="K5" s="275" t="s">
        <v>460</v>
      </c>
      <c r="L5" s="389"/>
      <c r="M5" s="390"/>
      <c r="N5" s="390"/>
      <c r="O5" s="390"/>
      <c r="P5" s="391"/>
    </row>
    <row r="6" spans="1:16" s="274" customFormat="1" ht="12" x14ac:dyDescent="0.2">
      <c r="A6" s="368"/>
      <c r="B6" s="370"/>
      <c r="C6" s="377"/>
      <c r="D6" s="392" t="s">
        <v>463</v>
      </c>
      <c r="E6" s="392" t="s">
        <v>464</v>
      </c>
      <c r="F6" s="379" t="s">
        <v>463</v>
      </c>
      <c r="G6" s="379" t="s">
        <v>465</v>
      </c>
      <c r="H6" s="379"/>
      <c r="I6" s="382"/>
      <c r="J6" s="394" t="s">
        <v>463</v>
      </c>
      <c r="K6" s="394" t="s">
        <v>463</v>
      </c>
      <c r="L6" s="395" t="s">
        <v>104</v>
      </c>
      <c r="M6" s="394" t="s">
        <v>466</v>
      </c>
      <c r="N6" s="394" t="s">
        <v>463</v>
      </c>
      <c r="O6" s="394" t="s">
        <v>467</v>
      </c>
      <c r="P6" s="392" t="s">
        <v>464</v>
      </c>
    </row>
    <row r="7" spans="1:16" s="274" customFormat="1" ht="48" x14ac:dyDescent="0.2">
      <c r="A7" s="368"/>
      <c r="B7" s="371"/>
      <c r="C7" s="378"/>
      <c r="D7" s="393"/>
      <c r="E7" s="393"/>
      <c r="F7" s="379"/>
      <c r="G7" s="277" t="s">
        <v>468</v>
      </c>
      <c r="H7" s="277" t="s">
        <v>469</v>
      </c>
      <c r="I7" s="383"/>
      <c r="J7" s="394"/>
      <c r="K7" s="394"/>
      <c r="L7" s="395"/>
      <c r="M7" s="394"/>
      <c r="N7" s="394"/>
      <c r="O7" s="394"/>
      <c r="P7" s="393"/>
    </row>
    <row r="8" spans="1:16" x14ac:dyDescent="0.2">
      <c r="A8" s="278">
        <v>1</v>
      </c>
      <c r="B8" s="279" t="s">
        <v>74</v>
      </c>
      <c r="C8" s="280">
        <v>11559</v>
      </c>
      <c r="D8" s="281"/>
      <c r="E8" s="281"/>
      <c r="F8" s="281">
        <v>400</v>
      </c>
      <c r="G8" s="281">
        <v>25</v>
      </c>
      <c r="H8" s="281">
        <v>10</v>
      </c>
      <c r="I8" s="282">
        <v>11124</v>
      </c>
      <c r="J8" s="282">
        <v>500</v>
      </c>
      <c r="K8" s="282">
        <v>2350</v>
      </c>
      <c r="L8" s="282">
        <v>8274</v>
      </c>
      <c r="M8" s="281"/>
      <c r="N8" s="281">
        <v>3901</v>
      </c>
      <c r="O8" s="281">
        <v>3653</v>
      </c>
      <c r="P8" s="281">
        <v>720</v>
      </c>
    </row>
    <row r="9" spans="1:16" x14ac:dyDescent="0.2">
      <c r="A9" s="278">
        <v>2</v>
      </c>
      <c r="B9" s="283" t="s">
        <v>63</v>
      </c>
      <c r="C9" s="280">
        <v>3476</v>
      </c>
      <c r="D9" s="281"/>
      <c r="E9" s="281">
        <v>70</v>
      </c>
      <c r="F9" s="281">
        <v>30</v>
      </c>
      <c r="G9" s="281"/>
      <c r="H9" s="281"/>
      <c r="I9" s="282">
        <v>3376</v>
      </c>
      <c r="J9" s="282"/>
      <c r="K9" s="282"/>
      <c r="L9" s="282">
        <v>3376</v>
      </c>
      <c r="M9" s="281"/>
      <c r="N9" s="281">
        <v>625</v>
      </c>
      <c r="O9" s="281">
        <v>311</v>
      </c>
      <c r="P9" s="281">
        <v>2440</v>
      </c>
    </row>
    <row r="10" spans="1:16" x14ac:dyDescent="0.2">
      <c r="A10" s="278">
        <v>3</v>
      </c>
      <c r="B10" s="279" t="s">
        <v>470</v>
      </c>
      <c r="C10" s="280">
        <v>103602</v>
      </c>
      <c r="D10" s="281">
        <v>886</v>
      </c>
      <c r="E10" s="281"/>
      <c r="F10" s="281"/>
      <c r="G10" s="281"/>
      <c r="H10" s="281"/>
      <c r="I10" s="282">
        <v>102716</v>
      </c>
      <c r="J10" s="282"/>
      <c r="K10" s="282"/>
      <c r="L10" s="282">
        <v>102716</v>
      </c>
      <c r="M10" s="281"/>
      <c r="N10" s="281">
        <v>96126</v>
      </c>
      <c r="O10" s="281">
        <v>6590</v>
      </c>
      <c r="P10" s="281"/>
    </row>
    <row r="11" spans="1:16" x14ac:dyDescent="0.2">
      <c r="A11" s="278">
        <v>4</v>
      </c>
      <c r="B11" s="283" t="s">
        <v>151</v>
      </c>
      <c r="C11" s="280">
        <v>38787</v>
      </c>
      <c r="D11" s="281">
        <v>100</v>
      </c>
      <c r="E11" s="281"/>
      <c r="F11" s="281"/>
      <c r="G11" s="281"/>
      <c r="H11" s="281"/>
      <c r="I11" s="282">
        <v>38687</v>
      </c>
      <c r="J11" s="282"/>
      <c r="K11" s="282"/>
      <c r="L11" s="282">
        <v>38687</v>
      </c>
      <c r="M11" s="281">
        <v>7427</v>
      </c>
      <c r="N11" s="281">
        <v>25575</v>
      </c>
      <c r="O11" s="281">
        <v>5685</v>
      </c>
      <c r="P11" s="281"/>
    </row>
    <row r="12" spans="1:16" x14ac:dyDescent="0.2">
      <c r="A12" s="278">
        <v>5</v>
      </c>
      <c r="B12" s="283" t="s">
        <v>152</v>
      </c>
      <c r="C12" s="280">
        <v>20997</v>
      </c>
      <c r="D12" s="281"/>
      <c r="E12" s="281"/>
      <c r="F12" s="281"/>
      <c r="G12" s="281"/>
      <c r="H12" s="281"/>
      <c r="I12" s="282">
        <v>20997</v>
      </c>
      <c r="J12" s="282"/>
      <c r="K12" s="282"/>
      <c r="L12" s="282">
        <v>20997</v>
      </c>
      <c r="M12" s="281"/>
      <c r="N12" s="281">
        <v>15550</v>
      </c>
      <c r="O12" s="281">
        <v>5447</v>
      </c>
      <c r="P12" s="281"/>
    </row>
    <row r="13" spans="1:16" x14ac:dyDescent="0.2">
      <c r="A13" s="278">
        <v>6</v>
      </c>
      <c r="B13" s="283" t="s">
        <v>471</v>
      </c>
      <c r="C13" s="280">
        <v>9464</v>
      </c>
      <c r="D13" s="281"/>
      <c r="E13" s="281"/>
      <c r="F13" s="281"/>
      <c r="G13" s="281"/>
      <c r="H13" s="281"/>
      <c r="I13" s="282">
        <v>9464</v>
      </c>
      <c r="J13" s="282"/>
      <c r="K13" s="282"/>
      <c r="L13" s="282">
        <v>9464</v>
      </c>
      <c r="M13" s="281"/>
      <c r="N13" s="281">
        <v>8723</v>
      </c>
      <c r="O13" s="281">
        <v>741</v>
      </c>
      <c r="P13" s="281"/>
    </row>
    <row r="14" spans="1:16" x14ac:dyDescent="0.2">
      <c r="A14" s="278">
        <v>7</v>
      </c>
      <c r="B14" s="283" t="s">
        <v>153</v>
      </c>
      <c r="C14" s="280">
        <v>4368</v>
      </c>
      <c r="D14" s="281"/>
      <c r="E14" s="281"/>
      <c r="F14" s="281"/>
      <c r="G14" s="281"/>
      <c r="H14" s="281"/>
      <c r="I14" s="282">
        <v>4368</v>
      </c>
      <c r="J14" s="282"/>
      <c r="K14" s="282"/>
      <c r="L14" s="282">
        <v>4368</v>
      </c>
      <c r="M14" s="281"/>
      <c r="N14" s="281">
        <v>4368</v>
      </c>
      <c r="O14" s="281"/>
      <c r="P14" s="281"/>
    </row>
    <row r="15" spans="1:16" x14ac:dyDescent="0.2">
      <c r="A15" s="278">
        <v>8</v>
      </c>
      <c r="B15" s="283" t="s">
        <v>80</v>
      </c>
      <c r="C15" s="280">
        <v>85</v>
      </c>
      <c r="D15" s="281"/>
      <c r="E15" s="281">
        <v>20</v>
      </c>
      <c r="F15" s="281"/>
      <c r="G15" s="281">
        <v>65</v>
      </c>
      <c r="H15" s="281"/>
      <c r="I15" s="282">
        <v>0</v>
      </c>
      <c r="J15" s="282"/>
      <c r="K15" s="282"/>
      <c r="L15" s="282">
        <v>0</v>
      </c>
      <c r="M15" s="281"/>
      <c r="N15" s="281"/>
      <c r="O15" s="281"/>
      <c r="P15" s="281"/>
    </row>
    <row r="16" spans="1:16" x14ac:dyDescent="0.2">
      <c r="A16" s="278">
        <v>9</v>
      </c>
      <c r="B16" s="283" t="s">
        <v>64</v>
      </c>
      <c r="C16" s="280">
        <v>1</v>
      </c>
      <c r="D16" s="281"/>
      <c r="E16" s="281"/>
      <c r="F16" s="281"/>
      <c r="G16" s="281">
        <v>1</v>
      </c>
      <c r="H16" s="281"/>
      <c r="I16" s="282">
        <v>0</v>
      </c>
      <c r="J16" s="282"/>
      <c r="K16" s="282"/>
      <c r="L16" s="282">
        <v>0</v>
      </c>
      <c r="M16" s="281"/>
      <c r="N16" s="281"/>
      <c r="O16" s="281"/>
      <c r="P16" s="281"/>
    </row>
    <row r="17" spans="1:16" x14ac:dyDescent="0.2">
      <c r="A17" s="278">
        <v>10</v>
      </c>
      <c r="B17" s="283" t="s">
        <v>127</v>
      </c>
      <c r="C17" s="280">
        <v>20</v>
      </c>
      <c r="D17" s="281"/>
      <c r="E17" s="281"/>
      <c r="F17" s="281"/>
      <c r="G17" s="281">
        <v>20</v>
      </c>
      <c r="H17" s="281"/>
      <c r="I17" s="282">
        <v>0</v>
      </c>
      <c r="J17" s="282"/>
      <c r="K17" s="282"/>
      <c r="L17" s="282">
        <v>0</v>
      </c>
      <c r="M17" s="281"/>
      <c r="N17" s="281"/>
      <c r="O17" s="281"/>
      <c r="P17" s="281"/>
    </row>
    <row r="18" spans="1:16" x14ac:dyDescent="0.2">
      <c r="A18" s="278">
        <v>11</v>
      </c>
      <c r="B18" s="283" t="s">
        <v>92</v>
      </c>
      <c r="C18" s="280">
        <v>119</v>
      </c>
      <c r="D18" s="281"/>
      <c r="E18" s="281"/>
      <c r="F18" s="281"/>
      <c r="G18" s="281">
        <v>119</v>
      </c>
      <c r="H18" s="281"/>
      <c r="I18" s="282">
        <v>0</v>
      </c>
      <c r="J18" s="282"/>
      <c r="K18" s="282"/>
      <c r="L18" s="282">
        <v>0</v>
      </c>
      <c r="M18" s="281"/>
      <c r="N18" s="281"/>
      <c r="O18" s="281"/>
      <c r="P18" s="281"/>
    </row>
    <row r="19" spans="1:16" x14ac:dyDescent="0.2">
      <c r="A19" s="278">
        <v>12</v>
      </c>
      <c r="B19" s="283" t="s">
        <v>112</v>
      </c>
      <c r="C19" s="280">
        <v>20</v>
      </c>
      <c r="D19" s="281"/>
      <c r="E19" s="281"/>
      <c r="F19" s="281"/>
      <c r="G19" s="281">
        <v>20</v>
      </c>
      <c r="H19" s="281"/>
      <c r="I19" s="282">
        <v>0</v>
      </c>
      <c r="J19" s="282"/>
      <c r="K19" s="282"/>
      <c r="L19" s="282">
        <v>0</v>
      </c>
      <c r="M19" s="281"/>
      <c r="N19" s="281"/>
      <c r="O19" s="281"/>
      <c r="P19" s="281"/>
    </row>
    <row r="20" spans="1:16" x14ac:dyDescent="0.2">
      <c r="A20" s="278">
        <v>13</v>
      </c>
      <c r="B20" s="279" t="s">
        <v>99</v>
      </c>
      <c r="C20" s="280">
        <v>50</v>
      </c>
      <c r="D20" s="281"/>
      <c r="E20" s="281"/>
      <c r="F20" s="281">
        <v>50</v>
      </c>
      <c r="G20" s="281"/>
      <c r="H20" s="281"/>
      <c r="I20" s="282">
        <v>0</v>
      </c>
      <c r="J20" s="282"/>
      <c r="K20" s="282"/>
      <c r="L20" s="282">
        <v>0</v>
      </c>
      <c r="M20" s="281"/>
      <c r="N20" s="281"/>
      <c r="O20" s="281"/>
      <c r="P20" s="281"/>
    </row>
    <row r="21" spans="1:16" x14ac:dyDescent="0.2">
      <c r="A21" s="278">
        <v>14</v>
      </c>
      <c r="B21" s="279" t="s">
        <v>62</v>
      </c>
      <c r="C21" s="280">
        <v>30</v>
      </c>
      <c r="D21" s="281"/>
      <c r="E21" s="281"/>
      <c r="F21" s="281"/>
      <c r="G21" s="281">
        <v>30</v>
      </c>
      <c r="H21" s="281"/>
      <c r="I21" s="282"/>
      <c r="J21" s="282"/>
      <c r="K21" s="282"/>
      <c r="L21" s="282"/>
      <c r="M21" s="281"/>
      <c r="N21" s="281"/>
      <c r="O21" s="281"/>
      <c r="P21" s="281"/>
    </row>
    <row r="22" spans="1:16" x14ac:dyDescent="0.2">
      <c r="A22" s="284"/>
      <c r="B22" s="285" t="s">
        <v>87</v>
      </c>
      <c r="C22" s="286">
        <v>192578</v>
      </c>
      <c r="D22" s="286">
        <v>986</v>
      </c>
      <c r="E22" s="286">
        <v>90</v>
      </c>
      <c r="F22" s="286">
        <v>480</v>
      </c>
      <c r="G22" s="286">
        <v>280</v>
      </c>
      <c r="H22" s="286">
        <v>10</v>
      </c>
      <c r="I22" s="286">
        <v>190732</v>
      </c>
      <c r="J22" s="286">
        <v>500</v>
      </c>
      <c r="K22" s="286">
        <v>2350</v>
      </c>
      <c r="L22" s="286">
        <v>187882</v>
      </c>
      <c r="M22" s="286">
        <v>7427</v>
      </c>
      <c r="N22" s="286">
        <v>154868</v>
      </c>
      <c r="O22" s="286">
        <v>22427</v>
      </c>
      <c r="P22" s="286">
        <v>3160</v>
      </c>
    </row>
    <row r="23" spans="1:16" x14ac:dyDescent="0.2">
      <c r="A23" s="278"/>
      <c r="B23" s="279" t="s">
        <v>472</v>
      </c>
      <c r="C23" s="280">
        <v>17404</v>
      </c>
      <c r="D23" s="282"/>
      <c r="E23" s="282"/>
      <c r="F23" s="282"/>
      <c r="G23" s="282"/>
      <c r="H23" s="282"/>
      <c r="I23" s="282">
        <v>17404</v>
      </c>
      <c r="J23" s="282"/>
      <c r="K23" s="282"/>
      <c r="L23" s="282">
        <v>17404</v>
      </c>
      <c r="M23" s="281"/>
      <c r="N23" s="281">
        <v>17404</v>
      </c>
      <c r="O23" s="281"/>
      <c r="P23" s="281"/>
    </row>
    <row r="24" spans="1:16" ht="25.5" x14ac:dyDescent="0.2">
      <c r="A24" s="278"/>
      <c r="B24" s="287" t="s">
        <v>473</v>
      </c>
      <c r="C24" s="280">
        <v>209982</v>
      </c>
      <c r="D24" s="280">
        <v>986</v>
      </c>
      <c r="E24" s="280">
        <v>90</v>
      </c>
      <c r="F24" s="280">
        <v>480</v>
      </c>
      <c r="G24" s="280">
        <v>280</v>
      </c>
      <c r="H24" s="280">
        <v>10</v>
      </c>
      <c r="I24" s="280">
        <v>208136</v>
      </c>
      <c r="J24" s="280">
        <v>500</v>
      </c>
      <c r="K24" s="280">
        <v>2350</v>
      </c>
      <c r="L24" s="280">
        <v>205286</v>
      </c>
      <c r="M24" s="280">
        <v>7427</v>
      </c>
      <c r="N24" s="280">
        <v>172272</v>
      </c>
      <c r="O24" s="280">
        <v>22427</v>
      </c>
      <c r="P24" s="280">
        <v>3160</v>
      </c>
    </row>
    <row r="25" spans="1:16" x14ac:dyDescent="0.2">
      <c r="B25" s="288"/>
    </row>
  </sheetData>
  <mergeCells count="21">
    <mergeCell ref="K6:K7"/>
    <mergeCell ref="L6:L7"/>
    <mergeCell ref="M6:M7"/>
    <mergeCell ref="N6:N7"/>
    <mergeCell ref="O6:O7"/>
    <mergeCell ref="A3:A7"/>
    <mergeCell ref="B3:B7"/>
    <mergeCell ref="D3:H3"/>
    <mergeCell ref="I3:P3"/>
    <mergeCell ref="C4:C7"/>
    <mergeCell ref="D4:D5"/>
    <mergeCell ref="E4:H5"/>
    <mergeCell ref="I4:I7"/>
    <mergeCell ref="J4:K4"/>
    <mergeCell ref="L4:P5"/>
    <mergeCell ref="P6:P7"/>
    <mergeCell ref="D6:D7"/>
    <mergeCell ref="E6:E7"/>
    <mergeCell ref="F6:F7"/>
    <mergeCell ref="G6:H6"/>
    <mergeCell ref="J6:J7"/>
  </mergeCells>
  <pageMargins left="0" right="0" top="0" bottom="0" header="0.31496062992125984" footer="0.31496062992125984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workbookViewId="0">
      <pane xSplit="2" ySplit="7" topLeftCell="C164" activePane="bottomRight" state="frozen"/>
      <selection pane="topRight" activeCell="C1" sqref="C1"/>
      <selection pane="bottomLeft" activeCell="A9" sqref="A9"/>
      <selection pane="bottomRight" activeCell="C177" sqref="C177"/>
    </sheetView>
  </sheetViews>
  <sheetFormatPr defaultRowHeight="15" x14ac:dyDescent="0.25"/>
  <cols>
    <col min="1" max="1" width="9.140625" style="116"/>
    <col min="2" max="2" width="44.5703125" style="116" customWidth="1"/>
    <col min="3" max="3" width="10.5703125" style="116" customWidth="1"/>
    <col min="4" max="5" width="9.42578125" style="116" customWidth="1"/>
    <col min="6" max="11" width="10.42578125" style="116" customWidth="1"/>
    <col min="12" max="16384" width="9.140625" style="116"/>
  </cols>
  <sheetData>
    <row r="1" spans="1:11" x14ac:dyDescent="0.25">
      <c r="A1" s="399" t="s">
        <v>155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x14ac:dyDescent="0.25">
      <c r="A3" s="148"/>
      <c r="B3" s="148"/>
      <c r="C3" s="148"/>
      <c r="D3" s="149"/>
      <c r="E3" s="149"/>
      <c r="F3" s="149"/>
      <c r="G3" s="149"/>
      <c r="H3" s="149"/>
      <c r="I3" s="149"/>
      <c r="J3" s="149"/>
      <c r="K3" s="149"/>
    </row>
    <row r="4" spans="1:11" ht="15" customHeight="1" x14ac:dyDescent="0.25">
      <c r="A4" s="400" t="s">
        <v>0</v>
      </c>
      <c r="B4" s="400" t="s">
        <v>149</v>
      </c>
      <c r="C4" s="400" t="s">
        <v>156</v>
      </c>
      <c r="D4" s="401" t="s">
        <v>157</v>
      </c>
      <c r="E4" s="401"/>
      <c r="F4" s="401"/>
      <c r="G4" s="401"/>
      <c r="H4" s="401"/>
      <c r="I4" s="401"/>
      <c r="J4" s="401"/>
      <c r="K4" s="401"/>
    </row>
    <row r="5" spans="1:11" ht="48" customHeight="1" x14ac:dyDescent="0.25">
      <c r="A5" s="400"/>
      <c r="B5" s="400"/>
      <c r="C5" s="400"/>
      <c r="D5" s="402" t="s">
        <v>158</v>
      </c>
      <c r="E5" s="402" t="s">
        <v>159</v>
      </c>
      <c r="F5" s="402" t="s">
        <v>160</v>
      </c>
      <c r="G5" s="402" t="s">
        <v>161</v>
      </c>
      <c r="H5" s="402" t="s">
        <v>162</v>
      </c>
      <c r="I5" s="402" t="s">
        <v>163</v>
      </c>
      <c r="J5" s="402"/>
      <c r="K5" s="402"/>
    </row>
    <row r="6" spans="1:11" ht="15.75" customHeight="1" x14ac:dyDescent="0.25">
      <c r="A6" s="400"/>
      <c r="B6" s="400"/>
      <c r="C6" s="400"/>
      <c r="D6" s="402"/>
      <c r="E6" s="402"/>
      <c r="F6" s="402"/>
      <c r="G6" s="402"/>
      <c r="H6" s="402"/>
      <c r="I6" s="402" t="s">
        <v>88</v>
      </c>
      <c r="J6" s="402" t="s">
        <v>98</v>
      </c>
      <c r="K6" s="402"/>
    </row>
    <row r="7" spans="1:11" ht="54.75" customHeight="1" x14ac:dyDescent="0.25">
      <c r="A7" s="400"/>
      <c r="B7" s="400"/>
      <c r="C7" s="400"/>
      <c r="D7" s="402"/>
      <c r="E7" s="402"/>
      <c r="F7" s="402"/>
      <c r="G7" s="402"/>
      <c r="H7" s="402"/>
      <c r="I7" s="402"/>
      <c r="J7" s="150" t="s">
        <v>164</v>
      </c>
      <c r="K7" s="150" t="s">
        <v>165</v>
      </c>
    </row>
    <row r="8" spans="1:11" x14ac:dyDescent="0.25">
      <c r="A8" s="151">
        <v>1</v>
      </c>
      <c r="B8" s="152" t="s">
        <v>13</v>
      </c>
      <c r="C8" s="153">
        <f>D8+E8+F8+G8+H8+I8</f>
        <v>99027</v>
      </c>
      <c r="D8" s="153">
        <v>3875</v>
      </c>
      <c r="E8" s="153"/>
      <c r="F8" s="153"/>
      <c r="G8" s="153"/>
      <c r="H8" s="153"/>
      <c r="I8" s="150">
        <v>95152</v>
      </c>
      <c r="J8" s="150">
        <v>27082</v>
      </c>
      <c r="K8" s="150">
        <v>68070</v>
      </c>
    </row>
    <row r="9" spans="1:11" x14ac:dyDescent="0.25">
      <c r="A9" s="151">
        <v>2</v>
      </c>
      <c r="B9" s="152" t="s">
        <v>166</v>
      </c>
      <c r="C9" s="153">
        <f t="shared" ref="C9:C72" si="0">D9+E9+F9+G9+H9+I9</f>
        <v>3683</v>
      </c>
      <c r="D9" s="153"/>
      <c r="E9" s="153"/>
      <c r="F9" s="153">
        <v>3683</v>
      </c>
      <c r="G9" s="153"/>
      <c r="H9" s="153"/>
      <c r="I9" s="150">
        <v>0</v>
      </c>
      <c r="J9" s="150">
        <v>0</v>
      </c>
      <c r="K9" s="150">
        <v>0</v>
      </c>
    </row>
    <row r="10" spans="1:11" x14ac:dyDescent="0.25">
      <c r="A10" s="151">
        <v>3</v>
      </c>
      <c r="B10" s="154" t="s">
        <v>22</v>
      </c>
      <c r="C10" s="153">
        <f t="shared" si="0"/>
        <v>95435</v>
      </c>
      <c r="D10" s="153"/>
      <c r="E10" s="153"/>
      <c r="F10" s="153"/>
      <c r="G10" s="153"/>
      <c r="H10" s="153"/>
      <c r="I10" s="150">
        <v>95435</v>
      </c>
      <c r="J10" s="150">
        <v>24365</v>
      </c>
      <c r="K10" s="150">
        <v>71070</v>
      </c>
    </row>
    <row r="11" spans="1:11" x14ac:dyDescent="0.25">
      <c r="A11" s="151">
        <v>4</v>
      </c>
      <c r="B11" s="154" t="s">
        <v>167</v>
      </c>
      <c r="C11" s="153">
        <f t="shared" si="0"/>
        <v>2227</v>
      </c>
      <c r="D11" s="153"/>
      <c r="E11" s="153"/>
      <c r="F11" s="153">
        <v>2227</v>
      </c>
      <c r="G11" s="153"/>
      <c r="H11" s="153"/>
      <c r="I11" s="150">
        <v>0</v>
      </c>
      <c r="J11" s="150">
        <v>0</v>
      </c>
      <c r="K11" s="150">
        <v>0</v>
      </c>
    </row>
    <row r="12" spans="1:11" x14ac:dyDescent="0.25">
      <c r="A12" s="403">
        <v>5</v>
      </c>
      <c r="B12" s="104" t="s">
        <v>66</v>
      </c>
      <c r="C12" s="153">
        <f t="shared" si="0"/>
        <v>238311</v>
      </c>
      <c r="D12" s="153"/>
      <c r="E12" s="153">
        <v>6481</v>
      </c>
      <c r="F12" s="153"/>
      <c r="G12" s="153"/>
      <c r="H12" s="153"/>
      <c r="I12" s="150">
        <v>231830</v>
      </c>
      <c r="J12" s="150">
        <v>60413</v>
      </c>
      <c r="K12" s="150">
        <v>171417</v>
      </c>
    </row>
    <row r="13" spans="1:11" ht="38.25" x14ac:dyDescent="0.25">
      <c r="A13" s="403"/>
      <c r="B13" s="105" t="s">
        <v>168</v>
      </c>
      <c r="C13" s="153">
        <f t="shared" si="0"/>
        <v>30732</v>
      </c>
      <c r="D13" s="155"/>
      <c r="E13" s="155"/>
      <c r="F13" s="155"/>
      <c r="G13" s="155"/>
      <c r="H13" s="155"/>
      <c r="I13" s="150">
        <v>30732</v>
      </c>
      <c r="J13" s="150">
        <v>8359</v>
      </c>
      <c r="K13" s="150">
        <v>22373</v>
      </c>
    </row>
    <row r="14" spans="1:11" x14ac:dyDescent="0.25">
      <c r="A14" s="156">
        <v>6</v>
      </c>
      <c r="B14" s="154" t="s">
        <v>51</v>
      </c>
      <c r="C14" s="153">
        <f t="shared" si="0"/>
        <v>74709</v>
      </c>
      <c r="D14" s="153"/>
      <c r="E14" s="153"/>
      <c r="F14" s="153"/>
      <c r="G14" s="153"/>
      <c r="H14" s="153"/>
      <c r="I14" s="150">
        <v>74709</v>
      </c>
      <c r="J14" s="150">
        <v>23085</v>
      </c>
      <c r="K14" s="150">
        <v>51624</v>
      </c>
    </row>
    <row r="15" spans="1:11" x14ac:dyDescent="0.25">
      <c r="A15" s="151">
        <v>7</v>
      </c>
      <c r="B15" s="154" t="s">
        <v>4</v>
      </c>
      <c r="C15" s="153">
        <f t="shared" si="0"/>
        <v>32964</v>
      </c>
      <c r="D15" s="153"/>
      <c r="E15" s="153"/>
      <c r="F15" s="153"/>
      <c r="G15" s="153"/>
      <c r="H15" s="153"/>
      <c r="I15" s="150">
        <v>32964</v>
      </c>
      <c r="J15" s="150">
        <v>5823</v>
      </c>
      <c r="K15" s="150">
        <v>27141</v>
      </c>
    </row>
    <row r="16" spans="1:11" x14ac:dyDescent="0.25">
      <c r="A16" s="151">
        <v>8</v>
      </c>
      <c r="B16" s="154" t="s">
        <v>8</v>
      </c>
      <c r="C16" s="153">
        <f t="shared" si="0"/>
        <v>33033</v>
      </c>
      <c r="D16" s="153"/>
      <c r="E16" s="153"/>
      <c r="F16" s="153"/>
      <c r="G16" s="153"/>
      <c r="H16" s="153"/>
      <c r="I16" s="150">
        <v>33033</v>
      </c>
      <c r="J16" s="150">
        <v>6697</v>
      </c>
      <c r="K16" s="150">
        <v>26336</v>
      </c>
    </row>
    <row r="17" spans="1:11" x14ac:dyDescent="0.25">
      <c r="A17" s="151">
        <v>9</v>
      </c>
      <c r="B17" s="154" t="s">
        <v>17</v>
      </c>
      <c r="C17" s="153">
        <f t="shared" si="0"/>
        <v>36711</v>
      </c>
      <c r="D17" s="153"/>
      <c r="E17" s="153"/>
      <c r="F17" s="153"/>
      <c r="G17" s="153"/>
      <c r="H17" s="153"/>
      <c r="I17" s="150">
        <v>36711</v>
      </c>
      <c r="J17" s="150">
        <v>7573</v>
      </c>
      <c r="K17" s="150">
        <v>29138</v>
      </c>
    </row>
    <row r="18" spans="1:11" x14ac:dyDescent="0.25">
      <c r="A18" s="151">
        <v>10</v>
      </c>
      <c r="B18" s="154" t="s">
        <v>44</v>
      </c>
      <c r="C18" s="153">
        <f t="shared" si="0"/>
        <v>39393</v>
      </c>
      <c r="D18" s="153"/>
      <c r="E18" s="153"/>
      <c r="F18" s="153"/>
      <c r="G18" s="153"/>
      <c r="H18" s="153"/>
      <c r="I18" s="150">
        <v>39393</v>
      </c>
      <c r="J18" s="150">
        <v>8675</v>
      </c>
      <c r="K18" s="150">
        <v>30718</v>
      </c>
    </row>
    <row r="19" spans="1:11" x14ac:dyDescent="0.25">
      <c r="A19" s="151">
        <v>11</v>
      </c>
      <c r="B19" s="104" t="s">
        <v>29</v>
      </c>
      <c r="C19" s="153">
        <f t="shared" si="0"/>
        <v>41195</v>
      </c>
      <c r="D19" s="153"/>
      <c r="E19" s="153"/>
      <c r="F19" s="153"/>
      <c r="G19" s="153"/>
      <c r="H19" s="153"/>
      <c r="I19" s="150">
        <v>41195</v>
      </c>
      <c r="J19" s="150">
        <v>13523</v>
      </c>
      <c r="K19" s="150">
        <v>27672</v>
      </c>
    </row>
    <row r="20" spans="1:11" x14ac:dyDescent="0.25">
      <c r="A20" s="151">
        <v>12</v>
      </c>
      <c r="B20" s="154" t="s">
        <v>30</v>
      </c>
      <c r="C20" s="153">
        <f t="shared" si="0"/>
        <v>37749</v>
      </c>
      <c r="D20" s="153"/>
      <c r="E20" s="153"/>
      <c r="F20" s="153"/>
      <c r="G20" s="153"/>
      <c r="H20" s="153"/>
      <c r="I20" s="150">
        <v>37749</v>
      </c>
      <c r="J20" s="150">
        <v>8175</v>
      </c>
      <c r="K20" s="150">
        <v>29574</v>
      </c>
    </row>
    <row r="21" spans="1:11" x14ac:dyDescent="0.25">
      <c r="A21" s="151">
        <v>13</v>
      </c>
      <c r="B21" s="104" t="s">
        <v>33</v>
      </c>
      <c r="C21" s="153">
        <f t="shared" si="0"/>
        <v>45457</v>
      </c>
      <c r="D21" s="153"/>
      <c r="E21" s="153"/>
      <c r="F21" s="153"/>
      <c r="G21" s="153"/>
      <c r="H21" s="153"/>
      <c r="I21" s="150">
        <v>45457</v>
      </c>
      <c r="J21" s="150">
        <v>9943</v>
      </c>
      <c r="K21" s="150">
        <v>35514</v>
      </c>
    </row>
    <row r="22" spans="1:11" x14ac:dyDescent="0.25">
      <c r="A22" s="151">
        <v>14</v>
      </c>
      <c r="B22" s="154" t="s">
        <v>39</v>
      </c>
      <c r="C22" s="153">
        <f t="shared" si="0"/>
        <v>37464</v>
      </c>
      <c r="D22" s="153"/>
      <c r="E22" s="153"/>
      <c r="F22" s="153"/>
      <c r="G22" s="153"/>
      <c r="H22" s="153"/>
      <c r="I22" s="150">
        <v>37464</v>
      </c>
      <c r="J22" s="150">
        <v>8242</v>
      </c>
      <c r="K22" s="150">
        <v>29222</v>
      </c>
    </row>
    <row r="23" spans="1:11" x14ac:dyDescent="0.25">
      <c r="A23" s="151">
        <v>15</v>
      </c>
      <c r="B23" s="154" t="s">
        <v>169</v>
      </c>
      <c r="C23" s="153">
        <f t="shared" si="0"/>
        <v>117</v>
      </c>
      <c r="D23" s="153"/>
      <c r="E23" s="153"/>
      <c r="F23" s="153">
        <v>117</v>
      </c>
      <c r="G23" s="153"/>
      <c r="H23" s="153"/>
      <c r="I23" s="150">
        <v>0</v>
      </c>
      <c r="J23" s="150">
        <v>0</v>
      </c>
      <c r="K23" s="150">
        <v>0</v>
      </c>
    </row>
    <row r="24" spans="1:11" x14ac:dyDescent="0.25">
      <c r="A24" s="151">
        <v>16</v>
      </c>
      <c r="B24" s="154" t="s">
        <v>170</v>
      </c>
      <c r="C24" s="153">
        <f t="shared" si="0"/>
        <v>116</v>
      </c>
      <c r="D24" s="153"/>
      <c r="E24" s="153"/>
      <c r="F24" s="153">
        <v>116</v>
      </c>
      <c r="G24" s="153"/>
      <c r="H24" s="153"/>
      <c r="I24" s="150">
        <v>0</v>
      </c>
      <c r="J24" s="150">
        <v>0</v>
      </c>
      <c r="K24" s="150">
        <v>0</v>
      </c>
    </row>
    <row r="25" spans="1:11" x14ac:dyDescent="0.25">
      <c r="A25" s="151">
        <v>17</v>
      </c>
      <c r="B25" s="154" t="s">
        <v>171</v>
      </c>
      <c r="C25" s="153">
        <f t="shared" si="0"/>
        <v>116</v>
      </c>
      <c r="D25" s="153"/>
      <c r="E25" s="153"/>
      <c r="F25" s="153">
        <v>116</v>
      </c>
      <c r="G25" s="153"/>
      <c r="H25" s="153"/>
      <c r="I25" s="150">
        <v>0</v>
      </c>
      <c r="J25" s="150">
        <v>0</v>
      </c>
      <c r="K25" s="150">
        <v>0</v>
      </c>
    </row>
    <row r="26" spans="1:11" x14ac:dyDescent="0.25">
      <c r="A26" s="151">
        <v>18</v>
      </c>
      <c r="B26" s="104" t="s">
        <v>172</v>
      </c>
      <c r="C26" s="153">
        <f t="shared" si="0"/>
        <v>116</v>
      </c>
      <c r="D26" s="153"/>
      <c r="E26" s="153"/>
      <c r="F26" s="153">
        <v>116</v>
      </c>
      <c r="G26" s="153"/>
      <c r="H26" s="153"/>
      <c r="I26" s="150">
        <v>0</v>
      </c>
      <c r="J26" s="150">
        <v>0</v>
      </c>
      <c r="K26" s="150">
        <v>0</v>
      </c>
    </row>
    <row r="27" spans="1:11" x14ac:dyDescent="0.25">
      <c r="A27" s="151">
        <v>19</v>
      </c>
      <c r="B27" s="104" t="s">
        <v>173</v>
      </c>
      <c r="C27" s="153">
        <f t="shared" si="0"/>
        <v>116</v>
      </c>
      <c r="D27" s="153"/>
      <c r="E27" s="153"/>
      <c r="F27" s="153">
        <v>116</v>
      </c>
      <c r="G27" s="153"/>
      <c r="H27" s="153"/>
      <c r="I27" s="150">
        <v>0</v>
      </c>
      <c r="J27" s="150">
        <v>0</v>
      </c>
      <c r="K27" s="150">
        <v>0</v>
      </c>
    </row>
    <row r="28" spans="1:11" x14ac:dyDescent="0.25">
      <c r="A28" s="151">
        <v>20</v>
      </c>
      <c r="B28" s="154" t="s">
        <v>174</v>
      </c>
      <c r="C28" s="153">
        <f t="shared" si="0"/>
        <v>99</v>
      </c>
      <c r="D28" s="153"/>
      <c r="E28" s="153"/>
      <c r="F28" s="153">
        <v>99</v>
      </c>
      <c r="G28" s="153"/>
      <c r="H28" s="153"/>
      <c r="I28" s="150">
        <v>0</v>
      </c>
      <c r="J28" s="150">
        <v>0</v>
      </c>
      <c r="K28" s="150">
        <v>0</v>
      </c>
    </row>
    <row r="29" spans="1:11" x14ac:dyDescent="0.25">
      <c r="A29" s="151">
        <v>21</v>
      </c>
      <c r="B29" s="154" t="s">
        <v>175</v>
      </c>
      <c r="C29" s="153">
        <f t="shared" si="0"/>
        <v>117</v>
      </c>
      <c r="D29" s="153"/>
      <c r="E29" s="153"/>
      <c r="F29" s="153">
        <v>117</v>
      </c>
      <c r="G29" s="153"/>
      <c r="H29" s="153"/>
      <c r="I29" s="150">
        <v>0</v>
      </c>
      <c r="J29" s="150">
        <v>0</v>
      </c>
      <c r="K29" s="150">
        <v>0</v>
      </c>
    </row>
    <row r="30" spans="1:11" x14ac:dyDescent="0.25">
      <c r="A30" s="151">
        <v>22</v>
      </c>
      <c r="B30" s="104" t="s">
        <v>176</v>
      </c>
      <c r="C30" s="153">
        <f t="shared" si="0"/>
        <v>116</v>
      </c>
      <c r="D30" s="153"/>
      <c r="E30" s="153"/>
      <c r="F30" s="153">
        <v>116</v>
      </c>
      <c r="G30" s="153"/>
      <c r="H30" s="153"/>
      <c r="I30" s="150">
        <v>0</v>
      </c>
      <c r="J30" s="150">
        <v>0</v>
      </c>
      <c r="K30" s="150">
        <v>0</v>
      </c>
    </row>
    <row r="31" spans="1:11" x14ac:dyDescent="0.25">
      <c r="A31" s="151">
        <v>23</v>
      </c>
      <c r="B31" s="154" t="s">
        <v>177</v>
      </c>
      <c r="C31" s="153">
        <f t="shared" si="0"/>
        <v>102</v>
      </c>
      <c r="D31" s="153"/>
      <c r="E31" s="153"/>
      <c r="F31" s="153">
        <v>102</v>
      </c>
      <c r="G31" s="153"/>
      <c r="H31" s="153"/>
      <c r="I31" s="150">
        <v>0</v>
      </c>
      <c r="J31" s="150">
        <v>0</v>
      </c>
      <c r="K31" s="150">
        <v>0</v>
      </c>
    </row>
    <row r="32" spans="1:11" x14ac:dyDescent="0.25">
      <c r="A32" s="151">
        <v>24</v>
      </c>
      <c r="B32" s="154" t="s">
        <v>52</v>
      </c>
      <c r="C32" s="153">
        <f t="shared" si="0"/>
        <v>104272</v>
      </c>
      <c r="D32" s="153">
        <v>3617</v>
      </c>
      <c r="E32" s="153"/>
      <c r="F32" s="153"/>
      <c r="G32" s="153"/>
      <c r="H32" s="153"/>
      <c r="I32" s="150">
        <v>100655</v>
      </c>
      <c r="J32" s="150">
        <v>29582</v>
      </c>
      <c r="K32" s="150">
        <v>71073</v>
      </c>
    </row>
    <row r="33" spans="1:11" x14ac:dyDescent="0.25">
      <c r="A33" s="151">
        <v>25</v>
      </c>
      <c r="B33" s="106" t="s">
        <v>178</v>
      </c>
      <c r="C33" s="153">
        <f t="shared" si="0"/>
        <v>4152</v>
      </c>
      <c r="D33" s="153"/>
      <c r="E33" s="153"/>
      <c r="F33" s="153">
        <v>4152</v>
      </c>
      <c r="G33" s="153"/>
      <c r="H33" s="153"/>
      <c r="I33" s="150">
        <v>0</v>
      </c>
      <c r="J33" s="150">
        <v>0</v>
      </c>
      <c r="K33" s="150">
        <v>0</v>
      </c>
    </row>
    <row r="34" spans="1:11" x14ac:dyDescent="0.25">
      <c r="A34" s="151">
        <v>26</v>
      </c>
      <c r="B34" s="154" t="s">
        <v>6</v>
      </c>
      <c r="C34" s="153">
        <f t="shared" si="0"/>
        <v>93025</v>
      </c>
      <c r="D34" s="153"/>
      <c r="E34" s="153"/>
      <c r="F34" s="153"/>
      <c r="G34" s="153"/>
      <c r="H34" s="153"/>
      <c r="I34" s="150">
        <v>93025</v>
      </c>
      <c r="J34" s="150">
        <v>25697</v>
      </c>
      <c r="K34" s="150">
        <v>67328</v>
      </c>
    </row>
    <row r="35" spans="1:11" x14ac:dyDescent="0.25">
      <c r="A35" s="151">
        <v>27</v>
      </c>
      <c r="B35" s="154" t="s">
        <v>11</v>
      </c>
      <c r="C35" s="153">
        <f t="shared" si="0"/>
        <v>176859</v>
      </c>
      <c r="D35" s="153"/>
      <c r="E35" s="153">
        <v>5599</v>
      </c>
      <c r="F35" s="153"/>
      <c r="G35" s="153"/>
      <c r="H35" s="153"/>
      <c r="I35" s="150">
        <v>171260</v>
      </c>
      <c r="J35" s="150">
        <v>46688</v>
      </c>
      <c r="K35" s="150">
        <v>124572</v>
      </c>
    </row>
    <row r="36" spans="1:11" x14ac:dyDescent="0.25">
      <c r="A36" s="151">
        <v>28</v>
      </c>
      <c r="B36" s="154" t="s">
        <v>95</v>
      </c>
      <c r="C36" s="153">
        <f t="shared" si="0"/>
        <v>120378</v>
      </c>
      <c r="D36" s="153"/>
      <c r="E36" s="153"/>
      <c r="F36" s="153"/>
      <c r="G36" s="153"/>
      <c r="H36" s="153"/>
      <c r="I36" s="150">
        <v>120378</v>
      </c>
      <c r="J36" s="150">
        <v>37535</v>
      </c>
      <c r="K36" s="150">
        <v>82843</v>
      </c>
    </row>
    <row r="37" spans="1:11" x14ac:dyDescent="0.25">
      <c r="A37" s="151">
        <v>29</v>
      </c>
      <c r="B37" s="154" t="s">
        <v>179</v>
      </c>
      <c r="C37" s="153">
        <f t="shared" si="0"/>
        <v>23989</v>
      </c>
      <c r="D37" s="153"/>
      <c r="E37" s="153"/>
      <c r="F37" s="153"/>
      <c r="G37" s="153"/>
      <c r="H37" s="153"/>
      <c r="I37" s="150">
        <v>23989</v>
      </c>
      <c r="J37" s="150">
        <v>7609</v>
      </c>
      <c r="K37" s="150">
        <v>16380</v>
      </c>
    </row>
    <row r="38" spans="1:11" x14ac:dyDescent="0.25">
      <c r="A38" s="151">
        <v>30</v>
      </c>
      <c r="B38" s="154" t="s">
        <v>47</v>
      </c>
      <c r="C38" s="153">
        <f t="shared" si="0"/>
        <v>49971</v>
      </c>
      <c r="D38" s="153"/>
      <c r="E38" s="153"/>
      <c r="F38" s="153"/>
      <c r="G38" s="153"/>
      <c r="H38" s="153"/>
      <c r="I38" s="150">
        <v>49971</v>
      </c>
      <c r="J38" s="150">
        <v>10056</v>
      </c>
      <c r="K38" s="150">
        <v>39915</v>
      </c>
    </row>
    <row r="39" spans="1:11" x14ac:dyDescent="0.25">
      <c r="A39" s="151">
        <v>31</v>
      </c>
      <c r="B39" s="154" t="s">
        <v>1</v>
      </c>
      <c r="C39" s="153">
        <f t="shared" si="0"/>
        <v>68814</v>
      </c>
      <c r="D39" s="153"/>
      <c r="E39" s="153"/>
      <c r="F39" s="153"/>
      <c r="G39" s="153"/>
      <c r="H39" s="153"/>
      <c r="I39" s="150">
        <v>68814</v>
      </c>
      <c r="J39" s="150">
        <v>8427</v>
      </c>
      <c r="K39" s="150">
        <v>60387</v>
      </c>
    </row>
    <row r="40" spans="1:11" x14ac:dyDescent="0.25">
      <c r="A40" s="151">
        <v>32</v>
      </c>
      <c r="B40" s="154" t="s">
        <v>18</v>
      </c>
      <c r="C40" s="153">
        <f t="shared" si="0"/>
        <v>28532</v>
      </c>
      <c r="D40" s="153"/>
      <c r="E40" s="153"/>
      <c r="F40" s="153"/>
      <c r="G40" s="153"/>
      <c r="H40" s="153"/>
      <c r="I40" s="150">
        <v>28532</v>
      </c>
      <c r="J40" s="150">
        <v>9038</v>
      </c>
      <c r="K40" s="150">
        <v>19494</v>
      </c>
    </row>
    <row r="41" spans="1:11" x14ac:dyDescent="0.25">
      <c r="A41" s="151">
        <v>33</v>
      </c>
      <c r="B41" s="154" t="s">
        <v>25</v>
      </c>
      <c r="C41" s="153">
        <f t="shared" si="0"/>
        <v>23611</v>
      </c>
      <c r="D41" s="153"/>
      <c r="E41" s="153"/>
      <c r="F41" s="153"/>
      <c r="G41" s="153"/>
      <c r="H41" s="153"/>
      <c r="I41" s="150">
        <v>23611</v>
      </c>
      <c r="J41" s="150">
        <v>3424</v>
      </c>
      <c r="K41" s="150">
        <v>20187</v>
      </c>
    </row>
    <row r="42" spans="1:11" x14ac:dyDescent="0.25">
      <c r="A42" s="396">
        <v>34</v>
      </c>
      <c r="B42" s="154" t="s">
        <v>91</v>
      </c>
      <c r="C42" s="153">
        <f t="shared" si="0"/>
        <v>93778</v>
      </c>
      <c r="D42" s="153"/>
      <c r="E42" s="153">
        <v>12046</v>
      </c>
      <c r="F42" s="153"/>
      <c r="G42" s="153"/>
      <c r="H42" s="153"/>
      <c r="I42" s="150">
        <v>81732</v>
      </c>
      <c r="J42" s="150">
        <v>6268</v>
      </c>
      <c r="K42" s="150">
        <v>75464</v>
      </c>
    </row>
    <row r="43" spans="1:11" ht="38.25" x14ac:dyDescent="0.25">
      <c r="A43" s="398"/>
      <c r="B43" s="154" t="s">
        <v>180</v>
      </c>
      <c r="C43" s="153">
        <f t="shared" si="0"/>
        <v>73986</v>
      </c>
      <c r="D43" s="153"/>
      <c r="E43" s="153"/>
      <c r="F43" s="153"/>
      <c r="G43" s="153"/>
      <c r="H43" s="153"/>
      <c r="I43" s="150">
        <v>73986</v>
      </c>
      <c r="J43" s="150">
        <v>25499</v>
      </c>
      <c r="K43" s="150">
        <v>48487</v>
      </c>
    </row>
    <row r="44" spans="1:11" ht="25.5" x14ac:dyDescent="0.25">
      <c r="A44" s="151">
        <v>35</v>
      </c>
      <c r="B44" s="154" t="s">
        <v>181</v>
      </c>
      <c r="C44" s="153">
        <f t="shared" si="0"/>
        <v>13509</v>
      </c>
      <c r="D44" s="153"/>
      <c r="E44" s="153"/>
      <c r="F44" s="153"/>
      <c r="G44" s="153"/>
      <c r="H44" s="153"/>
      <c r="I44" s="150">
        <v>13509</v>
      </c>
      <c r="J44" s="150">
        <v>3812</v>
      </c>
      <c r="K44" s="150">
        <v>9697</v>
      </c>
    </row>
    <row r="45" spans="1:11" x14ac:dyDescent="0.25">
      <c r="A45" s="151">
        <v>36</v>
      </c>
      <c r="B45" s="154" t="s">
        <v>182</v>
      </c>
      <c r="C45" s="153">
        <f t="shared" si="0"/>
        <v>128722</v>
      </c>
      <c r="D45" s="153"/>
      <c r="E45" s="153"/>
      <c r="F45" s="153"/>
      <c r="G45" s="153"/>
      <c r="H45" s="153"/>
      <c r="I45" s="150">
        <v>128722</v>
      </c>
      <c r="J45" s="150">
        <v>35753</v>
      </c>
      <c r="K45" s="150">
        <v>92969</v>
      </c>
    </row>
    <row r="46" spans="1:11" x14ac:dyDescent="0.25">
      <c r="A46" s="396">
        <v>37</v>
      </c>
      <c r="B46" s="154" t="s">
        <v>67</v>
      </c>
      <c r="C46" s="153">
        <f t="shared" si="0"/>
        <v>11302</v>
      </c>
      <c r="D46" s="153"/>
      <c r="E46" s="153"/>
      <c r="F46" s="153"/>
      <c r="G46" s="153"/>
      <c r="H46" s="153"/>
      <c r="I46" s="150">
        <v>11302</v>
      </c>
      <c r="J46" s="150">
        <v>2328</v>
      </c>
      <c r="K46" s="150">
        <v>8974</v>
      </c>
    </row>
    <row r="47" spans="1:11" ht="38.25" x14ac:dyDescent="0.25">
      <c r="A47" s="397"/>
      <c r="B47" s="105" t="s">
        <v>183</v>
      </c>
      <c r="C47" s="153">
        <f t="shared" si="0"/>
        <v>19789</v>
      </c>
      <c r="D47" s="155"/>
      <c r="E47" s="155"/>
      <c r="F47" s="155"/>
      <c r="G47" s="155"/>
      <c r="H47" s="155"/>
      <c r="I47" s="150">
        <v>19789</v>
      </c>
      <c r="J47" s="150">
        <v>4174</v>
      </c>
      <c r="K47" s="150">
        <v>15615</v>
      </c>
    </row>
    <row r="48" spans="1:11" ht="76.5" x14ac:dyDescent="0.25">
      <c r="A48" s="398"/>
      <c r="B48" s="105" t="s">
        <v>184</v>
      </c>
      <c r="C48" s="153">
        <f t="shared" si="0"/>
        <v>59375</v>
      </c>
      <c r="D48" s="155"/>
      <c r="E48" s="155"/>
      <c r="F48" s="155"/>
      <c r="G48" s="155"/>
      <c r="H48" s="155"/>
      <c r="I48" s="150">
        <v>59375</v>
      </c>
      <c r="J48" s="150">
        <v>12530</v>
      </c>
      <c r="K48" s="150">
        <v>46845</v>
      </c>
    </row>
    <row r="49" spans="1:11" x14ac:dyDescent="0.25">
      <c r="A49" s="151">
        <v>38</v>
      </c>
      <c r="B49" s="154" t="s">
        <v>68</v>
      </c>
      <c r="C49" s="153">
        <f t="shared" si="0"/>
        <v>76880</v>
      </c>
      <c r="D49" s="153"/>
      <c r="E49" s="153"/>
      <c r="F49" s="153"/>
      <c r="G49" s="153"/>
      <c r="H49" s="153"/>
      <c r="I49" s="150">
        <v>76880</v>
      </c>
      <c r="J49" s="150">
        <v>6084</v>
      </c>
      <c r="K49" s="150">
        <v>70796</v>
      </c>
    </row>
    <row r="50" spans="1:11" ht="25.5" x14ac:dyDescent="0.25">
      <c r="A50" s="151">
        <v>39</v>
      </c>
      <c r="B50" s="154" t="s">
        <v>185</v>
      </c>
      <c r="C50" s="153">
        <f t="shared" si="0"/>
        <v>63474</v>
      </c>
      <c r="D50" s="153"/>
      <c r="E50" s="153"/>
      <c r="F50" s="153">
        <v>63474</v>
      </c>
      <c r="G50" s="153"/>
      <c r="H50" s="153"/>
      <c r="I50" s="150">
        <v>0</v>
      </c>
      <c r="J50" s="150">
        <v>0</v>
      </c>
      <c r="K50" s="150">
        <v>0</v>
      </c>
    </row>
    <row r="51" spans="1:11" x14ac:dyDescent="0.25">
      <c r="A51" s="151">
        <v>40</v>
      </c>
      <c r="B51" s="154" t="s">
        <v>94</v>
      </c>
      <c r="C51" s="153">
        <f t="shared" si="0"/>
        <v>10558</v>
      </c>
      <c r="D51" s="153"/>
      <c r="E51" s="153"/>
      <c r="F51" s="153">
        <v>10558</v>
      </c>
      <c r="G51" s="153"/>
      <c r="H51" s="153"/>
      <c r="I51" s="150">
        <v>0</v>
      </c>
      <c r="J51" s="150">
        <v>0</v>
      </c>
      <c r="K51" s="150">
        <v>0</v>
      </c>
    </row>
    <row r="52" spans="1:11" x14ac:dyDescent="0.25">
      <c r="A52" s="396">
        <v>41</v>
      </c>
      <c r="B52" s="154" t="s">
        <v>53</v>
      </c>
      <c r="C52" s="153">
        <f t="shared" si="0"/>
        <v>143396</v>
      </c>
      <c r="D52" s="153">
        <v>3355</v>
      </c>
      <c r="E52" s="153"/>
      <c r="F52" s="153"/>
      <c r="G52" s="153"/>
      <c r="H52" s="153"/>
      <c r="I52" s="150">
        <f>136041+4000</f>
        <v>140041</v>
      </c>
      <c r="J52" s="150">
        <f>25491+4000</f>
        <v>29491</v>
      </c>
      <c r="K52" s="150">
        <v>110550</v>
      </c>
    </row>
    <row r="53" spans="1:11" ht="38.25" x14ac:dyDescent="0.25">
      <c r="A53" s="397"/>
      <c r="B53" s="105" t="s">
        <v>186</v>
      </c>
      <c r="C53" s="153">
        <f t="shared" si="0"/>
        <v>45204</v>
      </c>
      <c r="D53" s="155"/>
      <c r="E53" s="155"/>
      <c r="F53" s="155"/>
      <c r="G53" s="155"/>
      <c r="H53" s="155"/>
      <c r="I53" s="150">
        <v>45204</v>
      </c>
      <c r="J53" s="150">
        <v>455</v>
      </c>
      <c r="K53" s="150">
        <v>44749</v>
      </c>
    </row>
    <row r="54" spans="1:11" ht="25.5" x14ac:dyDescent="0.25">
      <c r="A54" s="398"/>
      <c r="B54" s="105" t="s">
        <v>187</v>
      </c>
      <c r="C54" s="153">
        <f t="shared" si="0"/>
        <v>15000</v>
      </c>
      <c r="D54" s="155"/>
      <c r="E54" s="155"/>
      <c r="F54" s="155">
        <f>17722-4000</f>
        <v>13722</v>
      </c>
      <c r="G54" s="155"/>
      <c r="H54" s="155"/>
      <c r="I54" s="150">
        <v>1278</v>
      </c>
      <c r="J54" s="150">
        <v>1278</v>
      </c>
      <c r="K54" s="150">
        <v>0</v>
      </c>
    </row>
    <row r="55" spans="1:11" x14ac:dyDescent="0.25">
      <c r="A55" s="151">
        <v>42</v>
      </c>
      <c r="B55" s="154" t="s">
        <v>188</v>
      </c>
      <c r="C55" s="153">
        <f t="shared" si="0"/>
        <v>6701</v>
      </c>
      <c r="D55" s="153"/>
      <c r="E55" s="153"/>
      <c r="F55" s="153">
        <v>6701</v>
      </c>
      <c r="G55" s="153"/>
      <c r="H55" s="153"/>
      <c r="I55" s="150">
        <v>0</v>
      </c>
      <c r="J55" s="150">
        <v>0</v>
      </c>
      <c r="K55" s="150">
        <v>0</v>
      </c>
    </row>
    <row r="56" spans="1:11" x14ac:dyDescent="0.25">
      <c r="A56" s="151">
        <v>43</v>
      </c>
      <c r="B56" s="154" t="s">
        <v>93</v>
      </c>
      <c r="C56" s="153">
        <f t="shared" si="0"/>
        <v>8493</v>
      </c>
      <c r="D56" s="153"/>
      <c r="E56" s="153"/>
      <c r="F56" s="153">
        <v>8493</v>
      </c>
      <c r="G56" s="153"/>
      <c r="H56" s="153"/>
      <c r="I56" s="150">
        <v>0</v>
      </c>
      <c r="J56" s="150">
        <v>0</v>
      </c>
      <c r="K56" s="150">
        <v>0</v>
      </c>
    </row>
    <row r="57" spans="1:11" x14ac:dyDescent="0.25">
      <c r="A57" s="396">
        <v>44</v>
      </c>
      <c r="B57" s="154" t="s">
        <v>36</v>
      </c>
      <c r="C57" s="153">
        <f t="shared" si="0"/>
        <v>108151</v>
      </c>
      <c r="D57" s="153"/>
      <c r="E57" s="153">
        <v>5555</v>
      </c>
      <c r="F57" s="153"/>
      <c r="G57" s="153"/>
      <c r="H57" s="153"/>
      <c r="I57" s="150">
        <v>102596</v>
      </c>
      <c r="J57" s="150">
        <v>28669</v>
      </c>
      <c r="K57" s="150">
        <v>73927</v>
      </c>
    </row>
    <row r="58" spans="1:11" ht="38.25" x14ac:dyDescent="0.25">
      <c r="A58" s="398"/>
      <c r="B58" s="105" t="s">
        <v>189</v>
      </c>
      <c r="C58" s="153">
        <f t="shared" si="0"/>
        <v>40100</v>
      </c>
      <c r="D58" s="155"/>
      <c r="E58" s="155"/>
      <c r="F58" s="155"/>
      <c r="G58" s="155"/>
      <c r="H58" s="155"/>
      <c r="I58" s="150">
        <v>40100</v>
      </c>
      <c r="J58" s="150">
        <v>13635</v>
      </c>
      <c r="K58" s="150">
        <v>26465</v>
      </c>
    </row>
    <row r="59" spans="1:11" x14ac:dyDescent="0.25">
      <c r="A59" s="151">
        <v>45</v>
      </c>
      <c r="B59" s="154" t="s">
        <v>28</v>
      </c>
      <c r="C59" s="153">
        <f t="shared" si="0"/>
        <v>141299</v>
      </c>
      <c r="D59" s="153"/>
      <c r="E59" s="153"/>
      <c r="F59" s="153"/>
      <c r="G59" s="153"/>
      <c r="H59" s="153"/>
      <c r="I59" s="150">
        <v>141299</v>
      </c>
      <c r="J59" s="150">
        <v>36245</v>
      </c>
      <c r="K59" s="150">
        <v>105054</v>
      </c>
    </row>
    <row r="60" spans="1:11" x14ac:dyDescent="0.25">
      <c r="A60" s="151">
        <v>46</v>
      </c>
      <c r="B60" s="154" t="s">
        <v>37</v>
      </c>
      <c r="C60" s="153">
        <f t="shared" si="0"/>
        <v>136601</v>
      </c>
      <c r="D60" s="153"/>
      <c r="E60" s="153"/>
      <c r="F60" s="153"/>
      <c r="G60" s="153"/>
      <c r="H60" s="153"/>
      <c r="I60" s="150">
        <v>136601</v>
      </c>
      <c r="J60" s="150">
        <v>26943</v>
      </c>
      <c r="K60" s="150">
        <v>109658</v>
      </c>
    </row>
    <row r="61" spans="1:11" x14ac:dyDescent="0.25">
      <c r="A61" s="151">
        <v>47</v>
      </c>
      <c r="B61" s="154" t="s">
        <v>24</v>
      </c>
      <c r="C61" s="153">
        <f t="shared" si="0"/>
        <v>42852</v>
      </c>
      <c r="D61" s="153"/>
      <c r="E61" s="153"/>
      <c r="F61" s="153"/>
      <c r="G61" s="153"/>
      <c r="H61" s="153"/>
      <c r="I61" s="150">
        <v>42852</v>
      </c>
      <c r="J61" s="150">
        <v>11207</v>
      </c>
      <c r="K61" s="150">
        <v>31645</v>
      </c>
    </row>
    <row r="62" spans="1:11" x14ac:dyDescent="0.25">
      <c r="A62" s="151">
        <v>48</v>
      </c>
      <c r="B62" s="154" t="s">
        <v>19</v>
      </c>
      <c r="C62" s="153">
        <f t="shared" si="0"/>
        <v>53478</v>
      </c>
      <c r="D62" s="153"/>
      <c r="E62" s="153"/>
      <c r="F62" s="153"/>
      <c r="G62" s="153"/>
      <c r="H62" s="153"/>
      <c r="I62" s="150">
        <v>53478</v>
      </c>
      <c r="J62" s="150">
        <v>17249</v>
      </c>
      <c r="K62" s="150">
        <v>36229</v>
      </c>
    </row>
    <row r="63" spans="1:11" x14ac:dyDescent="0.25">
      <c r="A63" s="151">
        <v>49</v>
      </c>
      <c r="B63" s="154" t="s">
        <v>34</v>
      </c>
      <c r="C63" s="153">
        <f t="shared" si="0"/>
        <v>49407</v>
      </c>
      <c r="D63" s="153"/>
      <c r="E63" s="153"/>
      <c r="F63" s="153"/>
      <c r="G63" s="153"/>
      <c r="H63" s="153"/>
      <c r="I63" s="150">
        <v>49407</v>
      </c>
      <c r="J63" s="150">
        <v>13665</v>
      </c>
      <c r="K63" s="150">
        <v>35742</v>
      </c>
    </row>
    <row r="64" spans="1:11" x14ac:dyDescent="0.25">
      <c r="A64" s="151">
        <v>50</v>
      </c>
      <c r="B64" s="154" t="s">
        <v>43</v>
      </c>
      <c r="C64" s="153">
        <f t="shared" si="0"/>
        <v>31735</v>
      </c>
      <c r="D64" s="153"/>
      <c r="E64" s="153"/>
      <c r="F64" s="153"/>
      <c r="G64" s="153"/>
      <c r="H64" s="153"/>
      <c r="I64" s="150">
        <v>31735</v>
      </c>
      <c r="J64" s="150">
        <v>9248</v>
      </c>
      <c r="K64" s="150">
        <v>22487</v>
      </c>
    </row>
    <row r="65" spans="1:11" x14ac:dyDescent="0.25">
      <c r="A65" s="151">
        <v>51</v>
      </c>
      <c r="B65" s="154" t="s">
        <v>5</v>
      </c>
      <c r="C65" s="153">
        <f t="shared" si="0"/>
        <v>55126</v>
      </c>
      <c r="D65" s="153"/>
      <c r="E65" s="153"/>
      <c r="F65" s="153"/>
      <c r="G65" s="153"/>
      <c r="H65" s="153"/>
      <c r="I65" s="150">
        <v>55126</v>
      </c>
      <c r="J65" s="150">
        <v>12339</v>
      </c>
      <c r="K65" s="150">
        <v>42787</v>
      </c>
    </row>
    <row r="66" spans="1:11" x14ac:dyDescent="0.25">
      <c r="A66" s="151">
        <v>52</v>
      </c>
      <c r="B66" s="154" t="s">
        <v>46</v>
      </c>
      <c r="C66" s="153">
        <f t="shared" si="0"/>
        <v>25714</v>
      </c>
      <c r="D66" s="153"/>
      <c r="E66" s="153"/>
      <c r="F66" s="153"/>
      <c r="G66" s="153"/>
      <c r="H66" s="153"/>
      <c r="I66" s="150">
        <v>25714</v>
      </c>
      <c r="J66" s="150">
        <v>6738</v>
      </c>
      <c r="K66" s="150">
        <v>18976</v>
      </c>
    </row>
    <row r="67" spans="1:11" x14ac:dyDescent="0.25">
      <c r="A67" s="151">
        <v>53</v>
      </c>
      <c r="B67" s="154" t="s">
        <v>190</v>
      </c>
      <c r="C67" s="153">
        <f t="shared" si="0"/>
        <v>11394</v>
      </c>
      <c r="D67" s="153"/>
      <c r="E67" s="153"/>
      <c r="F67" s="153"/>
      <c r="G67" s="153"/>
      <c r="H67" s="153"/>
      <c r="I67" s="150">
        <v>11394</v>
      </c>
      <c r="J67" s="150">
        <v>4605</v>
      </c>
      <c r="K67" s="150">
        <v>6789</v>
      </c>
    </row>
    <row r="68" spans="1:11" x14ac:dyDescent="0.25">
      <c r="A68" s="151">
        <v>54</v>
      </c>
      <c r="B68" s="154" t="s">
        <v>69</v>
      </c>
      <c r="C68" s="153">
        <f t="shared" si="0"/>
        <v>18451</v>
      </c>
      <c r="D68" s="153"/>
      <c r="E68" s="153"/>
      <c r="F68" s="153"/>
      <c r="G68" s="153"/>
      <c r="H68" s="153"/>
      <c r="I68" s="150">
        <v>18451</v>
      </c>
      <c r="J68" s="150">
        <v>5272</v>
      </c>
      <c r="K68" s="150">
        <v>13179</v>
      </c>
    </row>
    <row r="69" spans="1:11" x14ac:dyDescent="0.25">
      <c r="A69" s="151">
        <v>55</v>
      </c>
      <c r="B69" s="152" t="s">
        <v>45</v>
      </c>
      <c r="C69" s="153">
        <f t="shared" si="0"/>
        <v>219127</v>
      </c>
      <c r="D69" s="153"/>
      <c r="E69" s="153"/>
      <c r="F69" s="153"/>
      <c r="G69" s="153"/>
      <c r="H69" s="153"/>
      <c r="I69" s="150">
        <v>219127</v>
      </c>
      <c r="J69" s="150">
        <v>41812</v>
      </c>
      <c r="K69" s="150">
        <v>177315</v>
      </c>
    </row>
    <row r="70" spans="1:11" x14ac:dyDescent="0.25">
      <c r="A70" s="151">
        <v>56</v>
      </c>
      <c r="B70" s="154" t="s">
        <v>9</v>
      </c>
      <c r="C70" s="153">
        <f t="shared" si="0"/>
        <v>156220</v>
      </c>
      <c r="D70" s="153"/>
      <c r="E70" s="153">
        <v>2680</v>
      </c>
      <c r="F70" s="153"/>
      <c r="G70" s="153"/>
      <c r="H70" s="153"/>
      <c r="I70" s="150">
        <v>153540</v>
      </c>
      <c r="J70" s="150">
        <v>29679</v>
      </c>
      <c r="K70" s="150">
        <v>123861</v>
      </c>
    </row>
    <row r="71" spans="1:11" x14ac:dyDescent="0.25">
      <c r="A71" s="151">
        <v>57</v>
      </c>
      <c r="B71" s="152" t="s">
        <v>70</v>
      </c>
      <c r="C71" s="153">
        <f t="shared" si="0"/>
        <v>179447</v>
      </c>
      <c r="D71" s="153"/>
      <c r="E71" s="153">
        <v>6981</v>
      </c>
      <c r="F71" s="153"/>
      <c r="G71" s="153"/>
      <c r="H71" s="153"/>
      <c r="I71" s="150">
        <v>172466</v>
      </c>
      <c r="J71" s="150">
        <v>42600</v>
      </c>
      <c r="K71" s="150">
        <v>129866</v>
      </c>
    </row>
    <row r="72" spans="1:11" ht="25.5" x14ac:dyDescent="0.25">
      <c r="A72" s="151">
        <v>58</v>
      </c>
      <c r="B72" s="152" t="s">
        <v>191</v>
      </c>
      <c r="C72" s="153">
        <f t="shared" si="0"/>
        <v>6182</v>
      </c>
      <c r="D72" s="153"/>
      <c r="E72" s="153"/>
      <c r="F72" s="153">
        <v>6182</v>
      </c>
      <c r="G72" s="153"/>
      <c r="H72" s="153"/>
      <c r="I72" s="150">
        <v>0</v>
      </c>
      <c r="J72" s="150">
        <v>0</v>
      </c>
      <c r="K72" s="150">
        <v>0</v>
      </c>
    </row>
    <row r="73" spans="1:11" x14ac:dyDescent="0.25">
      <c r="A73" s="151">
        <v>59</v>
      </c>
      <c r="B73" s="154" t="s">
        <v>20</v>
      </c>
      <c r="C73" s="153">
        <f t="shared" ref="C73:C136" si="1">D73+E73+F73+G73+H73+I73</f>
        <v>62567</v>
      </c>
      <c r="D73" s="153"/>
      <c r="E73" s="153"/>
      <c r="F73" s="153"/>
      <c r="G73" s="153"/>
      <c r="H73" s="153"/>
      <c r="I73" s="150">
        <v>62567</v>
      </c>
      <c r="J73" s="150">
        <v>12636</v>
      </c>
      <c r="K73" s="150">
        <v>49931</v>
      </c>
    </row>
    <row r="74" spans="1:11" x14ac:dyDescent="0.25">
      <c r="A74" s="151">
        <v>60</v>
      </c>
      <c r="B74" s="152" t="s">
        <v>7</v>
      </c>
      <c r="C74" s="153">
        <f t="shared" si="1"/>
        <v>45225</v>
      </c>
      <c r="D74" s="153"/>
      <c r="E74" s="153"/>
      <c r="F74" s="153"/>
      <c r="G74" s="153"/>
      <c r="H74" s="153"/>
      <c r="I74" s="150">
        <v>45225</v>
      </c>
      <c r="J74" s="150">
        <v>9579</v>
      </c>
      <c r="K74" s="150">
        <v>35646</v>
      </c>
    </row>
    <row r="75" spans="1:11" x14ac:dyDescent="0.25">
      <c r="A75" s="151">
        <v>61</v>
      </c>
      <c r="B75" s="154" t="s">
        <v>12</v>
      </c>
      <c r="C75" s="153">
        <f t="shared" si="1"/>
        <v>34846</v>
      </c>
      <c r="D75" s="153"/>
      <c r="E75" s="153"/>
      <c r="F75" s="153"/>
      <c r="G75" s="153"/>
      <c r="H75" s="153"/>
      <c r="I75" s="150">
        <v>34846</v>
      </c>
      <c r="J75" s="150">
        <v>6603</v>
      </c>
      <c r="K75" s="150">
        <v>28243</v>
      </c>
    </row>
    <row r="76" spans="1:11" x14ac:dyDescent="0.25">
      <c r="A76" s="151">
        <v>62</v>
      </c>
      <c r="B76" s="152" t="s">
        <v>27</v>
      </c>
      <c r="C76" s="153">
        <f t="shared" si="1"/>
        <v>53029</v>
      </c>
      <c r="D76" s="153"/>
      <c r="E76" s="153"/>
      <c r="F76" s="153"/>
      <c r="G76" s="153"/>
      <c r="H76" s="153"/>
      <c r="I76" s="150">
        <v>53029</v>
      </c>
      <c r="J76" s="150">
        <v>11230</v>
      </c>
      <c r="K76" s="150">
        <v>41799</v>
      </c>
    </row>
    <row r="77" spans="1:11" x14ac:dyDescent="0.25">
      <c r="A77" s="151">
        <v>63</v>
      </c>
      <c r="B77" s="154" t="s">
        <v>23</v>
      </c>
      <c r="C77" s="153">
        <f t="shared" si="1"/>
        <v>22096</v>
      </c>
      <c r="D77" s="153"/>
      <c r="E77" s="153"/>
      <c r="F77" s="153"/>
      <c r="G77" s="153"/>
      <c r="H77" s="153"/>
      <c r="I77" s="150">
        <v>22096</v>
      </c>
      <c r="J77" s="150">
        <v>5941</v>
      </c>
      <c r="K77" s="150">
        <v>16155</v>
      </c>
    </row>
    <row r="78" spans="1:11" x14ac:dyDescent="0.25">
      <c r="A78" s="151">
        <v>64</v>
      </c>
      <c r="B78" s="154" t="s">
        <v>40</v>
      </c>
      <c r="C78" s="153">
        <f t="shared" si="1"/>
        <v>43566</v>
      </c>
      <c r="D78" s="153"/>
      <c r="E78" s="153"/>
      <c r="F78" s="153"/>
      <c r="G78" s="153"/>
      <c r="H78" s="153"/>
      <c r="I78" s="150">
        <v>43566</v>
      </c>
      <c r="J78" s="150">
        <v>10405</v>
      </c>
      <c r="K78" s="150">
        <v>33161</v>
      </c>
    </row>
    <row r="79" spans="1:11" x14ac:dyDescent="0.25">
      <c r="A79" s="151">
        <v>65</v>
      </c>
      <c r="B79" s="154" t="s">
        <v>2</v>
      </c>
      <c r="C79" s="153">
        <f t="shared" si="1"/>
        <v>64826</v>
      </c>
      <c r="D79" s="153"/>
      <c r="E79" s="153"/>
      <c r="F79" s="153"/>
      <c r="G79" s="153"/>
      <c r="H79" s="153"/>
      <c r="I79" s="150">
        <v>64826</v>
      </c>
      <c r="J79" s="150">
        <v>17197</v>
      </c>
      <c r="K79" s="150">
        <v>47629</v>
      </c>
    </row>
    <row r="80" spans="1:11" x14ac:dyDescent="0.25">
      <c r="A80" s="151">
        <v>66</v>
      </c>
      <c r="B80" s="152" t="s">
        <v>50</v>
      </c>
      <c r="C80" s="153">
        <f t="shared" si="1"/>
        <v>35415</v>
      </c>
      <c r="D80" s="153"/>
      <c r="E80" s="153"/>
      <c r="F80" s="153"/>
      <c r="G80" s="153"/>
      <c r="H80" s="153"/>
      <c r="I80" s="150">
        <v>35415</v>
      </c>
      <c r="J80" s="150">
        <v>7934</v>
      </c>
      <c r="K80" s="150">
        <v>27481</v>
      </c>
    </row>
    <row r="81" spans="1:11" x14ac:dyDescent="0.25">
      <c r="A81" s="151">
        <v>67</v>
      </c>
      <c r="B81" s="154" t="s">
        <v>192</v>
      </c>
      <c r="C81" s="153">
        <f t="shared" si="1"/>
        <v>102</v>
      </c>
      <c r="D81" s="153"/>
      <c r="E81" s="153"/>
      <c r="F81" s="153">
        <v>102</v>
      </c>
      <c r="G81" s="153"/>
      <c r="H81" s="153"/>
      <c r="I81" s="150">
        <v>0</v>
      </c>
      <c r="J81" s="150">
        <v>0</v>
      </c>
      <c r="K81" s="150">
        <v>0</v>
      </c>
    </row>
    <row r="82" spans="1:11" x14ac:dyDescent="0.25">
      <c r="A82" s="151">
        <v>68</v>
      </c>
      <c r="B82" s="154" t="s">
        <v>193</v>
      </c>
      <c r="C82" s="153">
        <f t="shared" si="1"/>
        <v>13</v>
      </c>
      <c r="D82" s="153"/>
      <c r="E82" s="153"/>
      <c r="F82" s="153">
        <v>13</v>
      </c>
      <c r="G82" s="153"/>
      <c r="H82" s="153"/>
      <c r="I82" s="150">
        <v>0</v>
      </c>
      <c r="J82" s="150">
        <v>0</v>
      </c>
      <c r="K82" s="150">
        <v>0</v>
      </c>
    </row>
    <row r="83" spans="1:11" x14ac:dyDescent="0.25">
      <c r="A83" s="151">
        <v>69</v>
      </c>
      <c r="B83" s="157" t="s">
        <v>194</v>
      </c>
      <c r="C83" s="153">
        <f t="shared" si="1"/>
        <v>112</v>
      </c>
      <c r="D83" s="153"/>
      <c r="E83" s="153"/>
      <c r="F83" s="153">
        <v>112</v>
      </c>
      <c r="G83" s="153"/>
      <c r="H83" s="153"/>
      <c r="I83" s="150">
        <v>0</v>
      </c>
      <c r="J83" s="150">
        <v>0</v>
      </c>
      <c r="K83" s="150">
        <v>0</v>
      </c>
    </row>
    <row r="84" spans="1:11" x14ac:dyDescent="0.25">
      <c r="A84" s="151">
        <v>70</v>
      </c>
      <c r="B84" s="154" t="s">
        <v>195</v>
      </c>
      <c r="C84" s="153">
        <f t="shared" si="1"/>
        <v>12</v>
      </c>
      <c r="D84" s="153"/>
      <c r="E84" s="153"/>
      <c r="F84" s="153">
        <v>12</v>
      </c>
      <c r="G84" s="153"/>
      <c r="H84" s="153"/>
      <c r="I84" s="150">
        <v>0</v>
      </c>
      <c r="J84" s="150">
        <v>0</v>
      </c>
      <c r="K84" s="150">
        <v>0</v>
      </c>
    </row>
    <row r="85" spans="1:11" x14ac:dyDescent="0.25">
      <c r="A85" s="151">
        <v>71</v>
      </c>
      <c r="B85" s="154" t="s">
        <v>196</v>
      </c>
      <c r="C85" s="153">
        <f t="shared" si="1"/>
        <v>90</v>
      </c>
      <c r="D85" s="153"/>
      <c r="E85" s="153"/>
      <c r="F85" s="153">
        <v>90</v>
      </c>
      <c r="G85" s="153"/>
      <c r="H85" s="153"/>
      <c r="I85" s="150">
        <v>0</v>
      </c>
      <c r="J85" s="150">
        <v>0</v>
      </c>
      <c r="K85" s="150">
        <v>0</v>
      </c>
    </row>
    <row r="86" spans="1:11" x14ac:dyDescent="0.25">
      <c r="A86" s="151">
        <v>72</v>
      </c>
      <c r="B86" s="154" t="s">
        <v>197</v>
      </c>
      <c r="C86" s="153">
        <f t="shared" si="1"/>
        <v>223</v>
      </c>
      <c r="D86" s="153"/>
      <c r="E86" s="153"/>
      <c r="F86" s="153">
        <v>223</v>
      </c>
      <c r="G86" s="153"/>
      <c r="H86" s="153"/>
      <c r="I86" s="150">
        <v>0</v>
      </c>
      <c r="J86" s="150">
        <v>0</v>
      </c>
      <c r="K86" s="150">
        <v>0</v>
      </c>
    </row>
    <row r="87" spans="1:11" x14ac:dyDescent="0.25">
      <c r="A87" s="151">
        <v>73</v>
      </c>
      <c r="B87" s="158" t="s">
        <v>198</v>
      </c>
      <c r="C87" s="153">
        <f t="shared" si="1"/>
        <v>66167</v>
      </c>
      <c r="D87" s="153"/>
      <c r="E87" s="153"/>
      <c r="F87" s="153"/>
      <c r="G87" s="153"/>
      <c r="H87" s="153"/>
      <c r="I87" s="150">
        <v>66167</v>
      </c>
      <c r="J87" s="150">
        <v>9433</v>
      </c>
      <c r="K87" s="150">
        <v>56734</v>
      </c>
    </row>
    <row r="88" spans="1:11" x14ac:dyDescent="0.25">
      <c r="A88" s="151">
        <v>74</v>
      </c>
      <c r="B88" s="158" t="s">
        <v>199</v>
      </c>
      <c r="C88" s="153">
        <f t="shared" si="1"/>
        <v>56538</v>
      </c>
      <c r="D88" s="153"/>
      <c r="E88" s="153"/>
      <c r="F88" s="153"/>
      <c r="G88" s="153"/>
      <c r="H88" s="153"/>
      <c r="I88" s="150">
        <v>56538</v>
      </c>
      <c r="J88" s="150">
        <v>9417</v>
      </c>
      <c r="K88" s="150">
        <v>47121</v>
      </c>
    </row>
    <row r="89" spans="1:11" x14ac:dyDescent="0.25">
      <c r="A89" s="151">
        <v>75</v>
      </c>
      <c r="B89" s="158" t="s">
        <v>200</v>
      </c>
      <c r="C89" s="153">
        <f t="shared" si="1"/>
        <v>79099</v>
      </c>
      <c r="D89" s="153"/>
      <c r="E89" s="153"/>
      <c r="F89" s="153"/>
      <c r="G89" s="153"/>
      <c r="H89" s="153">
        <v>1164</v>
      </c>
      <c r="I89" s="150">
        <v>77935</v>
      </c>
      <c r="J89" s="150">
        <v>17847</v>
      </c>
      <c r="K89" s="150">
        <v>60088</v>
      </c>
    </row>
    <row r="90" spans="1:11" x14ac:dyDescent="0.25">
      <c r="A90" s="151">
        <v>76</v>
      </c>
      <c r="B90" s="158" t="s">
        <v>201</v>
      </c>
      <c r="C90" s="153">
        <f t="shared" si="1"/>
        <v>96050</v>
      </c>
      <c r="D90" s="153"/>
      <c r="E90" s="153"/>
      <c r="F90" s="153"/>
      <c r="G90" s="153"/>
      <c r="H90" s="153">
        <v>1095</v>
      </c>
      <c r="I90" s="150">
        <v>94955</v>
      </c>
      <c r="J90" s="150">
        <v>10270</v>
      </c>
      <c r="K90" s="150">
        <v>84685</v>
      </c>
    </row>
    <row r="91" spans="1:11" x14ac:dyDescent="0.25">
      <c r="A91" s="151">
        <v>77</v>
      </c>
      <c r="B91" s="158" t="s">
        <v>202</v>
      </c>
      <c r="C91" s="153">
        <f t="shared" si="1"/>
        <v>35538</v>
      </c>
      <c r="D91" s="153"/>
      <c r="E91" s="153"/>
      <c r="F91" s="153"/>
      <c r="G91" s="153"/>
      <c r="H91" s="153"/>
      <c r="I91" s="150">
        <v>35538</v>
      </c>
      <c r="J91" s="150">
        <v>6149</v>
      </c>
      <c r="K91" s="150">
        <v>29389</v>
      </c>
    </row>
    <row r="92" spans="1:11" ht="25.5" x14ac:dyDescent="0.25">
      <c r="A92" s="151">
        <v>78</v>
      </c>
      <c r="B92" s="158" t="s">
        <v>203</v>
      </c>
      <c r="C92" s="153">
        <f t="shared" si="1"/>
        <v>20749</v>
      </c>
      <c r="D92" s="153"/>
      <c r="E92" s="153"/>
      <c r="F92" s="153">
        <v>20749</v>
      </c>
      <c r="G92" s="153"/>
      <c r="H92" s="153"/>
      <c r="I92" s="150">
        <v>0</v>
      </c>
      <c r="J92" s="150">
        <v>0</v>
      </c>
      <c r="K92" s="150">
        <v>0</v>
      </c>
    </row>
    <row r="93" spans="1:11" ht="25.5" x14ac:dyDescent="0.25">
      <c r="A93" s="151">
        <v>79</v>
      </c>
      <c r="B93" s="158" t="s">
        <v>204</v>
      </c>
      <c r="C93" s="153">
        <f t="shared" si="1"/>
        <v>30404</v>
      </c>
      <c r="D93" s="153"/>
      <c r="E93" s="153"/>
      <c r="F93" s="153">
        <v>30404</v>
      </c>
      <c r="G93" s="153"/>
      <c r="H93" s="153"/>
      <c r="I93" s="150">
        <v>0</v>
      </c>
      <c r="J93" s="150">
        <v>0</v>
      </c>
      <c r="K93" s="150">
        <v>0</v>
      </c>
    </row>
    <row r="94" spans="1:11" x14ac:dyDescent="0.25">
      <c r="A94" s="151">
        <v>80</v>
      </c>
      <c r="B94" s="158" t="s">
        <v>205</v>
      </c>
      <c r="C94" s="153">
        <f t="shared" si="1"/>
        <v>96170</v>
      </c>
      <c r="D94" s="153"/>
      <c r="E94" s="153"/>
      <c r="F94" s="153"/>
      <c r="G94" s="153"/>
      <c r="H94" s="153"/>
      <c r="I94" s="150">
        <v>96170</v>
      </c>
      <c r="J94" s="150">
        <v>18664</v>
      </c>
      <c r="K94" s="150">
        <v>77506</v>
      </c>
    </row>
    <row r="95" spans="1:11" x14ac:dyDescent="0.25">
      <c r="A95" s="151">
        <v>81</v>
      </c>
      <c r="B95" s="158" t="s">
        <v>206</v>
      </c>
      <c r="C95" s="153">
        <f t="shared" si="1"/>
        <v>55649</v>
      </c>
      <c r="D95" s="153"/>
      <c r="E95" s="153"/>
      <c r="F95" s="153"/>
      <c r="G95" s="153"/>
      <c r="H95" s="153"/>
      <c r="I95" s="150">
        <v>55649</v>
      </c>
      <c r="J95" s="150">
        <v>9192</v>
      </c>
      <c r="K95" s="150">
        <v>46457</v>
      </c>
    </row>
    <row r="96" spans="1:11" x14ac:dyDescent="0.25">
      <c r="A96" s="151">
        <v>82</v>
      </c>
      <c r="B96" s="158" t="s">
        <v>207</v>
      </c>
      <c r="C96" s="153">
        <f t="shared" si="1"/>
        <v>66647</v>
      </c>
      <c r="D96" s="153">
        <v>4356</v>
      </c>
      <c r="E96" s="153"/>
      <c r="F96" s="153"/>
      <c r="G96" s="153"/>
      <c r="H96" s="153"/>
      <c r="I96" s="150">
        <v>62291</v>
      </c>
      <c r="J96" s="150">
        <v>15289</v>
      </c>
      <c r="K96" s="150">
        <v>47002</v>
      </c>
    </row>
    <row r="97" spans="1:11" x14ac:dyDescent="0.25">
      <c r="A97" s="151">
        <v>83</v>
      </c>
      <c r="B97" s="158" t="s">
        <v>208</v>
      </c>
      <c r="C97" s="153">
        <f t="shared" si="1"/>
        <v>40342</v>
      </c>
      <c r="D97" s="153"/>
      <c r="E97" s="153"/>
      <c r="F97" s="153"/>
      <c r="G97" s="153"/>
      <c r="H97" s="153"/>
      <c r="I97" s="150">
        <v>40342</v>
      </c>
      <c r="J97" s="150">
        <v>6728</v>
      </c>
      <c r="K97" s="150">
        <v>33614</v>
      </c>
    </row>
    <row r="98" spans="1:11" x14ac:dyDescent="0.25">
      <c r="A98" s="151">
        <v>84</v>
      </c>
      <c r="B98" s="158" t="s">
        <v>209</v>
      </c>
      <c r="C98" s="153">
        <f t="shared" si="1"/>
        <v>127606</v>
      </c>
      <c r="D98" s="153">
        <v>6373</v>
      </c>
      <c r="E98" s="153"/>
      <c r="F98" s="153"/>
      <c r="G98" s="153"/>
      <c r="H98" s="153"/>
      <c r="I98" s="150">
        <v>121233</v>
      </c>
      <c r="J98" s="150">
        <v>24627</v>
      </c>
      <c r="K98" s="150">
        <v>96606</v>
      </c>
    </row>
    <row r="99" spans="1:11" x14ac:dyDescent="0.25">
      <c r="A99" s="151">
        <v>85</v>
      </c>
      <c r="B99" s="158" t="s">
        <v>210</v>
      </c>
      <c r="C99" s="153">
        <f t="shared" si="1"/>
        <v>61795</v>
      </c>
      <c r="D99" s="153"/>
      <c r="E99" s="153"/>
      <c r="F99" s="153"/>
      <c r="G99" s="153"/>
      <c r="H99" s="153"/>
      <c r="I99" s="150">
        <v>61795</v>
      </c>
      <c r="J99" s="150">
        <v>17750</v>
      </c>
      <c r="K99" s="150">
        <v>44045</v>
      </c>
    </row>
    <row r="100" spans="1:11" x14ac:dyDescent="0.25">
      <c r="A100" s="151">
        <v>86</v>
      </c>
      <c r="B100" s="158" t="s">
        <v>123</v>
      </c>
      <c r="C100" s="153">
        <f t="shared" si="1"/>
        <v>61401</v>
      </c>
      <c r="D100" s="153"/>
      <c r="E100" s="153"/>
      <c r="F100" s="153"/>
      <c r="G100" s="153"/>
      <c r="H100" s="153"/>
      <c r="I100" s="150">
        <v>61401</v>
      </c>
      <c r="J100" s="150">
        <v>13571</v>
      </c>
      <c r="K100" s="150">
        <v>47830</v>
      </c>
    </row>
    <row r="101" spans="1:11" x14ac:dyDescent="0.25">
      <c r="A101" s="151">
        <v>87</v>
      </c>
      <c r="B101" s="158" t="s">
        <v>211</v>
      </c>
      <c r="C101" s="153">
        <f t="shared" si="1"/>
        <v>35865</v>
      </c>
      <c r="D101" s="153"/>
      <c r="E101" s="153"/>
      <c r="F101" s="153"/>
      <c r="G101" s="153"/>
      <c r="H101" s="153"/>
      <c r="I101" s="150">
        <v>35865</v>
      </c>
      <c r="J101" s="150">
        <v>7622</v>
      </c>
      <c r="K101" s="150">
        <v>28243</v>
      </c>
    </row>
    <row r="102" spans="1:11" x14ac:dyDescent="0.25">
      <c r="A102" s="151">
        <v>88</v>
      </c>
      <c r="B102" s="158" t="s">
        <v>145</v>
      </c>
      <c r="C102" s="153">
        <f t="shared" si="1"/>
        <v>127655</v>
      </c>
      <c r="D102" s="153">
        <v>6031</v>
      </c>
      <c r="E102" s="153"/>
      <c r="F102" s="153"/>
      <c r="G102" s="153"/>
      <c r="H102" s="153"/>
      <c r="I102" s="150">
        <v>121624</v>
      </c>
      <c r="J102" s="150">
        <v>22146</v>
      </c>
      <c r="K102" s="150">
        <v>99478</v>
      </c>
    </row>
    <row r="103" spans="1:11" x14ac:dyDescent="0.25">
      <c r="A103" s="151">
        <v>89</v>
      </c>
      <c r="B103" s="158" t="s">
        <v>212</v>
      </c>
      <c r="C103" s="153">
        <f t="shared" si="1"/>
        <v>47341</v>
      </c>
      <c r="D103" s="153"/>
      <c r="E103" s="153"/>
      <c r="F103" s="153"/>
      <c r="G103" s="153"/>
      <c r="H103" s="153"/>
      <c r="I103" s="150">
        <v>47341</v>
      </c>
      <c r="J103" s="150">
        <v>11460</v>
      </c>
      <c r="K103" s="150">
        <v>35881</v>
      </c>
    </row>
    <row r="104" spans="1:11" x14ac:dyDescent="0.25">
      <c r="A104" s="151">
        <v>90</v>
      </c>
      <c r="B104" s="158" t="s">
        <v>213</v>
      </c>
      <c r="C104" s="153">
        <f t="shared" si="1"/>
        <v>46111</v>
      </c>
      <c r="D104" s="153"/>
      <c r="E104" s="153"/>
      <c r="F104" s="153"/>
      <c r="G104" s="153"/>
      <c r="H104" s="153"/>
      <c r="I104" s="150">
        <v>46111</v>
      </c>
      <c r="J104" s="150">
        <v>12388</v>
      </c>
      <c r="K104" s="150">
        <v>33723</v>
      </c>
    </row>
    <row r="105" spans="1:11" x14ac:dyDescent="0.25">
      <c r="A105" s="151">
        <v>91</v>
      </c>
      <c r="B105" s="158" t="s">
        <v>214</v>
      </c>
      <c r="C105" s="153">
        <f t="shared" si="1"/>
        <v>17957</v>
      </c>
      <c r="D105" s="153"/>
      <c r="E105" s="153"/>
      <c r="F105" s="153">
        <v>17957</v>
      </c>
      <c r="G105" s="153"/>
      <c r="H105" s="153"/>
      <c r="I105" s="150">
        <v>0</v>
      </c>
      <c r="J105" s="150">
        <v>0</v>
      </c>
      <c r="K105" s="150">
        <v>0</v>
      </c>
    </row>
    <row r="106" spans="1:11" x14ac:dyDescent="0.25">
      <c r="A106" s="151">
        <v>92</v>
      </c>
      <c r="B106" s="158" t="s">
        <v>215</v>
      </c>
      <c r="C106" s="153">
        <f t="shared" si="1"/>
        <v>20651</v>
      </c>
      <c r="D106" s="153"/>
      <c r="E106" s="153"/>
      <c r="F106" s="153">
        <v>20651</v>
      </c>
      <c r="G106" s="153"/>
      <c r="H106" s="153"/>
      <c r="I106" s="150">
        <v>0</v>
      </c>
      <c r="J106" s="150">
        <v>0</v>
      </c>
      <c r="K106" s="150">
        <v>0</v>
      </c>
    </row>
    <row r="107" spans="1:11" x14ac:dyDescent="0.25">
      <c r="A107" s="151">
        <v>93</v>
      </c>
      <c r="B107" s="158" t="s">
        <v>216</v>
      </c>
      <c r="C107" s="153">
        <f t="shared" si="1"/>
        <v>23813</v>
      </c>
      <c r="D107" s="153"/>
      <c r="E107" s="153"/>
      <c r="F107" s="153">
        <v>23813</v>
      </c>
      <c r="G107" s="153"/>
      <c r="H107" s="153"/>
      <c r="I107" s="150">
        <v>0</v>
      </c>
      <c r="J107" s="150">
        <v>0</v>
      </c>
      <c r="K107" s="150">
        <v>0</v>
      </c>
    </row>
    <row r="108" spans="1:11" x14ac:dyDescent="0.25">
      <c r="A108" s="151">
        <v>94</v>
      </c>
      <c r="B108" s="158" t="s">
        <v>217</v>
      </c>
      <c r="C108" s="153">
        <f t="shared" si="1"/>
        <v>20088</v>
      </c>
      <c r="D108" s="153"/>
      <c r="E108" s="153"/>
      <c r="F108" s="153">
        <v>20088</v>
      </c>
      <c r="G108" s="153"/>
      <c r="H108" s="153"/>
      <c r="I108" s="150">
        <v>0</v>
      </c>
      <c r="J108" s="150">
        <v>0</v>
      </c>
      <c r="K108" s="150">
        <v>0</v>
      </c>
    </row>
    <row r="109" spans="1:11" x14ac:dyDescent="0.25">
      <c r="A109" s="151">
        <v>95</v>
      </c>
      <c r="B109" s="158" t="s">
        <v>218</v>
      </c>
      <c r="C109" s="153">
        <f t="shared" si="1"/>
        <v>28711</v>
      </c>
      <c r="D109" s="153"/>
      <c r="E109" s="153"/>
      <c r="F109" s="153">
        <v>28711</v>
      </c>
      <c r="G109" s="153"/>
      <c r="H109" s="153"/>
      <c r="I109" s="150">
        <v>0</v>
      </c>
      <c r="J109" s="150">
        <v>0</v>
      </c>
      <c r="K109" s="150">
        <v>0</v>
      </c>
    </row>
    <row r="110" spans="1:11" x14ac:dyDescent="0.25">
      <c r="A110" s="151">
        <v>96</v>
      </c>
      <c r="B110" s="158" t="s">
        <v>219</v>
      </c>
      <c r="C110" s="153">
        <f t="shared" si="1"/>
        <v>18306</v>
      </c>
      <c r="D110" s="153"/>
      <c r="E110" s="153"/>
      <c r="F110" s="153">
        <v>18306</v>
      </c>
      <c r="G110" s="153"/>
      <c r="H110" s="153"/>
      <c r="I110" s="150">
        <v>0</v>
      </c>
      <c r="J110" s="150">
        <v>0</v>
      </c>
      <c r="K110" s="150">
        <v>0</v>
      </c>
    </row>
    <row r="111" spans="1:11" x14ac:dyDescent="0.25">
      <c r="A111" s="151">
        <v>97</v>
      </c>
      <c r="B111" s="158" t="s">
        <v>220</v>
      </c>
      <c r="C111" s="153">
        <f t="shared" si="1"/>
        <v>15447</v>
      </c>
      <c r="D111" s="153"/>
      <c r="E111" s="153"/>
      <c r="F111" s="153">
        <v>15447</v>
      </c>
      <c r="G111" s="153"/>
      <c r="H111" s="153"/>
      <c r="I111" s="150">
        <v>0</v>
      </c>
      <c r="J111" s="150">
        <v>0</v>
      </c>
      <c r="K111" s="150">
        <v>0</v>
      </c>
    </row>
    <row r="112" spans="1:11" x14ac:dyDescent="0.25">
      <c r="A112" s="151">
        <v>98</v>
      </c>
      <c r="B112" s="158" t="s">
        <v>221</v>
      </c>
      <c r="C112" s="153">
        <f t="shared" si="1"/>
        <v>119921</v>
      </c>
      <c r="D112" s="153"/>
      <c r="E112" s="153"/>
      <c r="F112" s="153"/>
      <c r="G112" s="153"/>
      <c r="H112" s="153">
        <v>1362</v>
      </c>
      <c r="I112" s="150">
        <v>118559</v>
      </c>
      <c r="J112" s="150">
        <v>26681</v>
      </c>
      <c r="K112" s="150">
        <v>91878</v>
      </c>
    </row>
    <row r="113" spans="1:11" x14ac:dyDescent="0.25">
      <c r="A113" s="151">
        <v>99</v>
      </c>
      <c r="B113" s="158" t="s">
        <v>60</v>
      </c>
      <c r="C113" s="153">
        <f t="shared" si="1"/>
        <v>77420</v>
      </c>
      <c r="D113" s="153"/>
      <c r="E113" s="153"/>
      <c r="F113" s="153"/>
      <c r="G113" s="153"/>
      <c r="H113" s="153">
        <v>8850</v>
      </c>
      <c r="I113" s="150">
        <v>68570</v>
      </c>
      <c r="J113" s="150">
        <v>15064</v>
      </c>
      <c r="K113" s="150">
        <v>53506</v>
      </c>
    </row>
    <row r="114" spans="1:11" x14ac:dyDescent="0.25">
      <c r="A114" s="151">
        <v>100</v>
      </c>
      <c r="B114" s="158" t="s">
        <v>56</v>
      </c>
      <c r="C114" s="153">
        <f t="shared" si="1"/>
        <v>65562</v>
      </c>
      <c r="D114" s="153"/>
      <c r="E114" s="153"/>
      <c r="F114" s="153"/>
      <c r="G114" s="153"/>
      <c r="H114" s="153"/>
      <c r="I114" s="150">
        <v>65562</v>
      </c>
      <c r="J114" s="150">
        <v>11426</v>
      </c>
      <c r="K114" s="150">
        <v>54136</v>
      </c>
    </row>
    <row r="115" spans="1:11" x14ac:dyDescent="0.25">
      <c r="A115" s="151">
        <v>101</v>
      </c>
      <c r="B115" s="158" t="s">
        <v>55</v>
      </c>
      <c r="C115" s="153">
        <f t="shared" si="1"/>
        <v>38645</v>
      </c>
      <c r="D115" s="153"/>
      <c r="E115" s="153"/>
      <c r="F115" s="153"/>
      <c r="G115" s="153"/>
      <c r="H115" s="153"/>
      <c r="I115" s="150">
        <v>38645</v>
      </c>
      <c r="J115" s="150">
        <v>10439</v>
      </c>
      <c r="K115" s="150">
        <v>28206</v>
      </c>
    </row>
    <row r="116" spans="1:11" x14ac:dyDescent="0.25">
      <c r="A116" s="151">
        <v>102</v>
      </c>
      <c r="B116" s="158" t="s">
        <v>57</v>
      </c>
      <c r="C116" s="153">
        <f t="shared" si="1"/>
        <v>17815</v>
      </c>
      <c r="D116" s="153"/>
      <c r="E116" s="153"/>
      <c r="F116" s="153"/>
      <c r="G116" s="153"/>
      <c r="H116" s="153">
        <v>4025</v>
      </c>
      <c r="I116" s="150">
        <v>13790</v>
      </c>
      <c r="J116" s="150">
        <v>1247</v>
      </c>
      <c r="K116" s="150">
        <v>12543</v>
      </c>
    </row>
    <row r="117" spans="1:11" x14ac:dyDescent="0.25">
      <c r="A117" s="151">
        <v>103</v>
      </c>
      <c r="B117" s="158" t="s">
        <v>58</v>
      </c>
      <c r="C117" s="153">
        <f t="shared" si="1"/>
        <v>4886</v>
      </c>
      <c r="D117" s="153"/>
      <c r="E117" s="153"/>
      <c r="F117" s="153"/>
      <c r="G117" s="153"/>
      <c r="H117" s="153"/>
      <c r="I117" s="150">
        <v>4886</v>
      </c>
      <c r="J117" s="150">
        <v>1209</v>
      </c>
      <c r="K117" s="150">
        <v>3677</v>
      </c>
    </row>
    <row r="118" spans="1:11" ht="38.25" x14ac:dyDescent="0.25">
      <c r="A118" s="396">
        <v>104</v>
      </c>
      <c r="B118" s="158" t="s">
        <v>101</v>
      </c>
      <c r="C118" s="153">
        <f t="shared" si="1"/>
        <v>27412</v>
      </c>
      <c r="D118" s="153"/>
      <c r="E118" s="153"/>
      <c r="F118" s="153"/>
      <c r="G118" s="153"/>
      <c r="H118" s="153"/>
      <c r="I118" s="150">
        <v>27412</v>
      </c>
      <c r="J118" s="150">
        <v>9029</v>
      </c>
      <c r="K118" s="150">
        <v>18383</v>
      </c>
    </row>
    <row r="119" spans="1:11" x14ac:dyDescent="0.25">
      <c r="A119" s="398"/>
      <c r="B119" s="158" t="s">
        <v>59</v>
      </c>
      <c r="C119" s="153">
        <f t="shared" si="1"/>
        <v>199146</v>
      </c>
      <c r="D119" s="153"/>
      <c r="E119" s="153">
        <v>6804</v>
      </c>
      <c r="F119" s="153"/>
      <c r="G119" s="153"/>
      <c r="H119" s="153"/>
      <c r="I119" s="150">
        <v>192342</v>
      </c>
      <c r="J119" s="150">
        <v>51459</v>
      </c>
      <c r="K119" s="150">
        <v>140883</v>
      </c>
    </row>
    <row r="120" spans="1:11" x14ac:dyDescent="0.25">
      <c r="A120" s="151">
        <v>105</v>
      </c>
      <c r="B120" s="158" t="s">
        <v>61</v>
      </c>
      <c r="C120" s="153">
        <f t="shared" si="1"/>
        <v>57276</v>
      </c>
      <c r="D120" s="153"/>
      <c r="E120" s="153"/>
      <c r="F120" s="153"/>
      <c r="G120" s="153"/>
      <c r="H120" s="153"/>
      <c r="I120" s="150">
        <v>57276</v>
      </c>
      <c r="J120" s="150">
        <v>10901</v>
      </c>
      <c r="K120" s="150">
        <v>46375</v>
      </c>
    </row>
    <row r="121" spans="1:11" x14ac:dyDescent="0.25">
      <c r="A121" s="151">
        <v>106</v>
      </c>
      <c r="B121" s="158" t="s">
        <v>92</v>
      </c>
      <c r="C121" s="153">
        <f t="shared" si="1"/>
        <v>75310</v>
      </c>
      <c r="D121" s="153"/>
      <c r="E121" s="153"/>
      <c r="F121" s="153"/>
      <c r="G121" s="153"/>
      <c r="H121" s="153"/>
      <c r="I121" s="150">
        <v>75310</v>
      </c>
      <c r="J121" s="150">
        <v>18294</v>
      </c>
      <c r="K121" s="150">
        <v>57016</v>
      </c>
    </row>
    <row r="122" spans="1:11" x14ac:dyDescent="0.25">
      <c r="A122" s="151">
        <v>107</v>
      </c>
      <c r="B122" s="158" t="s">
        <v>71</v>
      </c>
      <c r="C122" s="153">
        <f t="shared" si="1"/>
        <v>34417</v>
      </c>
      <c r="D122" s="153"/>
      <c r="E122" s="153"/>
      <c r="F122" s="153">
        <v>34417</v>
      </c>
      <c r="G122" s="153"/>
      <c r="H122" s="153"/>
      <c r="I122" s="150">
        <v>0</v>
      </c>
      <c r="J122" s="150">
        <v>0</v>
      </c>
      <c r="K122" s="150">
        <v>0</v>
      </c>
    </row>
    <row r="123" spans="1:11" x14ac:dyDescent="0.25">
      <c r="A123" s="396">
        <v>108</v>
      </c>
      <c r="B123" s="158" t="s">
        <v>62</v>
      </c>
      <c r="C123" s="153">
        <f t="shared" si="1"/>
        <v>13204</v>
      </c>
      <c r="D123" s="153"/>
      <c r="E123" s="153"/>
      <c r="F123" s="153"/>
      <c r="G123" s="153"/>
      <c r="H123" s="153"/>
      <c r="I123" s="150">
        <v>13204</v>
      </c>
      <c r="J123" s="150">
        <v>2799</v>
      </c>
      <c r="K123" s="150">
        <v>10405</v>
      </c>
    </row>
    <row r="124" spans="1:11" ht="25.5" x14ac:dyDescent="0.25">
      <c r="A124" s="398"/>
      <c r="B124" s="159" t="s">
        <v>222</v>
      </c>
      <c r="C124" s="153">
        <f t="shared" si="1"/>
        <v>4470</v>
      </c>
      <c r="D124" s="155"/>
      <c r="E124" s="155"/>
      <c r="F124" s="155">
        <v>4470</v>
      </c>
      <c r="G124" s="155"/>
      <c r="H124" s="155"/>
      <c r="I124" s="150">
        <v>0</v>
      </c>
      <c r="J124" s="150">
        <v>0</v>
      </c>
      <c r="K124" s="150">
        <v>0</v>
      </c>
    </row>
    <row r="125" spans="1:11" ht="25.5" x14ac:dyDescent="0.25">
      <c r="A125" s="151">
        <v>109</v>
      </c>
      <c r="B125" s="158" t="s">
        <v>72</v>
      </c>
      <c r="C125" s="153">
        <f t="shared" si="1"/>
        <v>1341</v>
      </c>
      <c r="D125" s="153"/>
      <c r="E125" s="153"/>
      <c r="F125" s="153">
        <v>1341</v>
      </c>
      <c r="G125" s="153"/>
      <c r="H125" s="153"/>
      <c r="I125" s="150">
        <v>0</v>
      </c>
      <c r="J125" s="150">
        <v>0</v>
      </c>
      <c r="K125" s="150">
        <v>0</v>
      </c>
    </row>
    <row r="126" spans="1:11" x14ac:dyDescent="0.25">
      <c r="A126" s="151">
        <v>110</v>
      </c>
      <c r="B126" s="154" t="s">
        <v>223</v>
      </c>
      <c r="C126" s="153">
        <f t="shared" si="1"/>
        <v>8084</v>
      </c>
      <c r="D126" s="153"/>
      <c r="E126" s="153"/>
      <c r="F126" s="153"/>
      <c r="G126" s="153"/>
      <c r="H126" s="153"/>
      <c r="I126" s="150">
        <v>8084</v>
      </c>
      <c r="J126" s="150">
        <v>1819</v>
      </c>
      <c r="K126" s="150">
        <v>6265</v>
      </c>
    </row>
    <row r="127" spans="1:11" x14ac:dyDescent="0.25">
      <c r="A127" s="151">
        <v>111</v>
      </c>
      <c r="B127" s="152" t="s">
        <v>3</v>
      </c>
      <c r="C127" s="153">
        <f t="shared" si="1"/>
        <v>29159</v>
      </c>
      <c r="D127" s="153"/>
      <c r="E127" s="153"/>
      <c r="F127" s="153"/>
      <c r="G127" s="153"/>
      <c r="H127" s="153"/>
      <c r="I127" s="150">
        <v>29159</v>
      </c>
      <c r="J127" s="150">
        <v>7893</v>
      </c>
      <c r="K127" s="150">
        <v>21266</v>
      </c>
    </row>
    <row r="128" spans="1:11" x14ac:dyDescent="0.25">
      <c r="A128" s="151">
        <v>112</v>
      </c>
      <c r="B128" s="154" t="s">
        <v>10</v>
      </c>
      <c r="C128" s="153">
        <f t="shared" si="1"/>
        <v>30564</v>
      </c>
      <c r="D128" s="153"/>
      <c r="E128" s="153"/>
      <c r="F128" s="153"/>
      <c r="G128" s="153"/>
      <c r="H128" s="153"/>
      <c r="I128" s="150">
        <v>30564</v>
      </c>
      <c r="J128" s="150">
        <v>8474</v>
      </c>
      <c r="K128" s="150">
        <v>22090</v>
      </c>
    </row>
    <row r="129" spans="1:11" x14ac:dyDescent="0.25">
      <c r="A129" s="151">
        <v>113</v>
      </c>
      <c r="B129" s="152" t="s">
        <v>15</v>
      </c>
      <c r="C129" s="153">
        <f t="shared" si="1"/>
        <v>81377</v>
      </c>
      <c r="D129" s="153"/>
      <c r="E129" s="153"/>
      <c r="F129" s="153"/>
      <c r="G129" s="153"/>
      <c r="H129" s="153"/>
      <c r="I129" s="150">
        <v>81377</v>
      </c>
      <c r="J129" s="150">
        <v>19845</v>
      </c>
      <c r="K129" s="150">
        <v>61532</v>
      </c>
    </row>
    <row r="130" spans="1:11" x14ac:dyDescent="0.25">
      <c r="A130" s="151">
        <v>114</v>
      </c>
      <c r="B130" s="154" t="s">
        <v>38</v>
      </c>
      <c r="C130" s="153">
        <f t="shared" si="1"/>
        <v>36702</v>
      </c>
      <c r="D130" s="153"/>
      <c r="E130" s="153"/>
      <c r="F130" s="153"/>
      <c r="G130" s="153"/>
      <c r="H130" s="153"/>
      <c r="I130" s="150">
        <v>36702</v>
      </c>
      <c r="J130" s="150">
        <v>7459</v>
      </c>
      <c r="K130" s="150">
        <v>29243</v>
      </c>
    </row>
    <row r="131" spans="1:11" x14ac:dyDescent="0.25">
      <c r="A131" s="151">
        <v>115</v>
      </c>
      <c r="B131" s="154" t="s">
        <v>16</v>
      </c>
      <c r="C131" s="153">
        <f t="shared" si="1"/>
        <v>44967</v>
      </c>
      <c r="D131" s="153"/>
      <c r="E131" s="153"/>
      <c r="F131" s="153"/>
      <c r="G131" s="153"/>
      <c r="H131" s="153"/>
      <c r="I131" s="150">
        <v>44967</v>
      </c>
      <c r="J131" s="150">
        <v>9316</v>
      </c>
      <c r="K131" s="150">
        <v>35651</v>
      </c>
    </row>
    <row r="132" spans="1:11" x14ac:dyDescent="0.25">
      <c r="A132" s="151">
        <v>116</v>
      </c>
      <c r="B132" s="152" t="s">
        <v>26</v>
      </c>
      <c r="C132" s="153">
        <f t="shared" si="1"/>
        <v>87998</v>
      </c>
      <c r="D132" s="153"/>
      <c r="E132" s="153"/>
      <c r="F132" s="153"/>
      <c r="G132" s="153"/>
      <c r="H132" s="153"/>
      <c r="I132" s="150">
        <v>87998</v>
      </c>
      <c r="J132" s="150">
        <v>24559</v>
      </c>
      <c r="K132" s="150">
        <v>63439</v>
      </c>
    </row>
    <row r="133" spans="1:11" x14ac:dyDescent="0.25">
      <c r="A133" s="151">
        <v>117</v>
      </c>
      <c r="B133" s="152" t="s">
        <v>31</v>
      </c>
      <c r="C133" s="153">
        <f t="shared" si="1"/>
        <v>77146</v>
      </c>
      <c r="D133" s="153"/>
      <c r="E133" s="153"/>
      <c r="F133" s="153"/>
      <c r="G133" s="153"/>
      <c r="H133" s="153"/>
      <c r="I133" s="150">
        <v>77146</v>
      </c>
      <c r="J133" s="150">
        <v>15095</v>
      </c>
      <c r="K133" s="150">
        <v>62051</v>
      </c>
    </row>
    <row r="134" spans="1:11" x14ac:dyDescent="0.25">
      <c r="A134" s="151">
        <v>118</v>
      </c>
      <c r="B134" s="154" t="s">
        <v>32</v>
      </c>
      <c r="C134" s="153">
        <f t="shared" si="1"/>
        <v>27502</v>
      </c>
      <c r="D134" s="153"/>
      <c r="E134" s="153"/>
      <c r="F134" s="153"/>
      <c r="G134" s="153"/>
      <c r="H134" s="153"/>
      <c r="I134" s="150">
        <v>27502</v>
      </c>
      <c r="J134" s="150">
        <v>7322</v>
      </c>
      <c r="K134" s="150">
        <v>20180</v>
      </c>
    </row>
    <row r="135" spans="1:11" x14ac:dyDescent="0.25">
      <c r="A135" s="151">
        <v>119</v>
      </c>
      <c r="B135" s="152" t="s">
        <v>35</v>
      </c>
      <c r="C135" s="153">
        <f t="shared" si="1"/>
        <v>42848</v>
      </c>
      <c r="D135" s="153"/>
      <c r="E135" s="153"/>
      <c r="F135" s="153"/>
      <c r="G135" s="153"/>
      <c r="H135" s="153"/>
      <c r="I135" s="150">
        <v>42848</v>
      </c>
      <c r="J135" s="150">
        <v>7160</v>
      </c>
      <c r="K135" s="150">
        <v>35688</v>
      </c>
    </row>
    <row r="136" spans="1:11" x14ac:dyDescent="0.25">
      <c r="A136" s="151">
        <v>120</v>
      </c>
      <c r="B136" s="154" t="s">
        <v>42</v>
      </c>
      <c r="C136" s="153">
        <f t="shared" si="1"/>
        <v>41611</v>
      </c>
      <c r="D136" s="153"/>
      <c r="E136" s="153"/>
      <c r="F136" s="153"/>
      <c r="G136" s="153"/>
      <c r="H136" s="153"/>
      <c r="I136" s="150">
        <v>41611</v>
      </c>
      <c r="J136" s="150">
        <v>10605</v>
      </c>
      <c r="K136" s="150">
        <v>31006</v>
      </c>
    </row>
    <row r="137" spans="1:11" x14ac:dyDescent="0.25">
      <c r="A137" s="151">
        <v>121</v>
      </c>
      <c r="B137" s="154" t="s">
        <v>21</v>
      </c>
      <c r="C137" s="153">
        <f t="shared" ref="C137:C170" si="2">D137+E137+F137+G137+H137+I137</f>
        <v>50630</v>
      </c>
      <c r="D137" s="153">
        <v>2503</v>
      </c>
      <c r="E137" s="153"/>
      <c r="F137" s="153"/>
      <c r="G137" s="153"/>
      <c r="H137" s="153"/>
      <c r="I137" s="150">
        <v>48127</v>
      </c>
      <c r="J137" s="150">
        <v>7919</v>
      </c>
      <c r="K137" s="150">
        <v>40208</v>
      </c>
    </row>
    <row r="138" spans="1:11" x14ac:dyDescent="0.25">
      <c r="A138" s="151">
        <v>122</v>
      </c>
      <c r="B138" s="152" t="s">
        <v>41</v>
      </c>
      <c r="C138" s="153">
        <f t="shared" si="2"/>
        <v>31621</v>
      </c>
      <c r="D138" s="153"/>
      <c r="E138" s="153"/>
      <c r="F138" s="153"/>
      <c r="G138" s="153"/>
      <c r="H138" s="153"/>
      <c r="I138" s="150">
        <v>31621</v>
      </c>
      <c r="J138" s="150">
        <v>7668</v>
      </c>
      <c r="K138" s="150">
        <v>23953</v>
      </c>
    </row>
    <row r="139" spans="1:11" x14ac:dyDescent="0.25">
      <c r="A139" s="151">
        <v>123</v>
      </c>
      <c r="B139" s="154" t="s">
        <v>48</v>
      </c>
      <c r="C139" s="153">
        <f t="shared" si="2"/>
        <v>47183</v>
      </c>
      <c r="D139" s="153"/>
      <c r="E139" s="153"/>
      <c r="F139" s="153"/>
      <c r="G139" s="153"/>
      <c r="H139" s="153"/>
      <c r="I139" s="150">
        <v>47183</v>
      </c>
      <c r="J139" s="150">
        <v>9656</v>
      </c>
      <c r="K139" s="150">
        <v>37527</v>
      </c>
    </row>
    <row r="140" spans="1:11" x14ac:dyDescent="0.25">
      <c r="A140" s="151">
        <v>124</v>
      </c>
      <c r="B140" s="154" t="s">
        <v>49</v>
      </c>
      <c r="C140" s="153">
        <f t="shared" si="2"/>
        <v>79417</v>
      </c>
      <c r="D140" s="153"/>
      <c r="E140" s="153"/>
      <c r="F140" s="153"/>
      <c r="G140" s="153"/>
      <c r="H140" s="153"/>
      <c r="I140" s="150">
        <v>79417</v>
      </c>
      <c r="J140" s="150">
        <v>20186</v>
      </c>
      <c r="K140" s="150">
        <v>59231</v>
      </c>
    </row>
    <row r="141" spans="1:11" x14ac:dyDescent="0.25">
      <c r="A141" s="151">
        <v>125</v>
      </c>
      <c r="B141" s="154" t="s">
        <v>14</v>
      </c>
      <c r="C141" s="153">
        <f t="shared" si="2"/>
        <v>37483</v>
      </c>
      <c r="D141" s="153"/>
      <c r="E141" s="153"/>
      <c r="F141" s="153"/>
      <c r="G141" s="153"/>
      <c r="H141" s="153"/>
      <c r="I141" s="150">
        <v>37483</v>
      </c>
      <c r="J141" s="150">
        <v>6928</v>
      </c>
      <c r="K141" s="150">
        <v>30555</v>
      </c>
    </row>
    <row r="142" spans="1:11" x14ac:dyDescent="0.25">
      <c r="A142" s="151">
        <v>126</v>
      </c>
      <c r="B142" s="158" t="s">
        <v>224</v>
      </c>
      <c r="C142" s="153">
        <f t="shared" si="2"/>
        <v>34894</v>
      </c>
      <c r="D142" s="153"/>
      <c r="E142" s="153"/>
      <c r="F142" s="153"/>
      <c r="G142" s="153"/>
      <c r="H142" s="153"/>
      <c r="I142" s="150">
        <v>34894</v>
      </c>
      <c r="J142" s="150">
        <v>7249</v>
      </c>
      <c r="K142" s="150">
        <v>27645</v>
      </c>
    </row>
    <row r="143" spans="1:11" x14ac:dyDescent="0.25">
      <c r="A143" s="151">
        <v>127</v>
      </c>
      <c r="B143" s="154" t="s">
        <v>152</v>
      </c>
      <c r="C143" s="153">
        <f t="shared" si="2"/>
        <v>1635</v>
      </c>
      <c r="D143" s="153"/>
      <c r="E143" s="153"/>
      <c r="F143" s="153"/>
      <c r="G143" s="153">
        <v>1635</v>
      </c>
      <c r="H143" s="153"/>
      <c r="I143" s="150">
        <v>0</v>
      </c>
      <c r="J143" s="150">
        <v>0</v>
      </c>
      <c r="K143" s="150">
        <v>0</v>
      </c>
    </row>
    <row r="144" spans="1:11" x14ac:dyDescent="0.25">
      <c r="A144" s="151">
        <v>128</v>
      </c>
      <c r="B144" s="158" t="s">
        <v>225</v>
      </c>
      <c r="C144" s="153">
        <f t="shared" si="2"/>
        <v>102</v>
      </c>
      <c r="D144" s="160"/>
      <c r="E144" s="160"/>
      <c r="F144" s="160">
        <v>102</v>
      </c>
      <c r="G144" s="160"/>
      <c r="H144" s="160"/>
      <c r="I144" s="150">
        <v>0</v>
      </c>
      <c r="J144" s="150">
        <v>0</v>
      </c>
      <c r="K144" s="150">
        <v>0</v>
      </c>
    </row>
    <row r="145" spans="1:11" x14ac:dyDescent="0.25">
      <c r="A145" s="151">
        <v>129</v>
      </c>
      <c r="B145" s="154" t="s">
        <v>226</v>
      </c>
      <c r="C145" s="153">
        <f t="shared" si="2"/>
        <v>0</v>
      </c>
      <c r="D145" s="153"/>
      <c r="E145" s="153"/>
      <c r="F145" s="153">
        <v>0</v>
      </c>
      <c r="G145" s="153"/>
      <c r="H145" s="153"/>
      <c r="I145" s="150">
        <v>0</v>
      </c>
      <c r="J145" s="150">
        <v>0</v>
      </c>
      <c r="K145" s="150">
        <v>0</v>
      </c>
    </row>
    <row r="146" spans="1:11" x14ac:dyDescent="0.25">
      <c r="A146" s="151">
        <v>130</v>
      </c>
      <c r="B146" s="152" t="s">
        <v>227</v>
      </c>
      <c r="C146" s="153">
        <f t="shared" si="2"/>
        <v>112</v>
      </c>
      <c r="D146" s="153"/>
      <c r="E146" s="153"/>
      <c r="F146" s="153">
        <v>112</v>
      </c>
      <c r="G146" s="153"/>
      <c r="H146" s="153"/>
      <c r="I146" s="150">
        <v>0</v>
      </c>
      <c r="J146" s="150">
        <v>0</v>
      </c>
      <c r="K146" s="150">
        <v>0</v>
      </c>
    </row>
    <row r="147" spans="1:11" x14ac:dyDescent="0.25">
      <c r="A147" s="151">
        <v>131</v>
      </c>
      <c r="B147" s="154" t="s">
        <v>228</v>
      </c>
      <c r="C147" s="153">
        <f t="shared" si="2"/>
        <v>50</v>
      </c>
      <c r="D147" s="153"/>
      <c r="E147" s="153"/>
      <c r="F147" s="153">
        <v>50</v>
      </c>
      <c r="G147" s="153"/>
      <c r="H147" s="153"/>
      <c r="I147" s="150">
        <v>0</v>
      </c>
      <c r="J147" s="150">
        <v>0</v>
      </c>
      <c r="K147" s="150">
        <v>0</v>
      </c>
    </row>
    <row r="148" spans="1:11" x14ac:dyDescent="0.25">
      <c r="A148" s="151">
        <v>132</v>
      </c>
      <c r="B148" s="158" t="s">
        <v>229</v>
      </c>
      <c r="C148" s="153">
        <f t="shared" si="2"/>
        <v>7844</v>
      </c>
      <c r="D148" s="153"/>
      <c r="E148" s="153"/>
      <c r="F148" s="153"/>
      <c r="G148" s="153">
        <v>7844</v>
      </c>
      <c r="H148" s="153"/>
      <c r="I148" s="150">
        <v>0</v>
      </c>
      <c r="J148" s="150">
        <v>0</v>
      </c>
      <c r="K148" s="150">
        <v>0</v>
      </c>
    </row>
    <row r="149" spans="1:11" x14ac:dyDescent="0.25">
      <c r="A149" s="151">
        <v>133</v>
      </c>
      <c r="B149" s="154" t="s">
        <v>84</v>
      </c>
      <c r="C149" s="153">
        <f t="shared" si="2"/>
        <v>28</v>
      </c>
      <c r="D149" s="153"/>
      <c r="E149" s="153"/>
      <c r="F149" s="153">
        <v>28</v>
      </c>
      <c r="G149" s="153"/>
      <c r="H149" s="153"/>
      <c r="I149" s="150">
        <v>0</v>
      </c>
      <c r="J149" s="150">
        <v>0</v>
      </c>
      <c r="K149" s="150">
        <v>0</v>
      </c>
    </row>
    <row r="150" spans="1:11" x14ac:dyDescent="0.25">
      <c r="A150" s="151">
        <v>134</v>
      </c>
      <c r="B150" s="154" t="s">
        <v>230</v>
      </c>
      <c r="C150" s="153">
        <f t="shared" si="2"/>
        <v>1</v>
      </c>
      <c r="D150" s="153"/>
      <c r="E150" s="153"/>
      <c r="F150" s="153">
        <v>1</v>
      </c>
      <c r="G150" s="153"/>
      <c r="H150" s="153"/>
      <c r="I150" s="150">
        <v>0</v>
      </c>
      <c r="J150" s="150">
        <v>0</v>
      </c>
      <c r="K150" s="150">
        <v>0</v>
      </c>
    </row>
    <row r="151" spans="1:11" x14ac:dyDescent="0.25">
      <c r="A151" s="151">
        <v>135</v>
      </c>
      <c r="B151" s="154" t="s">
        <v>73</v>
      </c>
      <c r="C151" s="153">
        <f t="shared" si="2"/>
        <v>184</v>
      </c>
      <c r="D151" s="153"/>
      <c r="E151" s="153"/>
      <c r="F151" s="153">
        <v>184</v>
      </c>
      <c r="G151" s="153"/>
      <c r="H151" s="153"/>
      <c r="I151" s="150">
        <v>0</v>
      </c>
      <c r="J151" s="150">
        <v>0</v>
      </c>
      <c r="K151" s="150">
        <v>0</v>
      </c>
    </row>
    <row r="152" spans="1:11" x14ac:dyDescent="0.25">
      <c r="A152" s="151">
        <v>136</v>
      </c>
      <c r="B152" s="154" t="s">
        <v>231</v>
      </c>
      <c r="C152" s="153">
        <f t="shared" si="2"/>
        <v>760</v>
      </c>
      <c r="D152" s="153"/>
      <c r="E152" s="153"/>
      <c r="F152" s="153"/>
      <c r="G152" s="153">
        <v>760</v>
      </c>
      <c r="H152" s="153"/>
      <c r="I152" s="150">
        <v>0</v>
      </c>
      <c r="J152" s="150">
        <v>0</v>
      </c>
      <c r="K152" s="150">
        <v>0</v>
      </c>
    </row>
    <row r="153" spans="1:11" x14ac:dyDescent="0.25">
      <c r="A153" s="151">
        <v>137</v>
      </c>
      <c r="B153" s="154" t="s">
        <v>85</v>
      </c>
      <c r="C153" s="153">
        <f t="shared" si="2"/>
        <v>28</v>
      </c>
      <c r="D153" s="153"/>
      <c r="E153" s="153"/>
      <c r="F153" s="153">
        <v>28</v>
      </c>
      <c r="G153" s="153"/>
      <c r="H153" s="153"/>
      <c r="I153" s="150">
        <v>0</v>
      </c>
      <c r="J153" s="150">
        <v>0</v>
      </c>
      <c r="K153" s="150">
        <v>0</v>
      </c>
    </row>
    <row r="154" spans="1:11" x14ac:dyDescent="0.25">
      <c r="A154" s="151">
        <v>138</v>
      </c>
      <c r="B154" s="154" t="s">
        <v>232</v>
      </c>
      <c r="C154" s="153">
        <f t="shared" si="2"/>
        <v>0</v>
      </c>
      <c r="D154" s="153"/>
      <c r="E154" s="153"/>
      <c r="F154" s="153">
        <v>0</v>
      </c>
      <c r="G154" s="153"/>
      <c r="H154" s="153"/>
      <c r="I154" s="150">
        <v>0</v>
      </c>
      <c r="J154" s="150">
        <v>0</v>
      </c>
      <c r="K154" s="150">
        <v>0</v>
      </c>
    </row>
    <row r="155" spans="1:11" x14ac:dyDescent="0.25">
      <c r="A155" s="151">
        <v>139</v>
      </c>
      <c r="B155" s="154" t="s">
        <v>233</v>
      </c>
      <c r="C155" s="153">
        <f t="shared" si="2"/>
        <v>22</v>
      </c>
      <c r="D155" s="153"/>
      <c r="E155" s="153"/>
      <c r="F155" s="153">
        <v>22</v>
      </c>
      <c r="G155" s="153"/>
      <c r="H155" s="153"/>
      <c r="I155" s="150">
        <v>0</v>
      </c>
      <c r="J155" s="150">
        <v>0</v>
      </c>
      <c r="K155" s="150">
        <v>0</v>
      </c>
    </row>
    <row r="156" spans="1:11" x14ac:dyDescent="0.25">
      <c r="A156" s="151">
        <v>140</v>
      </c>
      <c r="B156" s="154" t="s">
        <v>234</v>
      </c>
      <c r="C156" s="153">
        <f t="shared" si="2"/>
        <v>2976</v>
      </c>
      <c r="D156" s="153"/>
      <c r="E156" s="153"/>
      <c r="F156" s="153"/>
      <c r="G156" s="153">
        <v>2976</v>
      </c>
      <c r="H156" s="153"/>
      <c r="I156" s="150">
        <v>0</v>
      </c>
      <c r="J156" s="150">
        <v>0</v>
      </c>
      <c r="K156" s="150">
        <v>0</v>
      </c>
    </row>
    <row r="157" spans="1:11" x14ac:dyDescent="0.25">
      <c r="A157" s="151">
        <v>141</v>
      </c>
      <c r="B157" s="154" t="s">
        <v>235</v>
      </c>
      <c r="C157" s="153">
        <f t="shared" si="2"/>
        <v>28</v>
      </c>
      <c r="D157" s="160"/>
      <c r="E157" s="160"/>
      <c r="F157" s="160">
        <v>28</v>
      </c>
      <c r="G157" s="160"/>
      <c r="H157" s="160"/>
      <c r="I157" s="150">
        <v>0</v>
      </c>
      <c r="J157" s="150">
        <v>0</v>
      </c>
      <c r="K157" s="150">
        <v>0</v>
      </c>
    </row>
    <row r="158" spans="1:11" x14ac:dyDescent="0.25">
      <c r="A158" s="151">
        <v>142</v>
      </c>
      <c r="B158" s="154" t="s">
        <v>236</v>
      </c>
      <c r="C158" s="153">
        <f t="shared" si="2"/>
        <v>28</v>
      </c>
      <c r="D158" s="160"/>
      <c r="E158" s="160"/>
      <c r="F158" s="160">
        <v>28</v>
      </c>
      <c r="G158" s="160"/>
      <c r="H158" s="160"/>
      <c r="I158" s="150">
        <v>0</v>
      </c>
      <c r="J158" s="150">
        <v>0</v>
      </c>
      <c r="K158" s="150">
        <v>0</v>
      </c>
    </row>
    <row r="159" spans="1:11" ht="19.5" customHeight="1" x14ac:dyDescent="0.25">
      <c r="A159" s="151">
        <v>143</v>
      </c>
      <c r="B159" s="154" t="s">
        <v>237</v>
      </c>
      <c r="C159" s="153">
        <f t="shared" si="2"/>
        <v>28</v>
      </c>
      <c r="D159" s="160"/>
      <c r="E159" s="160"/>
      <c r="F159" s="160">
        <v>28</v>
      </c>
      <c r="G159" s="160"/>
      <c r="H159" s="160"/>
      <c r="I159" s="150">
        <v>0</v>
      </c>
      <c r="J159" s="150">
        <v>0</v>
      </c>
      <c r="K159" s="150">
        <v>0</v>
      </c>
    </row>
    <row r="160" spans="1:11" x14ac:dyDescent="0.25">
      <c r="A160" s="151">
        <v>144</v>
      </c>
      <c r="B160" s="154" t="s">
        <v>153</v>
      </c>
      <c r="C160" s="153">
        <f t="shared" si="2"/>
        <v>192</v>
      </c>
      <c r="D160" s="153"/>
      <c r="E160" s="153"/>
      <c r="F160" s="153"/>
      <c r="G160" s="153">
        <v>192</v>
      </c>
      <c r="H160" s="153"/>
      <c r="I160" s="150">
        <v>0</v>
      </c>
      <c r="J160" s="150">
        <v>0</v>
      </c>
      <c r="K160" s="150">
        <v>0</v>
      </c>
    </row>
    <row r="161" spans="1:11" x14ac:dyDescent="0.25">
      <c r="A161" s="151">
        <v>145</v>
      </c>
      <c r="B161" s="154" t="s">
        <v>74</v>
      </c>
      <c r="C161" s="153">
        <f t="shared" si="2"/>
        <v>764</v>
      </c>
      <c r="D161" s="153"/>
      <c r="E161" s="153"/>
      <c r="F161" s="153"/>
      <c r="G161" s="153">
        <v>764</v>
      </c>
      <c r="H161" s="153"/>
      <c r="I161" s="150">
        <v>0</v>
      </c>
      <c r="J161" s="150">
        <v>0</v>
      </c>
      <c r="K161" s="150">
        <v>0</v>
      </c>
    </row>
    <row r="162" spans="1:11" x14ac:dyDescent="0.25">
      <c r="A162" s="151">
        <v>146</v>
      </c>
      <c r="B162" s="154" t="s">
        <v>63</v>
      </c>
      <c r="C162" s="153">
        <f t="shared" si="2"/>
        <v>1932</v>
      </c>
      <c r="D162" s="153"/>
      <c r="E162" s="153"/>
      <c r="F162" s="153"/>
      <c r="G162" s="153">
        <v>183</v>
      </c>
      <c r="H162" s="153">
        <v>1749</v>
      </c>
      <c r="I162" s="150">
        <v>0</v>
      </c>
      <c r="J162" s="150">
        <v>0</v>
      </c>
      <c r="K162" s="150">
        <v>0</v>
      </c>
    </row>
    <row r="163" spans="1:11" x14ac:dyDescent="0.25">
      <c r="A163" s="151">
        <v>147</v>
      </c>
      <c r="B163" s="154" t="s">
        <v>75</v>
      </c>
      <c r="C163" s="153">
        <f t="shared" si="2"/>
        <v>23691</v>
      </c>
      <c r="D163" s="153"/>
      <c r="E163" s="153"/>
      <c r="F163" s="153">
        <v>23691</v>
      </c>
      <c r="G163" s="153"/>
      <c r="H163" s="153"/>
      <c r="I163" s="150">
        <v>0</v>
      </c>
      <c r="J163" s="150">
        <v>0</v>
      </c>
      <c r="K163" s="150">
        <v>0</v>
      </c>
    </row>
    <row r="164" spans="1:11" x14ac:dyDescent="0.25">
      <c r="A164" s="151">
        <v>148</v>
      </c>
      <c r="B164" s="154" t="s">
        <v>96</v>
      </c>
      <c r="C164" s="153">
        <f t="shared" si="2"/>
        <v>35562</v>
      </c>
      <c r="D164" s="153"/>
      <c r="E164" s="153"/>
      <c r="F164" s="153">
        <v>35562</v>
      </c>
      <c r="G164" s="153"/>
      <c r="H164" s="153"/>
      <c r="I164" s="150">
        <v>0</v>
      </c>
      <c r="J164" s="150">
        <v>0</v>
      </c>
      <c r="K164" s="150">
        <v>0</v>
      </c>
    </row>
    <row r="165" spans="1:11" x14ac:dyDescent="0.25">
      <c r="A165" s="151">
        <v>149</v>
      </c>
      <c r="B165" s="154" t="s">
        <v>76</v>
      </c>
      <c r="C165" s="153">
        <f t="shared" si="2"/>
        <v>35581</v>
      </c>
      <c r="D165" s="153"/>
      <c r="E165" s="153"/>
      <c r="F165" s="153">
        <v>35581</v>
      </c>
      <c r="G165" s="153"/>
      <c r="H165" s="153"/>
      <c r="I165" s="150">
        <v>0</v>
      </c>
      <c r="J165" s="150">
        <v>0</v>
      </c>
      <c r="K165" s="150">
        <v>0</v>
      </c>
    </row>
    <row r="166" spans="1:11" x14ac:dyDescent="0.25">
      <c r="A166" s="396">
        <v>150</v>
      </c>
      <c r="B166" s="154" t="s">
        <v>77</v>
      </c>
      <c r="C166" s="153">
        <f t="shared" si="2"/>
        <v>79411</v>
      </c>
      <c r="D166" s="153"/>
      <c r="E166" s="153">
        <v>7530</v>
      </c>
      <c r="F166" s="153"/>
      <c r="G166" s="153"/>
      <c r="H166" s="153">
        <v>5422</v>
      </c>
      <c r="I166" s="150">
        <v>66459</v>
      </c>
      <c r="J166" s="150">
        <v>16256</v>
      </c>
      <c r="K166" s="150">
        <v>50203</v>
      </c>
    </row>
    <row r="167" spans="1:11" ht="38.25" x14ac:dyDescent="0.25">
      <c r="A167" s="398"/>
      <c r="B167" s="159" t="s">
        <v>238</v>
      </c>
      <c r="C167" s="153">
        <f t="shared" si="2"/>
        <v>129687</v>
      </c>
      <c r="D167" s="155"/>
      <c r="E167" s="155"/>
      <c r="F167" s="155"/>
      <c r="G167" s="155"/>
      <c r="H167" s="155"/>
      <c r="I167" s="150">
        <v>129687</v>
      </c>
      <c r="J167" s="150">
        <v>23812</v>
      </c>
      <c r="K167" s="150">
        <v>105875</v>
      </c>
    </row>
    <row r="168" spans="1:11" x14ac:dyDescent="0.25">
      <c r="A168" s="151">
        <v>151</v>
      </c>
      <c r="B168" s="154" t="s">
        <v>239</v>
      </c>
      <c r="C168" s="153">
        <f t="shared" si="2"/>
        <v>13410</v>
      </c>
      <c r="D168" s="153"/>
      <c r="E168" s="153"/>
      <c r="F168" s="153">
        <v>13410</v>
      </c>
      <c r="G168" s="153"/>
      <c r="H168" s="153"/>
      <c r="I168" s="150">
        <v>0</v>
      </c>
      <c r="J168" s="150">
        <v>0</v>
      </c>
      <c r="K168" s="150">
        <v>0</v>
      </c>
    </row>
    <row r="169" spans="1:11" x14ac:dyDescent="0.25">
      <c r="A169" s="151">
        <v>152</v>
      </c>
      <c r="B169" s="154" t="s">
        <v>86</v>
      </c>
      <c r="C169" s="153">
        <f t="shared" si="2"/>
        <v>894</v>
      </c>
      <c r="D169" s="153"/>
      <c r="E169" s="153"/>
      <c r="F169" s="153">
        <v>894</v>
      </c>
      <c r="G169" s="153"/>
      <c r="H169" s="153"/>
      <c r="I169" s="150">
        <v>0</v>
      </c>
      <c r="J169" s="150">
        <v>0</v>
      </c>
      <c r="K169" s="150">
        <v>0</v>
      </c>
    </row>
    <row r="170" spans="1:11" x14ac:dyDescent="0.25">
      <c r="A170" s="151">
        <v>153</v>
      </c>
      <c r="B170" s="154" t="s">
        <v>240</v>
      </c>
      <c r="C170" s="153">
        <f t="shared" si="2"/>
        <v>157</v>
      </c>
      <c r="D170" s="153">
        <v>157</v>
      </c>
      <c r="E170" s="153"/>
      <c r="F170" s="153"/>
      <c r="G170" s="153"/>
      <c r="H170" s="153"/>
      <c r="I170" s="150">
        <v>0</v>
      </c>
      <c r="J170" s="150">
        <v>0</v>
      </c>
      <c r="K170" s="150">
        <v>0</v>
      </c>
    </row>
    <row r="171" spans="1:11" x14ac:dyDescent="0.25">
      <c r="A171" s="151"/>
      <c r="B171" s="154" t="s">
        <v>65</v>
      </c>
      <c r="C171" s="153">
        <v>20221</v>
      </c>
      <c r="D171" s="153"/>
      <c r="E171" s="153"/>
      <c r="F171" s="153"/>
      <c r="G171" s="153"/>
      <c r="H171" s="153"/>
      <c r="I171" s="150">
        <v>0</v>
      </c>
      <c r="J171" s="150">
        <v>0</v>
      </c>
      <c r="K171" s="150">
        <v>0</v>
      </c>
    </row>
    <row r="172" spans="1:11" x14ac:dyDescent="0.25">
      <c r="A172" s="151"/>
      <c r="B172" s="161" t="s">
        <v>241</v>
      </c>
      <c r="C172" s="153">
        <v>1445</v>
      </c>
      <c r="D172" s="153"/>
      <c r="E172" s="153"/>
      <c r="F172" s="153"/>
      <c r="G172" s="153">
        <v>1445</v>
      </c>
      <c r="H172" s="153"/>
      <c r="I172" s="150">
        <v>0</v>
      </c>
      <c r="J172" s="150">
        <v>0</v>
      </c>
      <c r="K172" s="150">
        <v>0</v>
      </c>
    </row>
    <row r="173" spans="1:11" x14ac:dyDescent="0.25">
      <c r="A173" s="162"/>
      <c r="B173" s="162" t="s">
        <v>87</v>
      </c>
      <c r="C173" s="163">
        <f>SUM(C8:C172)</f>
        <v>7129165</v>
      </c>
      <c r="D173" s="163">
        <f t="shared" ref="D173:K173" si="3">SUM(D8:D172)</f>
        <v>30267</v>
      </c>
      <c r="E173" s="163">
        <f t="shared" si="3"/>
        <v>53676</v>
      </c>
      <c r="F173" s="163">
        <f t="shared" si="3"/>
        <v>466862</v>
      </c>
      <c r="G173" s="163">
        <f t="shared" si="3"/>
        <v>15799</v>
      </c>
      <c r="H173" s="163">
        <f t="shared" si="3"/>
        <v>23667</v>
      </c>
      <c r="I173" s="163">
        <f t="shared" si="3"/>
        <v>6518673</v>
      </c>
      <c r="J173" s="163">
        <f t="shared" si="3"/>
        <v>1489436</v>
      </c>
      <c r="K173" s="163">
        <f t="shared" si="3"/>
        <v>5029237</v>
      </c>
    </row>
  </sheetData>
  <mergeCells count="21">
    <mergeCell ref="A52:A54"/>
    <mergeCell ref="A57:A58"/>
    <mergeCell ref="A118:A119"/>
    <mergeCell ref="A123:A124"/>
    <mergeCell ref="A166:A167"/>
    <mergeCell ref="A46:A48"/>
    <mergeCell ref="A1:K1"/>
    <mergeCell ref="A4:A7"/>
    <mergeCell ref="B4:B7"/>
    <mergeCell ref="C4:C7"/>
    <mergeCell ref="D4:K4"/>
    <mergeCell ref="D5:D7"/>
    <mergeCell ref="E5:E7"/>
    <mergeCell ref="F5:F7"/>
    <mergeCell ref="G5:G7"/>
    <mergeCell ref="H5:H7"/>
    <mergeCell ref="I5:K5"/>
    <mergeCell ref="I6:I7"/>
    <mergeCell ref="J6:K6"/>
    <mergeCell ref="A12:A13"/>
    <mergeCell ref="A42:A4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5"/>
  <sheetViews>
    <sheetView workbookViewId="0">
      <pane xSplit="2" ySplit="8" topLeftCell="C159" activePane="bottomRight" state="frozen"/>
      <selection pane="topRight" activeCell="C1" sqref="C1"/>
      <selection pane="bottomLeft" activeCell="A9" sqref="A9"/>
      <selection pane="bottomRight" activeCell="H172" sqref="H172"/>
    </sheetView>
  </sheetViews>
  <sheetFormatPr defaultRowHeight="15" x14ac:dyDescent="0.25"/>
  <cols>
    <col min="1" max="1" width="5" customWidth="1"/>
    <col min="2" max="2" width="34.42578125" customWidth="1"/>
  </cols>
  <sheetData>
    <row r="2" spans="1:15" x14ac:dyDescent="0.25">
      <c r="A2" s="404" t="s">
        <v>0</v>
      </c>
      <c r="B2" s="404" t="s">
        <v>149</v>
      </c>
      <c r="C2" s="404" t="s">
        <v>242</v>
      </c>
      <c r="D2" s="404" t="s">
        <v>98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24" customHeight="1" x14ac:dyDescent="0.25">
      <c r="A3" s="404"/>
      <c r="B3" s="404"/>
      <c r="C3" s="404"/>
      <c r="D3" s="404" t="s">
        <v>243</v>
      </c>
      <c r="E3" s="404"/>
      <c r="F3" s="404"/>
      <c r="G3" s="404"/>
      <c r="H3" s="404"/>
      <c r="I3" s="404" t="s">
        <v>244</v>
      </c>
      <c r="J3" s="404"/>
      <c r="K3" s="404"/>
      <c r="L3" s="404"/>
      <c r="M3" s="404" t="s">
        <v>245</v>
      </c>
      <c r="N3" s="404" t="s">
        <v>157</v>
      </c>
      <c r="O3" s="404"/>
    </row>
    <row r="4" spans="1:15" ht="41.25" customHeight="1" x14ac:dyDescent="0.25">
      <c r="A4" s="404"/>
      <c r="B4" s="404"/>
      <c r="C4" s="404"/>
      <c r="D4" s="404" t="s">
        <v>88</v>
      </c>
      <c r="E4" s="404" t="s">
        <v>98</v>
      </c>
      <c r="F4" s="404"/>
      <c r="G4" s="404"/>
      <c r="H4" s="404"/>
      <c r="I4" s="404" t="s">
        <v>88</v>
      </c>
      <c r="J4" s="404" t="s">
        <v>83</v>
      </c>
      <c r="K4" s="404"/>
      <c r="L4" s="404"/>
      <c r="M4" s="404"/>
      <c r="N4" s="404" t="s">
        <v>275</v>
      </c>
      <c r="O4" s="404"/>
    </row>
    <row r="5" spans="1:15" ht="56.25" customHeight="1" x14ac:dyDescent="0.25">
      <c r="A5" s="404"/>
      <c r="B5" s="404"/>
      <c r="C5" s="404"/>
      <c r="D5" s="404"/>
      <c r="E5" s="406" t="s">
        <v>276</v>
      </c>
      <c r="F5" s="406"/>
      <c r="G5" s="404" t="s">
        <v>246</v>
      </c>
      <c r="H5" s="404"/>
      <c r="I5" s="404"/>
      <c r="J5" s="404" t="s">
        <v>277</v>
      </c>
      <c r="K5" s="404"/>
      <c r="L5" s="404" t="s">
        <v>247</v>
      </c>
      <c r="M5" s="404"/>
      <c r="N5" s="404"/>
      <c r="O5" s="404"/>
    </row>
    <row r="6" spans="1:15" x14ac:dyDescent="0.25">
      <c r="A6" s="404"/>
      <c r="B6" s="404"/>
      <c r="C6" s="404"/>
      <c r="D6" s="404"/>
      <c r="E6" s="406"/>
      <c r="F6" s="406"/>
      <c r="G6" s="404"/>
      <c r="H6" s="404"/>
      <c r="I6" s="404"/>
      <c r="J6" s="404" t="s">
        <v>278</v>
      </c>
      <c r="K6" s="404"/>
      <c r="L6" s="404"/>
      <c r="M6" s="404"/>
      <c r="N6" s="404"/>
      <c r="O6" s="404"/>
    </row>
    <row r="7" spans="1:15" ht="60" x14ac:dyDescent="0.25">
      <c r="A7" s="404"/>
      <c r="B7" s="404"/>
      <c r="C7" s="404"/>
      <c r="D7" s="404"/>
      <c r="E7" s="132" t="s">
        <v>279</v>
      </c>
      <c r="F7" s="132" t="s">
        <v>165</v>
      </c>
      <c r="G7" s="132" t="s">
        <v>279</v>
      </c>
      <c r="H7" s="132" t="s">
        <v>165</v>
      </c>
      <c r="I7" s="404"/>
      <c r="J7" s="132" t="s">
        <v>279</v>
      </c>
      <c r="K7" s="132" t="s">
        <v>165</v>
      </c>
      <c r="L7" s="133" t="s">
        <v>280</v>
      </c>
      <c r="M7" s="404"/>
      <c r="N7" s="132" t="s">
        <v>279</v>
      </c>
      <c r="O7" s="132" t="s">
        <v>165</v>
      </c>
    </row>
    <row r="8" spans="1:15" x14ac:dyDescent="0.25">
      <c r="A8" s="133">
        <v>1</v>
      </c>
      <c r="B8" s="133">
        <v>2</v>
      </c>
      <c r="C8" s="133">
        <v>3</v>
      </c>
      <c r="D8" s="133">
        <v>4</v>
      </c>
      <c r="E8" s="133" t="s">
        <v>281</v>
      </c>
      <c r="F8" s="133">
        <v>6</v>
      </c>
      <c r="G8" s="133" t="s">
        <v>282</v>
      </c>
      <c r="H8" s="133" t="s">
        <v>283</v>
      </c>
      <c r="I8" s="133">
        <v>9</v>
      </c>
      <c r="J8" s="133" t="s">
        <v>284</v>
      </c>
      <c r="K8" s="133" t="s">
        <v>285</v>
      </c>
      <c r="L8" s="133">
        <v>12</v>
      </c>
      <c r="M8" s="133">
        <v>13</v>
      </c>
      <c r="N8" s="134">
        <v>14</v>
      </c>
      <c r="O8" s="134">
        <v>15</v>
      </c>
    </row>
    <row r="9" spans="1:15" ht="20.25" customHeight="1" x14ac:dyDescent="0.25">
      <c r="A9" s="135">
        <v>1</v>
      </c>
      <c r="B9" s="136" t="s">
        <v>13</v>
      </c>
      <c r="C9" s="137">
        <f t="shared" ref="C9:C35" si="0">D9+I9+M9</f>
        <v>156509</v>
      </c>
      <c r="D9" s="137">
        <v>12868</v>
      </c>
      <c r="E9" s="134">
        <v>627</v>
      </c>
      <c r="F9" s="137">
        <v>1328</v>
      </c>
      <c r="G9" s="137">
        <v>6147</v>
      </c>
      <c r="H9" s="137">
        <v>4766</v>
      </c>
      <c r="I9" s="137">
        <v>8846</v>
      </c>
      <c r="J9" s="137">
        <v>2656</v>
      </c>
      <c r="K9" s="137">
        <v>5686</v>
      </c>
      <c r="L9" s="134">
        <v>504</v>
      </c>
      <c r="M9" s="137">
        <f>'[6]Проф.с иными целями Пр.116.'!C10</f>
        <v>134795</v>
      </c>
      <c r="N9" s="134">
        <v>693</v>
      </c>
      <c r="O9" s="137">
        <v>1418</v>
      </c>
    </row>
    <row r="10" spans="1:15" ht="39.75" customHeight="1" x14ac:dyDescent="0.25">
      <c r="A10" s="135">
        <v>2</v>
      </c>
      <c r="B10" s="136" t="s">
        <v>166</v>
      </c>
      <c r="C10" s="137">
        <f t="shared" si="0"/>
        <v>1403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7">
        <f>'[6]Проф.с иными целями Пр.116.'!C11</f>
        <v>1403</v>
      </c>
      <c r="N10" s="134">
        <v>0</v>
      </c>
      <c r="O10" s="134">
        <v>0</v>
      </c>
    </row>
    <row r="11" spans="1:15" ht="21.75" customHeight="1" x14ac:dyDescent="0.25">
      <c r="A11" s="135">
        <v>3</v>
      </c>
      <c r="B11" s="136" t="s">
        <v>22</v>
      </c>
      <c r="C11" s="137">
        <f t="shared" si="0"/>
        <v>155063</v>
      </c>
      <c r="D11" s="137">
        <v>12053</v>
      </c>
      <c r="E11" s="134">
        <v>748</v>
      </c>
      <c r="F11" s="137">
        <v>1245</v>
      </c>
      <c r="G11" s="137">
        <v>5239</v>
      </c>
      <c r="H11" s="137">
        <v>4821</v>
      </c>
      <c r="I11" s="137">
        <v>8671</v>
      </c>
      <c r="J11" s="137">
        <v>2178</v>
      </c>
      <c r="K11" s="137">
        <v>6325</v>
      </c>
      <c r="L11" s="134">
        <v>168</v>
      </c>
      <c r="M11" s="137">
        <f>'[6]Проф.с иными целями Пр.116.'!C12</f>
        <v>134339</v>
      </c>
      <c r="N11" s="134">
        <v>585</v>
      </c>
      <c r="O11" s="137">
        <v>1567</v>
      </c>
    </row>
    <row r="12" spans="1:15" ht="28.5" customHeight="1" x14ac:dyDescent="0.25">
      <c r="A12" s="135">
        <v>4</v>
      </c>
      <c r="B12" s="136" t="s">
        <v>167</v>
      </c>
      <c r="C12" s="137">
        <f t="shared" si="0"/>
        <v>1297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7">
        <f>'[6]Проф.с иными целями Пр.116.'!C13</f>
        <v>1297</v>
      </c>
      <c r="N12" s="134">
        <v>0</v>
      </c>
      <c r="O12" s="134">
        <v>0</v>
      </c>
    </row>
    <row r="13" spans="1:15" x14ac:dyDescent="0.25">
      <c r="A13" s="405">
        <v>5</v>
      </c>
      <c r="B13" s="136" t="s">
        <v>66</v>
      </c>
      <c r="C13" s="137">
        <f t="shared" si="0"/>
        <v>365702</v>
      </c>
      <c r="D13" s="137">
        <v>30606</v>
      </c>
      <c r="E13" s="137">
        <v>1593</v>
      </c>
      <c r="F13" s="137">
        <v>3044</v>
      </c>
      <c r="G13" s="137">
        <v>11737</v>
      </c>
      <c r="H13" s="137">
        <v>14232</v>
      </c>
      <c r="I13" s="137">
        <v>19951</v>
      </c>
      <c r="J13" s="137">
        <v>6441</v>
      </c>
      <c r="K13" s="137">
        <v>13345</v>
      </c>
      <c r="L13" s="134">
        <v>165</v>
      </c>
      <c r="M13" s="137">
        <f>'[6]Проф.с иными целями Пр.116.'!C14</f>
        <v>315145</v>
      </c>
      <c r="N13" s="137">
        <v>2010</v>
      </c>
      <c r="O13" s="137">
        <v>2996</v>
      </c>
    </row>
    <row r="14" spans="1:15" ht="36" x14ac:dyDescent="0.25">
      <c r="A14" s="405"/>
      <c r="B14" s="138" t="s">
        <v>168</v>
      </c>
      <c r="C14" s="137">
        <f t="shared" si="0"/>
        <v>46505</v>
      </c>
      <c r="D14" s="137">
        <v>2859</v>
      </c>
      <c r="E14" s="134">
        <v>220</v>
      </c>
      <c r="F14" s="134">
        <v>422</v>
      </c>
      <c r="G14" s="134">
        <v>952</v>
      </c>
      <c r="H14" s="137">
        <v>1265</v>
      </c>
      <c r="I14" s="137">
        <v>2762</v>
      </c>
      <c r="J14" s="134">
        <v>862</v>
      </c>
      <c r="K14" s="137">
        <v>1875</v>
      </c>
      <c r="L14" s="134">
        <v>25</v>
      </c>
      <c r="M14" s="137">
        <f>'[6]Проф.с иными целями Пр.116.'!C15</f>
        <v>40884</v>
      </c>
      <c r="N14" s="134">
        <v>289</v>
      </c>
      <c r="O14" s="134">
        <v>404</v>
      </c>
    </row>
    <row r="15" spans="1:15" x14ac:dyDescent="0.25">
      <c r="A15" s="135">
        <v>6</v>
      </c>
      <c r="B15" s="136" t="s">
        <v>51</v>
      </c>
      <c r="C15" s="137">
        <f t="shared" si="0"/>
        <v>114501</v>
      </c>
      <c r="D15" s="137">
        <v>9438</v>
      </c>
      <c r="E15" s="134">
        <v>454</v>
      </c>
      <c r="F15" s="137">
        <v>1069</v>
      </c>
      <c r="G15" s="137">
        <v>3114</v>
      </c>
      <c r="H15" s="137">
        <v>4801</v>
      </c>
      <c r="I15" s="137">
        <v>6740</v>
      </c>
      <c r="J15" s="137">
        <v>2005</v>
      </c>
      <c r="K15" s="137">
        <v>4494</v>
      </c>
      <c r="L15" s="134">
        <v>241</v>
      </c>
      <c r="M15" s="137">
        <f>'[6]Проф.с иными целями Пр.116.'!C16</f>
        <v>98323</v>
      </c>
      <c r="N15" s="134">
        <v>494</v>
      </c>
      <c r="O15" s="137">
        <v>1150</v>
      </c>
    </row>
    <row r="16" spans="1:15" x14ac:dyDescent="0.25">
      <c r="A16" s="135">
        <v>7</v>
      </c>
      <c r="B16" s="136" t="s">
        <v>4</v>
      </c>
      <c r="C16" s="137">
        <f t="shared" si="0"/>
        <v>49179</v>
      </c>
      <c r="D16" s="137">
        <v>4344</v>
      </c>
      <c r="E16" s="134">
        <v>198</v>
      </c>
      <c r="F16" s="134">
        <v>464</v>
      </c>
      <c r="G16" s="137">
        <v>1109</v>
      </c>
      <c r="H16" s="137">
        <v>2573</v>
      </c>
      <c r="I16" s="137">
        <v>2904</v>
      </c>
      <c r="J16" s="134">
        <v>524</v>
      </c>
      <c r="K16" s="137">
        <v>2300</v>
      </c>
      <c r="L16" s="134">
        <v>80</v>
      </c>
      <c r="M16" s="137">
        <f>'[6]Проф.с иными целями Пр.116.'!C17</f>
        <v>41931</v>
      </c>
      <c r="N16" s="134">
        <v>298</v>
      </c>
      <c r="O16" s="134">
        <v>416</v>
      </c>
    </row>
    <row r="17" spans="1:15" x14ac:dyDescent="0.25">
      <c r="A17" s="135">
        <v>8</v>
      </c>
      <c r="B17" s="136" t="s">
        <v>8</v>
      </c>
      <c r="C17" s="137">
        <f t="shared" si="0"/>
        <v>51080</v>
      </c>
      <c r="D17" s="137">
        <v>4055</v>
      </c>
      <c r="E17" s="134">
        <v>249</v>
      </c>
      <c r="F17" s="134">
        <v>438</v>
      </c>
      <c r="G17" s="137">
        <v>1403</v>
      </c>
      <c r="H17" s="137">
        <v>1965</v>
      </c>
      <c r="I17" s="137">
        <v>3054</v>
      </c>
      <c r="J17" s="134">
        <v>857</v>
      </c>
      <c r="K17" s="137">
        <v>2077</v>
      </c>
      <c r="L17" s="134">
        <v>120</v>
      </c>
      <c r="M17" s="137">
        <f>'[6]Проф.с иными целями Пр.116.'!C18</f>
        <v>43971</v>
      </c>
      <c r="N17" s="134">
        <v>217</v>
      </c>
      <c r="O17" s="134">
        <v>525</v>
      </c>
    </row>
    <row r="18" spans="1:15" x14ac:dyDescent="0.25">
      <c r="A18" s="135">
        <v>9</v>
      </c>
      <c r="B18" s="136" t="s">
        <v>17</v>
      </c>
      <c r="C18" s="137">
        <f t="shared" si="0"/>
        <v>55158</v>
      </c>
      <c r="D18" s="137">
        <v>4127</v>
      </c>
      <c r="E18" s="134">
        <v>264</v>
      </c>
      <c r="F18" s="134">
        <v>521</v>
      </c>
      <c r="G18" s="137">
        <v>1179</v>
      </c>
      <c r="H18" s="137">
        <v>2163</v>
      </c>
      <c r="I18" s="137">
        <v>3412</v>
      </c>
      <c r="J18" s="137">
        <v>1029</v>
      </c>
      <c r="K18" s="137">
        <v>2320</v>
      </c>
      <c r="L18" s="134">
        <v>63</v>
      </c>
      <c r="M18" s="137">
        <f>'[6]Проф.с иными целями Пр.116.'!C19</f>
        <v>47619</v>
      </c>
      <c r="N18" s="134">
        <v>285</v>
      </c>
      <c r="O18" s="134">
        <v>562</v>
      </c>
    </row>
    <row r="19" spans="1:15" x14ac:dyDescent="0.25">
      <c r="A19" s="135">
        <v>10</v>
      </c>
      <c r="B19" s="136" t="s">
        <v>44</v>
      </c>
      <c r="C19" s="137">
        <f t="shared" si="0"/>
        <v>59441</v>
      </c>
      <c r="D19" s="137">
        <v>5008</v>
      </c>
      <c r="E19" s="134">
        <v>248</v>
      </c>
      <c r="F19" s="134">
        <v>555</v>
      </c>
      <c r="G19" s="137">
        <v>1471</v>
      </c>
      <c r="H19" s="137">
        <v>2734</v>
      </c>
      <c r="I19" s="137">
        <v>3504</v>
      </c>
      <c r="J19" s="137">
        <v>1113</v>
      </c>
      <c r="K19" s="137">
        <v>2313</v>
      </c>
      <c r="L19" s="134">
        <v>78</v>
      </c>
      <c r="M19" s="137">
        <f>'[6]Проф.с иными целями Пр.116.'!C20</f>
        <v>50929</v>
      </c>
      <c r="N19" s="134">
        <v>347</v>
      </c>
      <c r="O19" s="134">
        <v>520</v>
      </c>
    </row>
    <row r="20" spans="1:15" x14ac:dyDescent="0.25">
      <c r="A20" s="135">
        <v>11</v>
      </c>
      <c r="B20" s="136" t="s">
        <v>29</v>
      </c>
      <c r="C20" s="137">
        <f t="shared" si="0"/>
        <v>62053</v>
      </c>
      <c r="D20" s="137">
        <v>5372</v>
      </c>
      <c r="E20" s="134">
        <v>352</v>
      </c>
      <c r="F20" s="134">
        <v>480</v>
      </c>
      <c r="G20" s="137">
        <v>1204</v>
      </c>
      <c r="H20" s="137">
        <v>3336</v>
      </c>
      <c r="I20" s="137">
        <v>3711</v>
      </c>
      <c r="J20" s="137">
        <v>1117</v>
      </c>
      <c r="K20" s="137">
        <v>2435</v>
      </c>
      <c r="L20" s="134">
        <v>159</v>
      </c>
      <c r="M20" s="137">
        <f>'[6]Проф.с иными целями Пр.116.'!C21</f>
        <v>52970</v>
      </c>
      <c r="N20" s="134">
        <v>299</v>
      </c>
      <c r="O20" s="134">
        <v>599</v>
      </c>
    </row>
    <row r="21" spans="1:15" x14ac:dyDescent="0.25">
      <c r="A21" s="135">
        <v>12</v>
      </c>
      <c r="B21" s="136" t="s">
        <v>30</v>
      </c>
      <c r="C21" s="137">
        <f t="shared" si="0"/>
        <v>57955</v>
      </c>
      <c r="D21" s="137">
        <v>4594</v>
      </c>
      <c r="E21" s="134">
        <v>522</v>
      </c>
      <c r="F21" s="134">
        <v>260</v>
      </c>
      <c r="G21" s="137">
        <v>1589</v>
      </c>
      <c r="H21" s="137">
        <v>2223</v>
      </c>
      <c r="I21" s="137">
        <v>3391</v>
      </c>
      <c r="J21" s="137">
        <v>1434</v>
      </c>
      <c r="K21" s="137">
        <v>1903</v>
      </c>
      <c r="L21" s="134">
        <v>54</v>
      </c>
      <c r="M21" s="137">
        <f>'[6]Проф.с иными целями Пр.116.'!C22</f>
        <v>49970</v>
      </c>
      <c r="N21" s="134">
        <v>183</v>
      </c>
      <c r="O21" s="134">
        <v>661</v>
      </c>
    </row>
    <row r="22" spans="1:15" x14ac:dyDescent="0.25">
      <c r="A22" s="135">
        <v>13</v>
      </c>
      <c r="B22" s="136" t="s">
        <v>33</v>
      </c>
      <c r="C22" s="137">
        <f t="shared" si="0"/>
        <v>68763</v>
      </c>
      <c r="D22" s="137">
        <v>5224</v>
      </c>
      <c r="E22" s="134">
        <v>452</v>
      </c>
      <c r="F22" s="134">
        <v>505</v>
      </c>
      <c r="G22" s="137">
        <v>1723</v>
      </c>
      <c r="H22" s="137">
        <v>2544</v>
      </c>
      <c r="I22" s="137">
        <v>4142</v>
      </c>
      <c r="J22" s="137">
        <v>1266</v>
      </c>
      <c r="K22" s="137">
        <v>2816</v>
      </c>
      <c r="L22" s="134">
        <v>60</v>
      </c>
      <c r="M22" s="137">
        <f>'[6]Проф.с иными целями Пр.116.'!C23</f>
        <v>59397</v>
      </c>
      <c r="N22" s="134">
        <v>311</v>
      </c>
      <c r="O22" s="134">
        <v>721</v>
      </c>
    </row>
    <row r="23" spans="1:15" x14ac:dyDescent="0.25">
      <c r="A23" s="135">
        <v>14</v>
      </c>
      <c r="B23" s="136" t="s">
        <v>39</v>
      </c>
      <c r="C23" s="137">
        <f t="shared" si="0"/>
        <v>56259</v>
      </c>
      <c r="D23" s="137">
        <v>5214</v>
      </c>
      <c r="E23" s="134">
        <v>233</v>
      </c>
      <c r="F23" s="134">
        <v>509</v>
      </c>
      <c r="G23" s="137">
        <v>1244</v>
      </c>
      <c r="H23" s="137">
        <v>3228</v>
      </c>
      <c r="I23" s="137">
        <v>3263</v>
      </c>
      <c r="J23" s="134">
        <v>940</v>
      </c>
      <c r="K23" s="137">
        <v>2227</v>
      </c>
      <c r="L23" s="134">
        <v>96</v>
      </c>
      <c r="M23" s="137">
        <f>'[6]Проф.с иными целями Пр.116.'!C24</f>
        <v>47782</v>
      </c>
      <c r="N23" s="134">
        <v>263</v>
      </c>
      <c r="O23" s="134">
        <v>539</v>
      </c>
    </row>
    <row r="24" spans="1:15" x14ac:dyDescent="0.25">
      <c r="A24" s="135">
        <v>15</v>
      </c>
      <c r="B24" s="136" t="s">
        <v>173</v>
      </c>
      <c r="C24" s="137">
        <f t="shared" si="0"/>
        <v>6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7">
        <f>'[6]Проф.с иными целями Пр.116.'!C25</f>
        <v>6</v>
      </c>
      <c r="N24" s="134">
        <v>0</v>
      </c>
      <c r="O24" s="134">
        <v>0</v>
      </c>
    </row>
    <row r="25" spans="1:15" x14ac:dyDescent="0.25">
      <c r="A25" s="135">
        <v>16</v>
      </c>
      <c r="B25" s="136" t="s">
        <v>52</v>
      </c>
      <c r="C25" s="137">
        <f t="shared" si="0"/>
        <v>165572</v>
      </c>
      <c r="D25" s="137">
        <v>14829</v>
      </c>
      <c r="E25" s="134">
        <v>647</v>
      </c>
      <c r="F25" s="137">
        <v>1384</v>
      </c>
      <c r="G25" s="137">
        <v>4046</v>
      </c>
      <c r="H25" s="137">
        <v>8752</v>
      </c>
      <c r="I25" s="137">
        <v>8870</v>
      </c>
      <c r="J25" s="137">
        <v>2476</v>
      </c>
      <c r="K25" s="137">
        <v>6189</v>
      </c>
      <c r="L25" s="134">
        <v>205</v>
      </c>
      <c r="M25" s="137">
        <f>'[6]Проф.с иными целями Пр.116.'!C26</f>
        <v>141873</v>
      </c>
      <c r="N25" s="134">
        <v>482</v>
      </c>
      <c r="O25" s="137">
        <v>1711</v>
      </c>
    </row>
    <row r="26" spans="1:15" ht="24" x14ac:dyDescent="0.25">
      <c r="A26" s="135">
        <v>17</v>
      </c>
      <c r="B26" s="136" t="s">
        <v>178</v>
      </c>
      <c r="C26" s="137">
        <f t="shared" si="0"/>
        <v>2391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7">
        <f>'[6]Проф.с иными целями Пр.116.'!C27</f>
        <v>2391</v>
      </c>
      <c r="N26" s="134">
        <v>0</v>
      </c>
      <c r="O26" s="134">
        <v>0</v>
      </c>
    </row>
    <row r="27" spans="1:15" x14ac:dyDescent="0.25">
      <c r="A27" s="135">
        <v>18</v>
      </c>
      <c r="B27" s="136" t="s">
        <v>6</v>
      </c>
      <c r="C27" s="137">
        <f t="shared" si="0"/>
        <v>139899</v>
      </c>
      <c r="D27" s="137">
        <v>12874</v>
      </c>
      <c r="E27" s="134">
        <v>881</v>
      </c>
      <c r="F27" s="134">
        <v>886</v>
      </c>
      <c r="G27" s="137">
        <v>5332</v>
      </c>
      <c r="H27" s="137">
        <v>5775</v>
      </c>
      <c r="I27" s="137">
        <v>7665</v>
      </c>
      <c r="J27" s="137">
        <v>2429</v>
      </c>
      <c r="K27" s="137">
        <v>5113</v>
      </c>
      <c r="L27" s="134">
        <v>123</v>
      </c>
      <c r="M27" s="137">
        <f>'[6]Проф.с иными целями Пр.116.'!C28</f>
        <v>119360</v>
      </c>
      <c r="N27" s="134">
        <v>750</v>
      </c>
      <c r="O27" s="137">
        <v>1158</v>
      </c>
    </row>
    <row r="28" spans="1:15" x14ac:dyDescent="0.25">
      <c r="A28" s="135">
        <v>19</v>
      </c>
      <c r="B28" s="136" t="s">
        <v>11</v>
      </c>
      <c r="C28" s="137">
        <f t="shared" si="0"/>
        <v>272587</v>
      </c>
      <c r="D28" s="137">
        <v>21419</v>
      </c>
      <c r="E28" s="137">
        <v>1377</v>
      </c>
      <c r="F28" s="137">
        <v>2060</v>
      </c>
      <c r="G28" s="137">
        <v>6455</v>
      </c>
      <c r="H28" s="137">
        <v>11527</v>
      </c>
      <c r="I28" s="137">
        <v>15335</v>
      </c>
      <c r="J28" s="137">
        <v>4870</v>
      </c>
      <c r="K28" s="137">
        <v>9795</v>
      </c>
      <c r="L28" s="134">
        <v>670</v>
      </c>
      <c r="M28" s="137">
        <f>'[6]Проф.с иными целями Пр.116.'!C29</f>
        <v>235833</v>
      </c>
      <c r="N28" s="137">
        <v>1265</v>
      </c>
      <c r="O28" s="137">
        <v>2445</v>
      </c>
    </row>
    <row r="29" spans="1:15" x14ac:dyDescent="0.25">
      <c r="A29" s="135">
        <v>20</v>
      </c>
      <c r="B29" s="136" t="s">
        <v>95</v>
      </c>
      <c r="C29" s="137">
        <f t="shared" si="0"/>
        <v>180004</v>
      </c>
      <c r="D29" s="137">
        <v>13143</v>
      </c>
      <c r="E29" s="134">
        <v>912</v>
      </c>
      <c r="F29" s="137">
        <v>1479</v>
      </c>
      <c r="G29" s="137">
        <v>5937</v>
      </c>
      <c r="H29" s="137">
        <v>4815</v>
      </c>
      <c r="I29" s="137">
        <v>10538</v>
      </c>
      <c r="J29" s="137">
        <v>3265</v>
      </c>
      <c r="K29" s="137">
        <v>6935</v>
      </c>
      <c r="L29" s="134">
        <v>338</v>
      </c>
      <c r="M29" s="137">
        <f>'[6]Проф.с иными целями Пр.116.'!C30</f>
        <v>156323</v>
      </c>
      <c r="N29" s="137">
        <v>1064</v>
      </c>
      <c r="O29" s="137">
        <v>1517</v>
      </c>
    </row>
    <row r="30" spans="1:15" x14ac:dyDescent="0.25">
      <c r="A30" s="135">
        <v>21</v>
      </c>
      <c r="B30" s="136" t="s">
        <v>179</v>
      </c>
      <c r="C30" s="137">
        <f t="shared" si="0"/>
        <v>40869</v>
      </c>
      <c r="D30" s="137">
        <v>3150</v>
      </c>
      <c r="E30" s="134">
        <v>146</v>
      </c>
      <c r="F30" s="134">
        <v>336</v>
      </c>
      <c r="G30" s="134">
        <v>945</v>
      </c>
      <c r="H30" s="137">
        <v>1723</v>
      </c>
      <c r="I30" s="137">
        <v>2107</v>
      </c>
      <c r="J30" s="134">
        <v>606</v>
      </c>
      <c r="K30" s="137">
        <v>1454</v>
      </c>
      <c r="L30" s="134">
        <v>47</v>
      </c>
      <c r="M30" s="137">
        <f>'[6]Проф.с иными целями Пр.116.'!C31</f>
        <v>35612</v>
      </c>
      <c r="N30" s="134">
        <v>163</v>
      </c>
      <c r="O30" s="134">
        <v>358</v>
      </c>
    </row>
    <row r="31" spans="1:15" x14ac:dyDescent="0.25">
      <c r="A31" s="135">
        <v>22</v>
      </c>
      <c r="B31" s="136" t="s">
        <v>47</v>
      </c>
      <c r="C31" s="137">
        <f t="shared" si="0"/>
        <v>75150</v>
      </c>
      <c r="D31" s="137">
        <v>6704</v>
      </c>
      <c r="E31" s="134">
        <v>309</v>
      </c>
      <c r="F31" s="134">
        <v>666</v>
      </c>
      <c r="G31" s="137">
        <v>2169</v>
      </c>
      <c r="H31" s="137">
        <v>3560</v>
      </c>
      <c r="I31" s="137">
        <v>4278</v>
      </c>
      <c r="J31" s="137">
        <v>1367</v>
      </c>
      <c r="K31" s="137">
        <v>2791</v>
      </c>
      <c r="L31" s="134">
        <v>120</v>
      </c>
      <c r="M31" s="137">
        <f>'[6]Проф.с иными целями Пр.116.'!C32</f>
        <v>64168</v>
      </c>
      <c r="N31" s="134">
        <v>350</v>
      </c>
      <c r="O31" s="134">
        <v>702</v>
      </c>
    </row>
    <row r="32" spans="1:15" x14ac:dyDescent="0.25">
      <c r="A32" s="135">
        <v>23</v>
      </c>
      <c r="B32" s="136" t="s">
        <v>1</v>
      </c>
      <c r="C32" s="137">
        <f t="shared" si="0"/>
        <v>101994</v>
      </c>
      <c r="D32" s="137">
        <v>8972</v>
      </c>
      <c r="E32" s="134">
        <v>402</v>
      </c>
      <c r="F32" s="134">
        <v>887</v>
      </c>
      <c r="G32" s="137">
        <v>3760</v>
      </c>
      <c r="H32" s="137">
        <v>3923</v>
      </c>
      <c r="I32" s="137">
        <v>5681</v>
      </c>
      <c r="J32" s="137">
        <v>1644</v>
      </c>
      <c r="K32" s="137">
        <v>3857</v>
      </c>
      <c r="L32" s="134">
        <v>180</v>
      </c>
      <c r="M32" s="137">
        <f>'[6]Проф.с иными целями Пр.116.'!C33</f>
        <v>87341</v>
      </c>
      <c r="N32" s="134">
        <v>554</v>
      </c>
      <c r="O32" s="134">
        <v>838</v>
      </c>
    </row>
    <row r="33" spans="1:15" x14ac:dyDescent="0.25">
      <c r="A33" s="135">
        <v>24</v>
      </c>
      <c r="B33" s="136" t="s">
        <v>18</v>
      </c>
      <c r="C33" s="137">
        <f t="shared" si="0"/>
        <v>42991</v>
      </c>
      <c r="D33" s="137">
        <v>4829</v>
      </c>
      <c r="E33" s="134">
        <v>207</v>
      </c>
      <c r="F33" s="134">
        <v>310</v>
      </c>
      <c r="G33" s="137">
        <v>1200</v>
      </c>
      <c r="H33" s="137">
        <v>3112</v>
      </c>
      <c r="I33" s="137">
        <v>2233</v>
      </c>
      <c r="J33" s="134">
        <v>688</v>
      </c>
      <c r="K33" s="137">
        <v>1515</v>
      </c>
      <c r="L33" s="134">
        <v>30</v>
      </c>
      <c r="M33" s="137">
        <f>'[6]Проф.с иными целями Пр.116.'!C34</f>
        <v>35929</v>
      </c>
      <c r="N33" s="134">
        <v>168</v>
      </c>
      <c r="O33" s="134">
        <v>389</v>
      </c>
    </row>
    <row r="34" spans="1:15" x14ac:dyDescent="0.25">
      <c r="A34" s="135">
        <v>25</v>
      </c>
      <c r="B34" s="136" t="s">
        <v>25</v>
      </c>
      <c r="C34" s="137">
        <f t="shared" si="0"/>
        <v>35722</v>
      </c>
      <c r="D34" s="137">
        <v>3302</v>
      </c>
      <c r="E34" s="134">
        <v>229</v>
      </c>
      <c r="F34" s="134">
        <v>241</v>
      </c>
      <c r="G34" s="134">
        <v>580</v>
      </c>
      <c r="H34" s="137">
        <v>2252</v>
      </c>
      <c r="I34" s="137">
        <v>2208</v>
      </c>
      <c r="J34" s="134">
        <v>615</v>
      </c>
      <c r="K34" s="137">
        <v>1389</v>
      </c>
      <c r="L34" s="134">
        <v>204</v>
      </c>
      <c r="M34" s="137">
        <f>'[6]Проф.с иными целями Пр.116.'!C35</f>
        <v>30212</v>
      </c>
      <c r="N34" s="134">
        <v>186</v>
      </c>
      <c r="O34" s="134">
        <v>321</v>
      </c>
    </row>
    <row r="35" spans="1:15" x14ac:dyDescent="0.25">
      <c r="A35" s="405">
        <v>26</v>
      </c>
      <c r="B35" s="136" t="s">
        <v>91</v>
      </c>
      <c r="C35" s="137">
        <f t="shared" si="0"/>
        <v>89319</v>
      </c>
      <c r="D35" s="137">
        <v>2622</v>
      </c>
      <c r="E35" s="137">
        <v>1736</v>
      </c>
      <c r="F35" s="134">
        <v>886</v>
      </c>
      <c r="G35" s="134">
        <v>0</v>
      </c>
      <c r="H35" s="134">
        <v>0</v>
      </c>
      <c r="I35" s="137">
        <v>11188</v>
      </c>
      <c r="J35" s="137">
        <v>4988</v>
      </c>
      <c r="K35" s="137">
        <v>6200</v>
      </c>
      <c r="L35" s="134">
        <v>0</v>
      </c>
      <c r="M35" s="137">
        <f>'[6]Проф.с иными целями Пр.116.'!C36</f>
        <v>75509</v>
      </c>
      <c r="N35" s="137">
        <v>1177</v>
      </c>
      <c r="O35" s="137">
        <v>1654</v>
      </c>
    </row>
    <row r="36" spans="1:15" ht="36" x14ac:dyDescent="0.25">
      <c r="A36" s="405"/>
      <c r="B36" s="136" t="s">
        <v>180</v>
      </c>
      <c r="C36" s="139">
        <f>D36+I36+M36</f>
        <v>96030</v>
      </c>
      <c r="D36" s="139">
        <v>2122</v>
      </c>
      <c r="E36" s="140">
        <v>366</v>
      </c>
      <c r="F36" s="139">
        <v>1756</v>
      </c>
      <c r="G36" s="140">
        <v>0</v>
      </c>
      <c r="H36" s="140">
        <v>0</v>
      </c>
      <c r="I36" s="139">
        <v>9640</v>
      </c>
      <c r="J36" s="140">
        <v>67</v>
      </c>
      <c r="K36" s="139">
        <v>9573</v>
      </c>
      <c r="L36" s="140">
        <v>0</v>
      </c>
      <c r="M36" s="137">
        <f>'[6]Проф.с иными целями Пр.116.'!C37</f>
        <v>84268</v>
      </c>
      <c r="N36" s="140">
        <v>61</v>
      </c>
      <c r="O36" s="137">
        <v>2518</v>
      </c>
    </row>
    <row r="37" spans="1:15" ht="24" x14ac:dyDescent="0.25">
      <c r="A37" s="135">
        <v>27</v>
      </c>
      <c r="B37" s="136" t="s">
        <v>54</v>
      </c>
      <c r="C37" s="139">
        <f t="shared" ref="C37:C100" si="1">D37+I37+M37</f>
        <v>16479</v>
      </c>
      <c r="D37" s="140">
        <v>685</v>
      </c>
      <c r="E37" s="140">
        <v>685</v>
      </c>
      <c r="F37" s="140">
        <v>0</v>
      </c>
      <c r="G37" s="140">
        <v>0</v>
      </c>
      <c r="H37" s="140">
        <v>0</v>
      </c>
      <c r="I37" s="139">
        <v>2337</v>
      </c>
      <c r="J37" s="139">
        <v>2337</v>
      </c>
      <c r="K37" s="140">
        <v>0</v>
      </c>
      <c r="L37" s="140">
        <v>0</v>
      </c>
      <c r="M37" s="137">
        <f>'[6]Проф.с иными целями Пр.116.'!C38</f>
        <v>13457</v>
      </c>
      <c r="N37" s="140">
        <v>451</v>
      </c>
      <c r="O37" s="134">
        <v>0</v>
      </c>
    </row>
    <row r="38" spans="1:15" ht="24" x14ac:dyDescent="0.25">
      <c r="A38" s="135">
        <v>28</v>
      </c>
      <c r="B38" s="136" t="s">
        <v>248</v>
      </c>
      <c r="C38" s="137">
        <f t="shared" si="1"/>
        <v>200330</v>
      </c>
      <c r="D38" s="137">
        <v>14528</v>
      </c>
      <c r="E38" s="137">
        <v>1053</v>
      </c>
      <c r="F38" s="137">
        <v>2287</v>
      </c>
      <c r="G38" s="137">
        <v>2734</v>
      </c>
      <c r="H38" s="137">
        <v>8454</v>
      </c>
      <c r="I38" s="137">
        <v>14302</v>
      </c>
      <c r="J38" s="137">
        <v>3474</v>
      </c>
      <c r="K38" s="137">
        <v>10795</v>
      </c>
      <c r="L38" s="134">
        <v>33</v>
      </c>
      <c r="M38" s="137">
        <f>'[6]Проф.с иными целями Пр.116.'!C39</f>
        <v>171500</v>
      </c>
      <c r="N38" s="137">
        <v>1120</v>
      </c>
      <c r="O38" s="137">
        <v>2486</v>
      </c>
    </row>
    <row r="39" spans="1:15" ht="48" x14ac:dyDescent="0.25">
      <c r="A39" s="135"/>
      <c r="B39" s="138" t="s">
        <v>249</v>
      </c>
      <c r="C39" s="137">
        <f t="shared" si="1"/>
        <v>90371</v>
      </c>
      <c r="D39" s="137">
        <v>5550</v>
      </c>
      <c r="E39" s="134">
        <v>115</v>
      </c>
      <c r="F39" s="137">
        <v>1007</v>
      </c>
      <c r="G39" s="134">
        <v>26</v>
      </c>
      <c r="H39" s="137">
        <v>4402</v>
      </c>
      <c r="I39" s="137">
        <v>4797</v>
      </c>
      <c r="J39" s="134">
        <v>282</v>
      </c>
      <c r="K39" s="137">
        <v>4501</v>
      </c>
      <c r="L39" s="134">
        <v>14</v>
      </c>
      <c r="M39" s="137">
        <f>'[6]Проф.с иными целями Пр.116.'!C40</f>
        <v>80024</v>
      </c>
      <c r="N39" s="134">
        <v>55</v>
      </c>
      <c r="O39" s="137">
        <v>1153</v>
      </c>
    </row>
    <row r="40" spans="1:15" ht="24" x14ac:dyDescent="0.25">
      <c r="A40" s="405">
        <v>29</v>
      </c>
      <c r="B40" s="136" t="s">
        <v>67</v>
      </c>
      <c r="C40" s="137">
        <f t="shared" si="1"/>
        <v>19045</v>
      </c>
      <c r="D40" s="137">
        <v>2465</v>
      </c>
      <c r="E40" s="134">
        <v>320</v>
      </c>
      <c r="F40" s="134">
        <v>0</v>
      </c>
      <c r="G40" s="137">
        <v>2145</v>
      </c>
      <c r="H40" s="134">
        <v>0</v>
      </c>
      <c r="I40" s="137">
        <v>1350</v>
      </c>
      <c r="J40" s="137">
        <v>1348</v>
      </c>
      <c r="K40" s="134">
        <v>1</v>
      </c>
      <c r="L40" s="134">
        <v>1</v>
      </c>
      <c r="M40" s="137">
        <f>'[6]Проф.с иными целями Пр.116.'!C41</f>
        <v>15230</v>
      </c>
      <c r="N40" s="134">
        <v>345</v>
      </c>
      <c r="O40" s="134">
        <v>0</v>
      </c>
    </row>
    <row r="41" spans="1:15" ht="48" x14ac:dyDescent="0.25">
      <c r="A41" s="405"/>
      <c r="B41" s="138" t="s">
        <v>250</v>
      </c>
      <c r="C41" s="137">
        <f t="shared" si="1"/>
        <v>29676</v>
      </c>
      <c r="D41" s="137">
        <v>3183</v>
      </c>
      <c r="E41" s="134">
        <v>476</v>
      </c>
      <c r="F41" s="134">
        <v>0</v>
      </c>
      <c r="G41" s="137">
        <v>2707</v>
      </c>
      <c r="H41" s="134">
        <v>0</v>
      </c>
      <c r="I41" s="137">
        <v>2077</v>
      </c>
      <c r="J41" s="137">
        <v>2035</v>
      </c>
      <c r="K41" s="134">
        <v>0</v>
      </c>
      <c r="L41" s="134">
        <v>42</v>
      </c>
      <c r="M41" s="137">
        <f>'[6]Проф.с иными целями Пр.116.'!C42</f>
        <v>24416</v>
      </c>
      <c r="N41" s="134">
        <v>517</v>
      </c>
      <c r="O41" s="134">
        <v>0</v>
      </c>
    </row>
    <row r="42" spans="1:15" ht="24" x14ac:dyDescent="0.25">
      <c r="A42" s="135">
        <v>30</v>
      </c>
      <c r="B42" s="136" t="s">
        <v>78</v>
      </c>
      <c r="C42" s="137">
        <f t="shared" si="1"/>
        <v>479</v>
      </c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7">
        <f>'[6]Проф.с иными целями Пр.116.'!C43</f>
        <v>479</v>
      </c>
      <c r="N42" s="134">
        <v>0</v>
      </c>
      <c r="O42" s="134">
        <v>0</v>
      </c>
    </row>
    <row r="43" spans="1:15" x14ac:dyDescent="0.25">
      <c r="A43" s="135">
        <v>31</v>
      </c>
      <c r="B43" s="136" t="s">
        <v>68</v>
      </c>
      <c r="C43" s="137">
        <f t="shared" si="1"/>
        <v>280157</v>
      </c>
      <c r="D43" s="137">
        <v>35637</v>
      </c>
      <c r="E43" s="134">
        <v>0</v>
      </c>
      <c r="F43" s="134">
        <v>0</v>
      </c>
      <c r="G43" s="137">
        <v>14496</v>
      </c>
      <c r="H43" s="137">
        <v>21141</v>
      </c>
      <c r="I43" s="134">
        <v>285</v>
      </c>
      <c r="J43" s="134">
        <v>0</v>
      </c>
      <c r="K43" s="134">
        <v>0</v>
      </c>
      <c r="L43" s="134">
        <v>285</v>
      </c>
      <c r="M43" s="137">
        <f>'[6]Проф.с иными целями Пр.116.'!C44</f>
        <v>244235</v>
      </c>
      <c r="N43" s="134">
        <v>0</v>
      </c>
      <c r="O43" s="134">
        <v>0</v>
      </c>
    </row>
    <row r="44" spans="1:15" ht="24" x14ac:dyDescent="0.25">
      <c r="A44" s="135">
        <v>32</v>
      </c>
      <c r="B44" s="136" t="s">
        <v>185</v>
      </c>
      <c r="C44" s="137">
        <f t="shared" si="1"/>
        <v>12000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7">
        <f>'[6]Проф.с иными целями Пр.116.'!C45</f>
        <v>12000</v>
      </c>
      <c r="N44" s="134">
        <v>0</v>
      </c>
      <c r="O44" s="134">
        <v>0</v>
      </c>
    </row>
    <row r="45" spans="1:15" x14ac:dyDescent="0.25">
      <c r="A45" s="135">
        <v>33</v>
      </c>
      <c r="B45" s="136" t="s">
        <v>94</v>
      </c>
      <c r="C45" s="137">
        <f t="shared" si="1"/>
        <v>10266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7">
        <f>'[6]Проф.с иными целями Пр.116.'!C46</f>
        <v>10266</v>
      </c>
      <c r="N45" s="134">
        <v>0</v>
      </c>
      <c r="O45" s="134">
        <v>0</v>
      </c>
    </row>
    <row r="46" spans="1:15" x14ac:dyDescent="0.25">
      <c r="A46" s="405">
        <v>34</v>
      </c>
      <c r="B46" s="136" t="s">
        <v>53</v>
      </c>
      <c r="C46" s="137">
        <f t="shared" si="1"/>
        <v>168554</v>
      </c>
      <c r="D46" s="137">
        <v>4162</v>
      </c>
      <c r="E46" s="137">
        <v>1159</v>
      </c>
      <c r="F46" s="137">
        <v>3003</v>
      </c>
      <c r="G46" s="134">
        <v>0</v>
      </c>
      <c r="H46" s="134">
        <v>0</v>
      </c>
      <c r="I46" s="137">
        <v>17756</v>
      </c>
      <c r="J46" s="137">
        <v>5074</v>
      </c>
      <c r="K46" s="137">
        <v>12682</v>
      </c>
      <c r="L46" s="134">
        <v>0</v>
      </c>
      <c r="M46" s="137">
        <f>'[6]Проф.с иными целями Пр.116.'!C47</f>
        <v>146636</v>
      </c>
      <c r="N46" s="137">
        <v>1212</v>
      </c>
      <c r="O46" s="137">
        <v>3281</v>
      </c>
    </row>
    <row r="47" spans="1:15" ht="48" x14ac:dyDescent="0.25">
      <c r="A47" s="405"/>
      <c r="B47" s="138" t="s">
        <v>186</v>
      </c>
      <c r="C47" s="137">
        <f t="shared" si="1"/>
        <v>133352</v>
      </c>
      <c r="D47" s="137">
        <v>21676</v>
      </c>
      <c r="E47" s="134">
        <v>0</v>
      </c>
      <c r="F47" s="134">
        <v>0</v>
      </c>
      <c r="G47" s="137">
        <v>6071</v>
      </c>
      <c r="H47" s="137">
        <v>15605</v>
      </c>
      <c r="I47" s="134">
        <v>285</v>
      </c>
      <c r="J47" s="134">
        <v>0</v>
      </c>
      <c r="K47" s="134">
        <v>0</v>
      </c>
      <c r="L47" s="134">
        <v>285</v>
      </c>
      <c r="M47" s="137">
        <f>'[6]Проф.с иными целями Пр.116.'!C48</f>
        <v>111391</v>
      </c>
      <c r="N47" s="134">
        <v>0</v>
      </c>
      <c r="O47" s="134">
        <v>0</v>
      </c>
    </row>
    <row r="48" spans="1:15" ht="36" x14ac:dyDescent="0.25">
      <c r="A48" s="405"/>
      <c r="B48" s="138" t="s">
        <v>251</v>
      </c>
      <c r="C48" s="137">
        <f t="shared" si="1"/>
        <v>20800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7">
        <f>'[6]Проф.с иными целями Пр.116.'!C49</f>
        <v>20800</v>
      </c>
      <c r="N48" s="134">
        <v>0</v>
      </c>
      <c r="O48" s="134">
        <v>0</v>
      </c>
    </row>
    <row r="49" spans="1:15" ht="24" x14ac:dyDescent="0.25">
      <c r="A49" s="135">
        <v>35</v>
      </c>
      <c r="B49" s="136" t="s">
        <v>188</v>
      </c>
      <c r="C49" s="137">
        <f t="shared" si="1"/>
        <v>4198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7">
        <f>'[6]Проф.с иными целями Пр.116.'!C50</f>
        <v>4198</v>
      </c>
      <c r="N49" s="134">
        <v>0</v>
      </c>
      <c r="O49" s="134">
        <v>0</v>
      </c>
    </row>
    <row r="50" spans="1:15" x14ac:dyDescent="0.25">
      <c r="A50" s="135">
        <v>36</v>
      </c>
      <c r="B50" s="136" t="s">
        <v>93</v>
      </c>
      <c r="C50" s="137">
        <f t="shared" si="1"/>
        <v>11900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7">
        <f>'[6]Проф.с иными целями Пр.116.'!C51</f>
        <v>11900</v>
      </c>
      <c r="N50" s="134">
        <v>0</v>
      </c>
      <c r="O50" s="134">
        <v>0</v>
      </c>
    </row>
    <row r="51" spans="1:15" x14ac:dyDescent="0.25">
      <c r="A51" s="405">
        <v>37</v>
      </c>
      <c r="B51" s="136" t="s">
        <v>36</v>
      </c>
      <c r="C51" s="137">
        <f t="shared" si="1"/>
        <v>162780</v>
      </c>
      <c r="D51" s="137">
        <v>12277</v>
      </c>
      <c r="E51" s="134">
        <v>820</v>
      </c>
      <c r="F51" s="137">
        <v>1339</v>
      </c>
      <c r="G51" s="137">
        <v>3292</v>
      </c>
      <c r="H51" s="137">
        <v>6826</v>
      </c>
      <c r="I51" s="137">
        <v>9453</v>
      </c>
      <c r="J51" s="137">
        <v>2863</v>
      </c>
      <c r="K51" s="137">
        <v>6349</v>
      </c>
      <c r="L51" s="134">
        <v>241</v>
      </c>
      <c r="M51" s="137">
        <f>'[6]Проф.с иными целями Пр.116.'!C52</f>
        <v>141050</v>
      </c>
      <c r="N51" s="134">
        <v>678</v>
      </c>
      <c r="O51" s="137">
        <v>1653</v>
      </c>
    </row>
    <row r="52" spans="1:15" ht="36" x14ac:dyDescent="0.25">
      <c r="A52" s="405"/>
      <c r="B52" s="138" t="s">
        <v>189</v>
      </c>
      <c r="C52" s="137">
        <f t="shared" si="1"/>
        <v>60448</v>
      </c>
      <c r="D52" s="137">
        <v>4699</v>
      </c>
      <c r="E52" s="134">
        <v>214</v>
      </c>
      <c r="F52" s="134">
        <v>568</v>
      </c>
      <c r="G52" s="134">
        <v>770</v>
      </c>
      <c r="H52" s="137">
        <v>3147</v>
      </c>
      <c r="I52" s="137">
        <v>3471</v>
      </c>
      <c r="J52" s="134">
        <v>864</v>
      </c>
      <c r="K52" s="137">
        <v>2475</v>
      </c>
      <c r="L52" s="134">
        <v>132</v>
      </c>
      <c r="M52" s="137">
        <f>'[6]Проф.с иными целями Пр.116.'!C53</f>
        <v>52278</v>
      </c>
      <c r="N52" s="134">
        <v>118</v>
      </c>
      <c r="O52" s="134">
        <v>727</v>
      </c>
    </row>
    <row r="53" spans="1:15" x14ac:dyDescent="0.25">
      <c r="A53" s="135">
        <v>38</v>
      </c>
      <c r="B53" s="136" t="s">
        <v>28</v>
      </c>
      <c r="C53" s="137">
        <f t="shared" si="1"/>
        <v>218132</v>
      </c>
      <c r="D53" s="137">
        <v>17815</v>
      </c>
      <c r="E53" s="134">
        <v>913</v>
      </c>
      <c r="F53" s="137">
        <v>1940</v>
      </c>
      <c r="G53" s="137">
        <v>4380</v>
      </c>
      <c r="H53" s="137">
        <v>10582</v>
      </c>
      <c r="I53" s="137">
        <v>12544</v>
      </c>
      <c r="J53" s="137">
        <v>3725</v>
      </c>
      <c r="K53" s="137">
        <v>8448</v>
      </c>
      <c r="L53" s="134">
        <v>371</v>
      </c>
      <c r="M53" s="137">
        <f>'[6]Проф.с иными целями Пр.116.'!C54</f>
        <v>187773</v>
      </c>
      <c r="N53" s="134">
        <v>904</v>
      </c>
      <c r="O53" s="137">
        <v>2176</v>
      </c>
    </row>
    <row r="54" spans="1:15" x14ac:dyDescent="0.25">
      <c r="A54" s="135">
        <v>39</v>
      </c>
      <c r="B54" s="136" t="s">
        <v>37</v>
      </c>
      <c r="C54" s="137">
        <f t="shared" si="1"/>
        <v>207300</v>
      </c>
      <c r="D54" s="137">
        <v>17661</v>
      </c>
      <c r="E54" s="134">
        <v>888</v>
      </c>
      <c r="F54" s="137">
        <v>1842</v>
      </c>
      <c r="G54" s="137">
        <v>9536</v>
      </c>
      <c r="H54" s="137">
        <v>5395</v>
      </c>
      <c r="I54" s="137">
        <v>12012</v>
      </c>
      <c r="J54" s="137">
        <v>3409</v>
      </c>
      <c r="K54" s="137">
        <v>8238</v>
      </c>
      <c r="L54" s="134">
        <v>365</v>
      </c>
      <c r="M54" s="137">
        <f>'[6]Проф.с иными целями Пр.116.'!C55</f>
        <v>177627</v>
      </c>
      <c r="N54" s="134">
        <v>986</v>
      </c>
      <c r="O54" s="137">
        <v>1961</v>
      </c>
    </row>
    <row r="55" spans="1:15" x14ac:dyDescent="0.25">
      <c r="A55" s="135">
        <v>40</v>
      </c>
      <c r="B55" s="136" t="s">
        <v>24</v>
      </c>
      <c r="C55" s="137">
        <f t="shared" si="1"/>
        <v>64566</v>
      </c>
      <c r="D55" s="137">
        <v>5992</v>
      </c>
      <c r="E55" s="134">
        <v>290</v>
      </c>
      <c r="F55" s="134">
        <v>550</v>
      </c>
      <c r="G55" s="137">
        <v>1487</v>
      </c>
      <c r="H55" s="137">
        <v>3665</v>
      </c>
      <c r="I55" s="137">
        <v>3610</v>
      </c>
      <c r="J55" s="134">
        <v>612</v>
      </c>
      <c r="K55" s="137">
        <v>2973</v>
      </c>
      <c r="L55" s="134">
        <v>25</v>
      </c>
      <c r="M55" s="137">
        <f>'[6]Проф.с иными целями Пр.116.'!C56</f>
        <v>54964</v>
      </c>
      <c r="N55" s="134">
        <v>58</v>
      </c>
      <c r="O55" s="134">
        <v>849</v>
      </c>
    </row>
    <row r="56" spans="1:15" x14ac:dyDescent="0.25">
      <c r="A56" s="135">
        <v>41</v>
      </c>
      <c r="B56" s="136" t="s">
        <v>19</v>
      </c>
      <c r="C56" s="137">
        <f t="shared" si="1"/>
        <v>80103</v>
      </c>
      <c r="D56" s="137">
        <v>7532</v>
      </c>
      <c r="E56" s="134">
        <v>718</v>
      </c>
      <c r="F56" s="134">
        <v>337</v>
      </c>
      <c r="G56" s="137">
        <v>2244</v>
      </c>
      <c r="H56" s="137">
        <v>4233</v>
      </c>
      <c r="I56" s="137">
        <v>4587</v>
      </c>
      <c r="J56" s="137">
        <v>1387</v>
      </c>
      <c r="K56" s="137">
        <v>3115</v>
      </c>
      <c r="L56" s="134">
        <v>85</v>
      </c>
      <c r="M56" s="137">
        <f>'[6]Проф.с иными целями Пр.116.'!C57</f>
        <v>67984</v>
      </c>
      <c r="N56" s="134">
        <v>473</v>
      </c>
      <c r="O56" s="134">
        <v>666</v>
      </c>
    </row>
    <row r="57" spans="1:15" x14ac:dyDescent="0.25">
      <c r="A57" s="135">
        <v>42</v>
      </c>
      <c r="B57" s="136" t="s">
        <v>34</v>
      </c>
      <c r="C57" s="137">
        <f t="shared" si="1"/>
        <v>74606</v>
      </c>
      <c r="D57" s="137">
        <v>6671</v>
      </c>
      <c r="E57" s="134">
        <v>206</v>
      </c>
      <c r="F57" s="134">
        <v>778</v>
      </c>
      <c r="G57" s="137">
        <v>2034</v>
      </c>
      <c r="H57" s="137">
        <v>3653</v>
      </c>
      <c r="I57" s="137">
        <v>4253</v>
      </c>
      <c r="J57" s="137">
        <v>1097</v>
      </c>
      <c r="K57" s="137">
        <v>3103</v>
      </c>
      <c r="L57" s="134">
        <v>53</v>
      </c>
      <c r="M57" s="137">
        <f>'[6]Проф.с иными целями Пр.116.'!C58</f>
        <v>63682</v>
      </c>
      <c r="N57" s="134">
        <v>197</v>
      </c>
      <c r="O57" s="134">
        <v>865</v>
      </c>
    </row>
    <row r="58" spans="1:15" x14ac:dyDescent="0.25">
      <c r="A58" s="135">
        <v>43</v>
      </c>
      <c r="B58" s="136" t="s">
        <v>43</v>
      </c>
      <c r="C58" s="137">
        <f t="shared" si="1"/>
        <v>48211</v>
      </c>
      <c r="D58" s="137">
        <v>3961</v>
      </c>
      <c r="E58" s="134">
        <v>218</v>
      </c>
      <c r="F58" s="134">
        <v>446</v>
      </c>
      <c r="G58" s="134">
        <v>970</v>
      </c>
      <c r="H58" s="137">
        <v>2327</v>
      </c>
      <c r="I58" s="137">
        <v>2992</v>
      </c>
      <c r="J58" s="134">
        <v>944</v>
      </c>
      <c r="K58" s="137">
        <v>1890</v>
      </c>
      <c r="L58" s="134">
        <v>158</v>
      </c>
      <c r="M58" s="137">
        <f>'[6]Проф.с иными целями Пр.116.'!C59</f>
        <v>41258</v>
      </c>
      <c r="N58" s="134">
        <v>238</v>
      </c>
      <c r="O58" s="134">
        <v>479</v>
      </c>
    </row>
    <row r="59" spans="1:15" x14ac:dyDescent="0.25">
      <c r="A59" s="135">
        <v>44</v>
      </c>
      <c r="B59" s="136" t="s">
        <v>5</v>
      </c>
      <c r="C59" s="137">
        <f t="shared" si="1"/>
        <v>83177</v>
      </c>
      <c r="D59" s="137">
        <v>6728</v>
      </c>
      <c r="E59" s="134">
        <v>374</v>
      </c>
      <c r="F59" s="134">
        <v>786</v>
      </c>
      <c r="G59" s="137">
        <v>1952</v>
      </c>
      <c r="H59" s="137">
        <v>3616</v>
      </c>
      <c r="I59" s="137">
        <v>5060</v>
      </c>
      <c r="J59" s="137">
        <v>1531</v>
      </c>
      <c r="K59" s="137">
        <v>3418</v>
      </c>
      <c r="L59" s="134">
        <v>111</v>
      </c>
      <c r="M59" s="137">
        <f>'[6]Проф.с иными целями Пр.116.'!C60</f>
        <v>71389</v>
      </c>
      <c r="N59" s="134">
        <v>417</v>
      </c>
      <c r="O59" s="134">
        <v>836</v>
      </c>
    </row>
    <row r="60" spans="1:15" x14ac:dyDescent="0.25">
      <c r="A60" s="135">
        <v>45</v>
      </c>
      <c r="B60" s="136" t="s">
        <v>46</v>
      </c>
      <c r="C60" s="137">
        <f t="shared" si="1"/>
        <v>39240</v>
      </c>
      <c r="D60" s="137">
        <v>2977</v>
      </c>
      <c r="E60" s="134">
        <v>166</v>
      </c>
      <c r="F60" s="134">
        <v>388</v>
      </c>
      <c r="G60" s="137">
        <v>1009</v>
      </c>
      <c r="H60" s="137">
        <v>1414</v>
      </c>
      <c r="I60" s="137">
        <v>2429</v>
      </c>
      <c r="J60" s="134">
        <v>699</v>
      </c>
      <c r="K60" s="137">
        <v>1664</v>
      </c>
      <c r="L60" s="134">
        <v>66</v>
      </c>
      <c r="M60" s="137">
        <f>'[6]Проф.с иными целями Пр.116.'!C61</f>
        <v>33834</v>
      </c>
      <c r="N60" s="134">
        <v>180</v>
      </c>
      <c r="O60" s="134">
        <v>418</v>
      </c>
    </row>
    <row r="61" spans="1:15" x14ac:dyDescent="0.25">
      <c r="A61" s="135">
        <v>46</v>
      </c>
      <c r="B61" s="141" t="s">
        <v>150</v>
      </c>
      <c r="C61" s="137">
        <f t="shared" si="1"/>
        <v>12064</v>
      </c>
      <c r="D61" s="134">
        <v>366</v>
      </c>
      <c r="E61" s="134">
        <v>110</v>
      </c>
      <c r="F61" s="134">
        <v>256</v>
      </c>
      <c r="G61" s="134">
        <v>0</v>
      </c>
      <c r="H61" s="134">
        <v>0</v>
      </c>
      <c r="I61" s="137">
        <v>1560</v>
      </c>
      <c r="J61" s="134">
        <v>508</v>
      </c>
      <c r="K61" s="137">
        <v>1052</v>
      </c>
      <c r="L61" s="134">
        <v>0</v>
      </c>
      <c r="M61" s="137">
        <f>'[6]Проф.с иными целями Пр.116.'!C62</f>
        <v>10138</v>
      </c>
      <c r="N61" s="134">
        <v>143</v>
      </c>
      <c r="O61" s="134">
        <v>252</v>
      </c>
    </row>
    <row r="62" spans="1:15" x14ac:dyDescent="0.25">
      <c r="A62" s="135">
        <v>47</v>
      </c>
      <c r="B62" s="136" t="s">
        <v>69</v>
      </c>
      <c r="C62" s="137">
        <f t="shared" si="1"/>
        <v>23813</v>
      </c>
      <c r="D62" s="134">
        <v>702</v>
      </c>
      <c r="E62" s="134">
        <v>184</v>
      </c>
      <c r="F62" s="134">
        <v>518</v>
      </c>
      <c r="G62" s="134">
        <v>0</v>
      </c>
      <c r="H62" s="134">
        <v>0</v>
      </c>
      <c r="I62" s="137">
        <v>2995</v>
      </c>
      <c r="J62" s="134">
        <v>434</v>
      </c>
      <c r="K62" s="137">
        <v>2561</v>
      </c>
      <c r="L62" s="134">
        <v>0</v>
      </c>
      <c r="M62" s="137">
        <f>'[6]Проф.с иными целями Пр.116.'!C63</f>
        <v>20116</v>
      </c>
      <c r="N62" s="134">
        <v>0</v>
      </c>
      <c r="O62" s="134">
        <v>757</v>
      </c>
    </row>
    <row r="63" spans="1:15" x14ac:dyDescent="0.25">
      <c r="A63" s="135">
        <v>48</v>
      </c>
      <c r="B63" s="136" t="s">
        <v>45</v>
      </c>
      <c r="C63" s="137">
        <f t="shared" si="1"/>
        <v>335459</v>
      </c>
      <c r="D63" s="137">
        <v>28560</v>
      </c>
      <c r="E63" s="137">
        <v>1250</v>
      </c>
      <c r="F63" s="137">
        <v>3123</v>
      </c>
      <c r="G63" s="137">
        <v>9196</v>
      </c>
      <c r="H63" s="137">
        <v>14991</v>
      </c>
      <c r="I63" s="137">
        <v>19359</v>
      </c>
      <c r="J63" s="137">
        <v>4290</v>
      </c>
      <c r="K63" s="137">
        <v>14367</v>
      </c>
      <c r="L63" s="134">
        <v>702</v>
      </c>
      <c r="M63" s="137">
        <f>'[6]Проф.с иными целями Пр.116.'!C64</f>
        <v>287540</v>
      </c>
      <c r="N63" s="134">
        <v>687</v>
      </c>
      <c r="O63" s="137">
        <v>4033</v>
      </c>
    </row>
    <row r="64" spans="1:15" x14ac:dyDescent="0.25">
      <c r="A64" s="135">
        <v>49</v>
      </c>
      <c r="B64" s="136" t="s">
        <v>9</v>
      </c>
      <c r="C64" s="137">
        <f t="shared" si="1"/>
        <v>232405</v>
      </c>
      <c r="D64" s="137">
        <v>18080</v>
      </c>
      <c r="E64" s="134">
        <v>650</v>
      </c>
      <c r="F64" s="137">
        <v>2514</v>
      </c>
      <c r="G64" s="137">
        <v>6217</v>
      </c>
      <c r="H64" s="137">
        <v>8699</v>
      </c>
      <c r="I64" s="137">
        <v>13655</v>
      </c>
      <c r="J64" s="137">
        <v>4082</v>
      </c>
      <c r="K64" s="137">
        <v>9417</v>
      </c>
      <c r="L64" s="134">
        <v>156</v>
      </c>
      <c r="M64" s="137">
        <f>'[6]Проф.с иными целями Пр.116.'!C65</f>
        <v>200670</v>
      </c>
      <c r="N64" s="137">
        <v>1136</v>
      </c>
      <c r="O64" s="137">
        <v>2279</v>
      </c>
    </row>
    <row r="65" spans="1:15" x14ac:dyDescent="0.25">
      <c r="A65" s="135">
        <v>50</v>
      </c>
      <c r="B65" s="136" t="s">
        <v>70</v>
      </c>
      <c r="C65" s="137">
        <f t="shared" si="1"/>
        <v>288871</v>
      </c>
      <c r="D65" s="137">
        <v>22172</v>
      </c>
      <c r="E65" s="137">
        <v>1093</v>
      </c>
      <c r="F65" s="137">
        <v>2514</v>
      </c>
      <c r="G65" s="137">
        <v>5368</v>
      </c>
      <c r="H65" s="137">
        <v>13197</v>
      </c>
      <c r="I65" s="137">
        <v>15728</v>
      </c>
      <c r="J65" s="137">
        <v>4053</v>
      </c>
      <c r="K65" s="137">
        <v>11332</v>
      </c>
      <c r="L65" s="134">
        <v>343</v>
      </c>
      <c r="M65" s="137">
        <f>'[6]Проф.с иными целями Пр.116.'!C66</f>
        <v>250971</v>
      </c>
      <c r="N65" s="137">
        <v>1137</v>
      </c>
      <c r="O65" s="137">
        <v>2756</v>
      </c>
    </row>
    <row r="66" spans="1:15" ht="24" x14ac:dyDescent="0.25">
      <c r="A66" s="135">
        <v>51</v>
      </c>
      <c r="B66" s="136" t="s">
        <v>191</v>
      </c>
      <c r="C66" s="137">
        <f t="shared" si="1"/>
        <v>2203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7">
        <f>'[6]Проф.с иными целями Пр.116.'!C67</f>
        <v>2203</v>
      </c>
      <c r="N66" s="134">
        <v>0</v>
      </c>
      <c r="O66" s="134">
        <v>0</v>
      </c>
    </row>
    <row r="67" spans="1:15" x14ac:dyDescent="0.25">
      <c r="A67" s="135">
        <v>52</v>
      </c>
      <c r="B67" s="136" t="s">
        <v>20</v>
      </c>
      <c r="C67" s="137">
        <f t="shared" si="1"/>
        <v>95075</v>
      </c>
      <c r="D67" s="137">
        <v>7930</v>
      </c>
      <c r="E67" s="134">
        <v>417</v>
      </c>
      <c r="F67" s="134">
        <v>855</v>
      </c>
      <c r="G67" s="137">
        <v>2919</v>
      </c>
      <c r="H67" s="137">
        <v>3739</v>
      </c>
      <c r="I67" s="137">
        <v>5587</v>
      </c>
      <c r="J67" s="137">
        <v>1642</v>
      </c>
      <c r="K67" s="137">
        <v>3788</v>
      </c>
      <c r="L67" s="134">
        <v>157</v>
      </c>
      <c r="M67" s="137">
        <f>'[6]Проф.с иными целями Пр.116.'!C68</f>
        <v>81558</v>
      </c>
      <c r="N67" s="134">
        <v>408</v>
      </c>
      <c r="O67" s="134">
        <v>966</v>
      </c>
    </row>
    <row r="68" spans="1:15" x14ac:dyDescent="0.25">
      <c r="A68" s="135">
        <v>53</v>
      </c>
      <c r="B68" s="136" t="s">
        <v>7</v>
      </c>
      <c r="C68" s="137">
        <f t="shared" si="1"/>
        <v>68490</v>
      </c>
      <c r="D68" s="137">
        <v>5601</v>
      </c>
      <c r="E68" s="134">
        <v>271</v>
      </c>
      <c r="F68" s="134">
        <v>661</v>
      </c>
      <c r="G68" s="137">
        <v>1234</v>
      </c>
      <c r="H68" s="137">
        <v>3435</v>
      </c>
      <c r="I68" s="137">
        <v>4114</v>
      </c>
      <c r="J68" s="137">
        <v>1218</v>
      </c>
      <c r="K68" s="137">
        <v>2761</v>
      </c>
      <c r="L68" s="134">
        <v>135</v>
      </c>
      <c r="M68" s="137">
        <f>'[6]Проф.с иными целями Пр.116.'!C69</f>
        <v>58775</v>
      </c>
      <c r="N68" s="134">
        <v>391</v>
      </c>
      <c r="O68" s="134">
        <v>616</v>
      </c>
    </row>
    <row r="69" spans="1:15" x14ac:dyDescent="0.25">
      <c r="A69" s="135">
        <v>54</v>
      </c>
      <c r="B69" s="136" t="s">
        <v>12</v>
      </c>
      <c r="C69" s="137">
        <f t="shared" si="1"/>
        <v>52897</v>
      </c>
      <c r="D69" s="137">
        <v>4505</v>
      </c>
      <c r="E69" s="134">
        <v>268</v>
      </c>
      <c r="F69" s="134">
        <v>453</v>
      </c>
      <c r="G69" s="137">
        <v>1404</v>
      </c>
      <c r="H69" s="137">
        <v>2380</v>
      </c>
      <c r="I69" s="137">
        <v>3243</v>
      </c>
      <c r="J69" s="134">
        <v>974</v>
      </c>
      <c r="K69" s="137">
        <v>2103</v>
      </c>
      <c r="L69" s="134">
        <v>166</v>
      </c>
      <c r="M69" s="137">
        <f>'[6]Проф.с иными целями Пр.116.'!C70</f>
        <v>45149</v>
      </c>
      <c r="N69" s="134">
        <v>255</v>
      </c>
      <c r="O69" s="134">
        <v>523</v>
      </c>
    </row>
    <row r="70" spans="1:15" x14ac:dyDescent="0.25">
      <c r="A70" s="135">
        <v>55</v>
      </c>
      <c r="B70" s="136" t="s">
        <v>27</v>
      </c>
      <c r="C70" s="137">
        <f t="shared" si="1"/>
        <v>79754</v>
      </c>
      <c r="D70" s="137">
        <v>6513</v>
      </c>
      <c r="E70" s="134">
        <v>334</v>
      </c>
      <c r="F70" s="134">
        <v>762</v>
      </c>
      <c r="G70" s="137">
        <v>1572</v>
      </c>
      <c r="H70" s="137">
        <v>3845</v>
      </c>
      <c r="I70" s="137">
        <v>4814</v>
      </c>
      <c r="J70" s="137">
        <v>1396</v>
      </c>
      <c r="K70" s="137">
        <v>3281</v>
      </c>
      <c r="L70" s="134">
        <v>137</v>
      </c>
      <c r="M70" s="137">
        <f>'[6]Проф.с иными целями Пр.116.'!C71</f>
        <v>68427</v>
      </c>
      <c r="N70" s="134">
        <v>395</v>
      </c>
      <c r="O70" s="134">
        <v>788</v>
      </c>
    </row>
    <row r="71" spans="1:15" x14ac:dyDescent="0.25">
      <c r="A71" s="135">
        <v>56</v>
      </c>
      <c r="B71" s="136" t="s">
        <v>194</v>
      </c>
      <c r="C71" s="137">
        <f t="shared" si="1"/>
        <v>44</v>
      </c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7">
        <f>'[6]Проф.с иными целями Пр.116.'!C72</f>
        <v>44</v>
      </c>
      <c r="N71" s="134">
        <v>0</v>
      </c>
      <c r="O71" s="134">
        <v>0</v>
      </c>
    </row>
    <row r="72" spans="1:15" x14ac:dyDescent="0.25">
      <c r="A72" s="135">
        <v>57</v>
      </c>
      <c r="B72" s="136" t="s">
        <v>23</v>
      </c>
      <c r="C72" s="137">
        <f t="shared" si="1"/>
        <v>33398</v>
      </c>
      <c r="D72" s="137">
        <v>2461</v>
      </c>
      <c r="E72" s="134">
        <v>163</v>
      </c>
      <c r="F72" s="134">
        <v>313</v>
      </c>
      <c r="G72" s="134">
        <v>681</v>
      </c>
      <c r="H72" s="137">
        <v>1304</v>
      </c>
      <c r="I72" s="137">
        <v>2072</v>
      </c>
      <c r="J72" s="134">
        <v>556</v>
      </c>
      <c r="K72" s="137">
        <v>1476</v>
      </c>
      <c r="L72" s="134">
        <v>40</v>
      </c>
      <c r="M72" s="137">
        <f>'[6]Проф.с иными целями Пр.116.'!C73</f>
        <v>28865</v>
      </c>
      <c r="N72" s="134">
        <v>145</v>
      </c>
      <c r="O72" s="134">
        <v>369</v>
      </c>
    </row>
    <row r="73" spans="1:15" x14ac:dyDescent="0.25">
      <c r="A73" s="135">
        <v>58</v>
      </c>
      <c r="B73" s="136" t="s">
        <v>40</v>
      </c>
      <c r="C73" s="137">
        <f t="shared" si="1"/>
        <v>66917</v>
      </c>
      <c r="D73" s="137">
        <v>5525</v>
      </c>
      <c r="E73" s="134">
        <v>368</v>
      </c>
      <c r="F73" s="134">
        <v>535</v>
      </c>
      <c r="G73" s="137">
        <v>1744</v>
      </c>
      <c r="H73" s="137">
        <v>2878</v>
      </c>
      <c r="I73" s="137">
        <v>3874</v>
      </c>
      <c r="J73" s="137">
        <v>1352</v>
      </c>
      <c r="K73" s="137">
        <v>2502</v>
      </c>
      <c r="L73" s="134">
        <v>20</v>
      </c>
      <c r="M73" s="137">
        <f>'[6]Проф.с иными целями Пр.116.'!C74</f>
        <v>57518</v>
      </c>
      <c r="N73" s="134">
        <v>400</v>
      </c>
      <c r="O73" s="134">
        <v>575</v>
      </c>
    </row>
    <row r="74" spans="1:15" x14ac:dyDescent="0.25">
      <c r="A74" s="135">
        <v>59</v>
      </c>
      <c r="B74" s="136" t="s">
        <v>2</v>
      </c>
      <c r="C74" s="137">
        <f t="shared" si="1"/>
        <v>98172</v>
      </c>
      <c r="D74" s="137">
        <v>8333</v>
      </c>
      <c r="E74" s="134">
        <v>434</v>
      </c>
      <c r="F74" s="134">
        <v>898</v>
      </c>
      <c r="G74" s="137">
        <v>2521</v>
      </c>
      <c r="H74" s="137">
        <v>4480</v>
      </c>
      <c r="I74" s="137">
        <v>5801</v>
      </c>
      <c r="J74" s="137">
        <v>2243</v>
      </c>
      <c r="K74" s="137">
        <v>3437</v>
      </c>
      <c r="L74" s="134">
        <v>121</v>
      </c>
      <c r="M74" s="137">
        <f>'[6]Проф.с иными целями Пр.116.'!C75</f>
        <v>84038</v>
      </c>
      <c r="N74" s="134">
        <v>445</v>
      </c>
      <c r="O74" s="134">
        <v>992</v>
      </c>
    </row>
    <row r="75" spans="1:15" x14ac:dyDescent="0.25">
      <c r="A75" s="135">
        <v>60</v>
      </c>
      <c r="B75" s="136" t="s">
        <v>50</v>
      </c>
      <c r="C75" s="137">
        <f t="shared" si="1"/>
        <v>53589</v>
      </c>
      <c r="D75" s="137">
        <v>4626</v>
      </c>
      <c r="E75" s="134">
        <v>293</v>
      </c>
      <c r="F75" s="134">
        <v>437</v>
      </c>
      <c r="G75" s="137">
        <v>1176</v>
      </c>
      <c r="H75" s="137">
        <v>2720</v>
      </c>
      <c r="I75" s="137">
        <v>3220</v>
      </c>
      <c r="J75" s="137">
        <v>1060</v>
      </c>
      <c r="K75" s="137">
        <v>2055</v>
      </c>
      <c r="L75" s="134">
        <v>105</v>
      </c>
      <c r="M75" s="137">
        <f>'[6]Проф.с иными целями Пр.116.'!C76</f>
        <v>45743</v>
      </c>
      <c r="N75" s="134">
        <v>312</v>
      </c>
      <c r="O75" s="134">
        <v>476</v>
      </c>
    </row>
    <row r="76" spans="1:15" ht="24" x14ac:dyDescent="0.25">
      <c r="A76" s="135">
        <v>61</v>
      </c>
      <c r="B76" s="136" t="s">
        <v>192</v>
      </c>
      <c r="C76" s="137">
        <f t="shared" si="1"/>
        <v>55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7">
        <f>'[6]Проф.с иными целями Пр.116.'!C77</f>
        <v>55</v>
      </c>
      <c r="N76" s="134">
        <v>0</v>
      </c>
      <c r="O76" s="134">
        <v>0</v>
      </c>
    </row>
    <row r="77" spans="1:15" x14ac:dyDescent="0.25">
      <c r="A77" s="135">
        <v>62</v>
      </c>
      <c r="B77" s="136" t="s">
        <v>193</v>
      </c>
      <c r="C77" s="137">
        <f t="shared" si="1"/>
        <v>25</v>
      </c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7">
        <f>'[6]Проф.с иными целями Пр.116.'!C78</f>
        <v>25</v>
      </c>
      <c r="N77" s="134">
        <v>0</v>
      </c>
      <c r="O77" s="134">
        <v>0</v>
      </c>
    </row>
    <row r="78" spans="1:15" ht="24" x14ac:dyDescent="0.25">
      <c r="A78" s="135">
        <v>63</v>
      </c>
      <c r="B78" s="136" t="s">
        <v>196</v>
      </c>
      <c r="C78" s="137">
        <f t="shared" si="1"/>
        <v>22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7">
        <f>'[6]Проф.с иными целями Пр.116.'!C79</f>
        <v>22</v>
      </c>
      <c r="N78" s="134">
        <v>0</v>
      </c>
      <c r="O78" s="134">
        <v>0</v>
      </c>
    </row>
    <row r="79" spans="1:15" x14ac:dyDescent="0.25">
      <c r="A79" s="135">
        <v>64</v>
      </c>
      <c r="B79" s="136" t="s">
        <v>198</v>
      </c>
      <c r="C79" s="137">
        <f t="shared" si="1"/>
        <v>226489</v>
      </c>
      <c r="D79" s="137">
        <v>30348</v>
      </c>
      <c r="E79" s="134">
        <v>0</v>
      </c>
      <c r="F79" s="134">
        <v>0</v>
      </c>
      <c r="G79" s="137">
        <v>18447</v>
      </c>
      <c r="H79" s="137">
        <v>11901</v>
      </c>
      <c r="I79" s="134">
        <v>270</v>
      </c>
      <c r="J79" s="134">
        <v>0</v>
      </c>
      <c r="K79" s="134">
        <v>0</v>
      </c>
      <c r="L79" s="134">
        <v>270</v>
      </c>
      <c r="M79" s="137">
        <f>'[6]Проф.с иными целями Пр.116.'!C80</f>
        <v>195871</v>
      </c>
      <c r="N79" s="134">
        <v>0</v>
      </c>
      <c r="O79" s="134">
        <v>0</v>
      </c>
    </row>
    <row r="80" spans="1:15" x14ac:dyDescent="0.25">
      <c r="A80" s="135">
        <v>65</v>
      </c>
      <c r="B80" s="136" t="s">
        <v>199</v>
      </c>
      <c r="C80" s="137">
        <f t="shared" si="1"/>
        <v>195701</v>
      </c>
      <c r="D80" s="137">
        <v>26067</v>
      </c>
      <c r="E80" s="134">
        <v>0</v>
      </c>
      <c r="F80" s="134">
        <v>0</v>
      </c>
      <c r="G80" s="137">
        <v>10347</v>
      </c>
      <c r="H80" s="137">
        <v>15720</v>
      </c>
      <c r="I80" s="134">
        <v>418</v>
      </c>
      <c r="J80" s="134">
        <v>0</v>
      </c>
      <c r="K80" s="134">
        <v>0</v>
      </c>
      <c r="L80" s="134">
        <v>418</v>
      </c>
      <c r="M80" s="137">
        <f>'[6]Проф.с иными целями Пр.116.'!C81</f>
        <v>169216</v>
      </c>
      <c r="N80" s="134">
        <v>0</v>
      </c>
      <c r="O80" s="134">
        <v>0</v>
      </c>
    </row>
    <row r="81" spans="1:15" x14ac:dyDescent="0.25">
      <c r="A81" s="135">
        <v>66</v>
      </c>
      <c r="B81" s="136" t="s">
        <v>200</v>
      </c>
      <c r="C81" s="137">
        <f t="shared" si="1"/>
        <v>267996</v>
      </c>
      <c r="D81" s="137">
        <v>34032</v>
      </c>
      <c r="E81" s="134">
        <v>0</v>
      </c>
      <c r="F81" s="134">
        <v>0</v>
      </c>
      <c r="G81" s="137">
        <v>11828</v>
      </c>
      <c r="H81" s="137">
        <v>22204</v>
      </c>
      <c r="I81" s="134">
        <v>90</v>
      </c>
      <c r="J81" s="134">
        <v>0</v>
      </c>
      <c r="K81" s="134">
        <v>0</v>
      </c>
      <c r="L81" s="134">
        <v>90</v>
      </c>
      <c r="M81" s="137">
        <f>'[6]Проф.с иными целями Пр.116.'!C82</f>
        <v>233874</v>
      </c>
      <c r="N81" s="134">
        <v>0</v>
      </c>
      <c r="O81" s="134">
        <v>0</v>
      </c>
    </row>
    <row r="82" spans="1:15" x14ac:dyDescent="0.25">
      <c r="A82" s="135">
        <v>67</v>
      </c>
      <c r="B82" s="136" t="s">
        <v>201</v>
      </c>
      <c r="C82" s="137">
        <f t="shared" si="1"/>
        <v>334174</v>
      </c>
      <c r="D82" s="137">
        <v>42137</v>
      </c>
      <c r="E82" s="134">
        <v>0</v>
      </c>
      <c r="F82" s="134">
        <v>0</v>
      </c>
      <c r="G82" s="137">
        <v>20211</v>
      </c>
      <c r="H82" s="137">
        <v>21926</v>
      </c>
      <c r="I82" s="134">
        <v>278</v>
      </c>
      <c r="J82" s="134">
        <v>0</v>
      </c>
      <c r="K82" s="134">
        <v>0</v>
      </c>
      <c r="L82" s="134">
        <v>278</v>
      </c>
      <c r="M82" s="137">
        <f>'[6]Проф.с иными целями Пр.116.'!C83</f>
        <v>291759</v>
      </c>
      <c r="N82" s="134">
        <v>0</v>
      </c>
      <c r="O82" s="134">
        <v>0</v>
      </c>
    </row>
    <row r="83" spans="1:15" x14ac:dyDescent="0.25">
      <c r="A83" s="135">
        <v>68</v>
      </c>
      <c r="B83" s="136" t="s">
        <v>202</v>
      </c>
      <c r="C83" s="137">
        <f t="shared" si="1"/>
        <v>123172</v>
      </c>
      <c r="D83" s="137">
        <v>17540</v>
      </c>
      <c r="E83" s="134">
        <v>0</v>
      </c>
      <c r="F83" s="134">
        <v>0</v>
      </c>
      <c r="G83" s="137">
        <v>7442</v>
      </c>
      <c r="H83" s="137">
        <v>10098</v>
      </c>
      <c r="I83" s="134">
        <v>92</v>
      </c>
      <c r="J83" s="134">
        <v>0</v>
      </c>
      <c r="K83" s="134">
        <v>0</v>
      </c>
      <c r="L83" s="134">
        <v>92</v>
      </c>
      <c r="M83" s="137">
        <f>'[6]Проф.с иными целями Пр.116.'!C84</f>
        <v>105540</v>
      </c>
      <c r="N83" s="134">
        <v>0</v>
      </c>
      <c r="O83" s="134">
        <v>0</v>
      </c>
    </row>
    <row r="84" spans="1:15" ht="24" x14ac:dyDescent="0.25">
      <c r="A84" s="135">
        <v>69</v>
      </c>
      <c r="B84" s="136" t="s">
        <v>203</v>
      </c>
      <c r="C84" s="137">
        <f t="shared" si="1"/>
        <v>29476</v>
      </c>
      <c r="D84" s="134">
        <v>0</v>
      </c>
      <c r="E84" s="134">
        <v>0</v>
      </c>
      <c r="F84" s="134">
        <v>0</v>
      </c>
      <c r="G84" s="134">
        <v>0</v>
      </c>
      <c r="H84" s="134">
        <v>0</v>
      </c>
      <c r="I84" s="134">
        <v>0</v>
      </c>
      <c r="J84" s="134">
        <v>0</v>
      </c>
      <c r="K84" s="134">
        <v>0</v>
      </c>
      <c r="L84" s="134">
        <v>0</v>
      </c>
      <c r="M84" s="137">
        <f>'[6]Проф.с иными целями Пр.116.'!C85</f>
        <v>29476</v>
      </c>
      <c r="N84" s="134">
        <v>0</v>
      </c>
      <c r="O84" s="134">
        <v>0</v>
      </c>
    </row>
    <row r="85" spans="1:15" ht="24" x14ac:dyDescent="0.25">
      <c r="A85" s="135">
        <v>70</v>
      </c>
      <c r="B85" s="136" t="s">
        <v>204</v>
      </c>
      <c r="C85" s="137">
        <f t="shared" si="1"/>
        <v>31433</v>
      </c>
      <c r="D85" s="134">
        <v>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7">
        <f>'[6]Проф.с иными целями Пр.116.'!C86</f>
        <v>31433</v>
      </c>
      <c r="N85" s="134">
        <v>0</v>
      </c>
      <c r="O85" s="134">
        <v>0</v>
      </c>
    </row>
    <row r="86" spans="1:15" x14ac:dyDescent="0.25">
      <c r="A86" s="135">
        <v>71</v>
      </c>
      <c r="B86" s="136" t="s">
        <v>205</v>
      </c>
      <c r="C86" s="137">
        <f t="shared" si="1"/>
        <v>99004</v>
      </c>
      <c r="D86" s="137">
        <v>5584</v>
      </c>
      <c r="E86" s="134">
        <v>947</v>
      </c>
      <c r="F86" s="137">
        <v>2115</v>
      </c>
      <c r="G86" s="134">
        <v>868</v>
      </c>
      <c r="H86" s="137">
        <v>1654</v>
      </c>
      <c r="I86" s="137">
        <v>13066</v>
      </c>
      <c r="J86" s="137">
        <v>4976</v>
      </c>
      <c r="K86" s="137">
        <v>8090</v>
      </c>
      <c r="L86" s="134">
        <v>0</v>
      </c>
      <c r="M86" s="137">
        <f>'[6]Проф.с иными целями Пр.116.'!C87</f>
        <v>80354</v>
      </c>
      <c r="N86" s="134">
        <v>695</v>
      </c>
      <c r="O86" s="137">
        <v>2611</v>
      </c>
    </row>
    <row r="87" spans="1:15" x14ac:dyDescent="0.25">
      <c r="A87" s="135">
        <v>72</v>
      </c>
      <c r="B87" s="136" t="s">
        <v>206</v>
      </c>
      <c r="C87" s="137">
        <f t="shared" si="1"/>
        <v>66561</v>
      </c>
      <c r="D87" s="137">
        <v>1979</v>
      </c>
      <c r="E87" s="134">
        <v>660</v>
      </c>
      <c r="F87" s="137">
        <v>1319</v>
      </c>
      <c r="G87" s="134">
        <v>0</v>
      </c>
      <c r="H87" s="134">
        <v>0</v>
      </c>
      <c r="I87" s="137">
        <v>8444</v>
      </c>
      <c r="J87" s="137">
        <v>2458</v>
      </c>
      <c r="K87" s="137">
        <v>5986</v>
      </c>
      <c r="L87" s="134">
        <v>0</v>
      </c>
      <c r="M87" s="137">
        <f>'[6]Проф.с иными целями Пр.116.'!C88</f>
        <v>56138</v>
      </c>
      <c r="N87" s="134">
        <v>700</v>
      </c>
      <c r="O87" s="137">
        <v>1437</v>
      </c>
    </row>
    <row r="88" spans="1:15" x14ac:dyDescent="0.25">
      <c r="A88" s="135">
        <v>73</v>
      </c>
      <c r="B88" s="136" t="s">
        <v>207</v>
      </c>
      <c r="C88" s="137">
        <f t="shared" si="1"/>
        <v>56276</v>
      </c>
      <c r="D88" s="137">
        <v>1907</v>
      </c>
      <c r="E88" s="134">
        <v>604</v>
      </c>
      <c r="F88" s="137">
        <v>1303</v>
      </c>
      <c r="G88" s="134">
        <v>0</v>
      </c>
      <c r="H88" s="134">
        <v>0</v>
      </c>
      <c r="I88" s="137">
        <v>8136</v>
      </c>
      <c r="J88" s="137">
        <v>2511</v>
      </c>
      <c r="K88" s="137">
        <v>5625</v>
      </c>
      <c r="L88" s="134">
        <v>0</v>
      </c>
      <c r="M88" s="137">
        <f>'[6]Проф.с иными целями Пр.116.'!C89</f>
        <v>46233</v>
      </c>
      <c r="N88" s="134">
        <v>621</v>
      </c>
      <c r="O88" s="137">
        <v>1437</v>
      </c>
    </row>
    <row r="89" spans="1:15" x14ac:dyDescent="0.25">
      <c r="A89" s="135">
        <v>74</v>
      </c>
      <c r="B89" s="136" t="s">
        <v>208</v>
      </c>
      <c r="C89" s="137">
        <f t="shared" si="1"/>
        <v>55260</v>
      </c>
      <c r="D89" s="137">
        <v>1440</v>
      </c>
      <c r="E89" s="134">
        <v>482</v>
      </c>
      <c r="F89" s="134">
        <v>958</v>
      </c>
      <c r="G89" s="134">
        <v>0</v>
      </c>
      <c r="H89" s="134">
        <v>0</v>
      </c>
      <c r="I89" s="137">
        <v>6142</v>
      </c>
      <c r="J89" s="137">
        <v>1760</v>
      </c>
      <c r="K89" s="137">
        <v>4382</v>
      </c>
      <c r="L89" s="134">
        <v>0</v>
      </c>
      <c r="M89" s="137">
        <f>'[6]Проф.с иными целями Пр.116.'!C90</f>
        <v>47678</v>
      </c>
      <c r="N89" s="134">
        <v>516</v>
      </c>
      <c r="O89" s="137">
        <v>1038</v>
      </c>
    </row>
    <row r="90" spans="1:15" x14ac:dyDescent="0.25">
      <c r="A90" s="135">
        <v>75</v>
      </c>
      <c r="B90" s="136" t="s">
        <v>209</v>
      </c>
      <c r="C90" s="137">
        <f t="shared" si="1"/>
        <v>135567</v>
      </c>
      <c r="D90" s="137">
        <v>3753</v>
      </c>
      <c r="E90" s="137">
        <v>1126</v>
      </c>
      <c r="F90" s="137">
        <v>2627</v>
      </c>
      <c r="G90" s="134">
        <v>0</v>
      </c>
      <c r="H90" s="134">
        <v>0</v>
      </c>
      <c r="I90" s="137">
        <v>15996</v>
      </c>
      <c r="J90" s="137">
        <v>4782</v>
      </c>
      <c r="K90" s="137">
        <v>11214</v>
      </c>
      <c r="L90" s="134">
        <v>0</v>
      </c>
      <c r="M90" s="137">
        <f>'[6]Проф.с иными целями Пр.116.'!C91</f>
        <v>115818</v>
      </c>
      <c r="N90" s="137">
        <v>1211</v>
      </c>
      <c r="O90" s="137">
        <v>2836</v>
      </c>
    </row>
    <row r="91" spans="1:15" x14ac:dyDescent="0.25">
      <c r="A91" s="135">
        <v>76</v>
      </c>
      <c r="B91" s="136" t="s">
        <v>210</v>
      </c>
      <c r="C91" s="137">
        <f t="shared" si="1"/>
        <v>68920</v>
      </c>
      <c r="D91" s="137">
        <v>1911</v>
      </c>
      <c r="E91" s="134">
        <v>878</v>
      </c>
      <c r="F91" s="137">
        <v>1033</v>
      </c>
      <c r="G91" s="134">
        <v>0</v>
      </c>
      <c r="H91" s="134">
        <v>0</v>
      </c>
      <c r="I91" s="137">
        <v>8153</v>
      </c>
      <c r="J91" s="137">
        <v>2495</v>
      </c>
      <c r="K91" s="137">
        <v>5658</v>
      </c>
      <c r="L91" s="134">
        <v>0</v>
      </c>
      <c r="M91" s="137">
        <f>'[6]Проф.с иными целями Пр.116.'!C92</f>
        <v>58856</v>
      </c>
      <c r="N91" s="134">
        <v>686</v>
      </c>
      <c r="O91" s="137">
        <v>1376</v>
      </c>
    </row>
    <row r="92" spans="1:15" x14ac:dyDescent="0.25">
      <c r="A92" s="135">
        <v>77</v>
      </c>
      <c r="B92" s="136" t="s">
        <v>123</v>
      </c>
      <c r="C92" s="137">
        <f t="shared" si="1"/>
        <v>73117</v>
      </c>
      <c r="D92" s="137">
        <v>2161</v>
      </c>
      <c r="E92" s="134">
        <v>833</v>
      </c>
      <c r="F92" s="137">
        <v>1328</v>
      </c>
      <c r="G92" s="134">
        <v>0</v>
      </c>
      <c r="H92" s="134">
        <v>0</v>
      </c>
      <c r="I92" s="137">
        <v>9218</v>
      </c>
      <c r="J92" s="137">
        <v>2814</v>
      </c>
      <c r="K92" s="137">
        <v>6404</v>
      </c>
      <c r="L92" s="134">
        <v>0</v>
      </c>
      <c r="M92" s="137">
        <f>'[6]Проф.с иными целями Пр.116.'!C93</f>
        <v>61738</v>
      </c>
      <c r="N92" s="134">
        <v>726</v>
      </c>
      <c r="O92" s="137">
        <v>1606</v>
      </c>
    </row>
    <row r="93" spans="1:15" x14ac:dyDescent="0.25">
      <c r="A93" s="135">
        <v>78</v>
      </c>
      <c r="B93" s="136" t="s">
        <v>211</v>
      </c>
      <c r="C93" s="137">
        <f t="shared" si="1"/>
        <v>36510</v>
      </c>
      <c r="D93" s="137">
        <v>1286</v>
      </c>
      <c r="E93" s="134">
        <v>467</v>
      </c>
      <c r="F93" s="134">
        <v>819</v>
      </c>
      <c r="G93" s="134">
        <v>0</v>
      </c>
      <c r="H93" s="134">
        <v>0</v>
      </c>
      <c r="I93" s="137">
        <v>5486</v>
      </c>
      <c r="J93" s="137">
        <v>1678</v>
      </c>
      <c r="K93" s="137">
        <v>3808</v>
      </c>
      <c r="L93" s="134">
        <v>0</v>
      </c>
      <c r="M93" s="137">
        <f>'[6]Проф.с иными целями Пр.116.'!C94</f>
        <v>29738</v>
      </c>
      <c r="N93" s="134">
        <v>460</v>
      </c>
      <c r="O93" s="134">
        <v>928</v>
      </c>
    </row>
    <row r="94" spans="1:15" x14ac:dyDescent="0.25">
      <c r="A94" s="135">
        <v>79</v>
      </c>
      <c r="B94" s="136" t="s">
        <v>145</v>
      </c>
      <c r="C94" s="137">
        <f t="shared" si="1"/>
        <v>137398</v>
      </c>
      <c r="D94" s="137">
        <v>3660</v>
      </c>
      <c r="E94" s="137">
        <v>1289</v>
      </c>
      <c r="F94" s="137">
        <v>2371</v>
      </c>
      <c r="G94" s="134">
        <v>0</v>
      </c>
      <c r="H94" s="134">
        <v>0</v>
      </c>
      <c r="I94" s="137">
        <v>15614</v>
      </c>
      <c r="J94" s="137">
        <v>5018</v>
      </c>
      <c r="K94" s="137">
        <v>10596</v>
      </c>
      <c r="L94" s="134">
        <v>0</v>
      </c>
      <c r="M94" s="137">
        <f>'[6]Проф.с иными целями Пр.116.'!C95</f>
        <v>118124</v>
      </c>
      <c r="N94" s="137">
        <v>1213</v>
      </c>
      <c r="O94" s="137">
        <v>2737</v>
      </c>
    </row>
    <row r="95" spans="1:15" x14ac:dyDescent="0.25">
      <c r="A95" s="135">
        <v>80</v>
      </c>
      <c r="B95" s="136" t="s">
        <v>212</v>
      </c>
      <c r="C95" s="137">
        <f t="shared" si="1"/>
        <v>48366</v>
      </c>
      <c r="D95" s="137">
        <v>1687</v>
      </c>
      <c r="E95" s="134">
        <v>920</v>
      </c>
      <c r="F95" s="134">
        <v>767</v>
      </c>
      <c r="G95" s="134">
        <v>0</v>
      </c>
      <c r="H95" s="134">
        <v>0</v>
      </c>
      <c r="I95" s="137">
        <v>7196</v>
      </c>
      <c r="J95" s="137">
        <v>2095</v>
      </c>
      <c r="K95" s="137">
        <v>5101</v>
      </c>
      <c r="L95" s="134">
        <v>0</v>
      </c>
      <c r="M95" s="137">
        <f>'[6]Проф.с иными целями Пр.116.'!C96</f>
        <v>39483</v>
      </c>
      <c r="N95" s="134">
        <v>605</v>
      </c>
      <c r="O95" s="137">
        <v>1216</v>
      </c>
    </row>
    <row r="96" spans="1:15" x14ac:dyDescent="0.25">
      <c r="A96" s="135">
        <v>81</v>
      </c>
      <c r="B96" s="136" t="s">
        <v>213</v>
      </c>
      <c r="C96" s="137">
        <f t="shared" si="1"/>
        <v>47313</v>
      </c>
      <c r="D96" s="137">
        <v>1639</v>
      </c>
      <c r="E96" s="134">
        <v>671</v>
      </c>
      <c r="F96" s="134">
        <v>968</v>
      </c>
      <c r="G96" s="134">
        <v>0</v>
      </c>
      <c r="H96" s="134">
        <v>0</v>
      </c>
      <c r="I96" s="137">
        <v>6995</v>
      </c>
      <c r="J96" s="137">
        <v>2095</v>
      </c>
      <c r="K96" s="137">
        <v>4900</v>
      </c>
      <c r="L96" s="134">
        <v>0</v>
      </c>
      <c r="M96" s="137">
        <f>'[6]Проф.с иными целями Пр.116.'!C97</f>
        <v>38679</v>
      </c>
      <c r="N96" s="134">
        <v>588</v>
      </c>
      <c r="O96" s="137">
        <v>1182</v>
      </c>
    </row>
    <row r="97" spans="1:15" ht="24" x14ac:dyDescent="0.25">
      <c r="A97" s="135">
        <v>82</v>
      </c>
      <c r="B97" s="136" t="s">
        <v>214</v>
      </c>
      <c r="C97" s="137">
        <f t="shared" si="1"/>
        <v>3111</v>
      </c>
      <c r="D97" s="134">
        <v>0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7">
        <f>'[6]Проф.с иными целями Пр.116.'!C98</f>
        <v>3111</v>
      </c>
      <c r="N97" s="134">
        <v>0</v>
      </c>
      <c r="O97" s="134">
        <v>0</v>
      </c>
    </row>
    <row r="98" spans="1:15" ht="24" x14ac:dyDescent="0.25">
      <c r="A98" s="135">
        <v>83</v>
      </c>
      <c r="B98" s="136" t="s">
        <v>215</v>
      </c>
      <c r="C98" s="137">
        <f t="shared" si="1"/>
        <v>3578</v>
      </c>
      <c r="D98" s="134">
        <v>0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7">
        <f>'[6]Проф.с иными целями Пр.116.'!C99</f>
        <v>3578</v>
      </c>
      <c r="N98" s="134">
        <v>0</v>
      </c>
      <c r="O98" s="134">
        <v>0</v>
      </c>
    </row>
    <row r="99" spans="1:15" ht="24" x14ac:dyDescent="0.25">
      <c r="A99" s="135">
        <v>84</v>
      </c>
      <c r="B99" s="136" t="s">
        <v>216</v>
      </c>
      <c r="C99" s="137">
        <f t="shared" si="1"/>
        <v>4126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7">
        <f>'[6]Проф.с иными целями Пр.116.'!C100</f>
        <v>4126</v>
      </c>
      <c r="N99" s="134">
        <v>0</v>
      </c>
      <c r="O99" s="134">
        <v>0</v>
      </c>
    </row>
    <row r="100" spans="1:15" ht="24" x14ac:dyDescent="0.25">
      <c r="A100" s="135">
        <v>85</v>
      </c>
      <c r="B100" s="136" t="s">
        <v>217</v>
      </c>
      <c r="C100" s="137">
        <f t="shared" si="1"/>
        <v>3480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134">
        <v>0</v>
      </c>
      <c r="M100" s="137">
        <f>'[6]Проф.с иными целями Пр.116.'!C101</f>
        <v>3480</v>
      </c>
      <c r="N100" s="134">
        <v>0</v>
      </c>
      <c r="O100" s="134">
        <v>0</v>
      </c>
    </row>
    <row r="101" spans="1:15" ht="24" x14ac:dyDescent="0.25">
      <c r="A101" s="135">
        <v>86</v>
      </c>
      <c r="B101" s="136" t="s">
        <v>218</v>
      </c>
      <c r="C101" s="137">
        <f t="shared" ref="C101:C164" si="2">D101+I101+M101</f>
        <v>13472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134">
        <v>0</v>
      </c>
      <c r="M101" s="137">
        <f>'[6]Проф.с иными целями Пр.116.'!C102</f>
        <v>13472</v>
      </c>
      <c r="N101" s="134">
        <v>0</v>
      </c>
      <c r="O101" s="134">
        <v>0</v>
      </c>
    </row>
    <row r="102" spans="1:15" ht="24" x14ac:dyDescent="0.25">
      <c r="A102" s="135">
        <v>87</v>
      </c>
      <c r="B102" s="136" t="s">
        <v>252</v>
      </c>
      <c r="C102" s="137">
        <f t="shared" si="2"/>
        <v>3172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134">
        <v>0</v>
      </c>
      <c r="M102" s="137">
        <f>'[6]Проф.с иными целями Пр.116.'!C103</f>
        <v>3172</v>
      </c>
      <c r="N102" s="134">
        <v>0</v>
      </c>
      <c r="O102" s="134">
        <v>0</v>
      </c>
    </row>
    <row r="103" spans="1:15" ht="24" x14ac:dyDescent="0.25">
      <c r="A103" s="135">
        <v>88</v>
      </c>
      <c r="B103" s="136" t="s">
        <v>253</v>
      </c>
      <c r="C103" s="137">
        <f t="shared" si="2"/>
        <v>2676</v>
      </c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7">
        <f>'[6]Проф.с иными целями Пр.116.'!C104</f>
        <v>2676</v>
      </c>
      <c r="N103" s="134">
        <v>0</v>
      </c>
      <c r="O103" s="134">
        <v>0</v>
      </c>
    </row>
    <row r="104" spans="1:15" x14ac:dyDescent="0.25">
      <c r="A104" s="135">
        <v>89</v>
      </c>
      <c r="B104" s="136" t="s">
        <v>221</v>
      </c>
      <c r="C104" s="137">
        <f t="shared" si="2"/>
        <v>209171</v>
      </c>
      <c r="D104" s="137">
        <v>18106</v>
      </c>
      <c r="E104" s="134">
        <v>759</v>
      </c>
      <c r="F104" s="137">
        <v>1439</v>
      </c>
      <c r="G104" s="137">
        <v>5178</v>
      </c>
      <c r="H104" s="137">
        <v>10730</v>
      </c>
      <c r="I104" s="137">
        <v>9556</v>
      </c>
      <c r="J104" s="137">
        <v>2676</v>
      </c>
      <c r="K104" s="137">
        <v>6702</v>
      </c>
      <c r="L104" s="134">
        <v>178</v>
      </c>
      <c r="M104" s="137">
        <f>'[6]Проф.с иными целями Пр.116.'!C105</f>
        <v>181509</v>
      </c>
      <c r="N104" s="134">
        <v>524</v>
      </c>
      <c r="O104" s="137">
        <v>1848</v>
      </c>
    </row>
    <row r="105" spans="1:15" x14ac:dyDescent="0.25">
      <c r="A105" s="135">
        <v>90</v>
      </c>
      <c r="B105" s="136" t="s">
        <v>60</v>
      </c>
      <c r="C105" s="137">
        <f t="shared" si="2"/>
        <v>88348</v>
      </c>
      <c r="D105" s="137">
        <v>2115</v>
      </c>
      <c r="E105" s="134">
        <v>823</v>
      </c>
      <c r="F105" s="137">
        <v>1292</v>
      </c>
      <c r="G105" s="134">
        <v>0</v>
      </c>
      <c r="H105" s="134">
        <v>0</v>
      </c>
      <c r="I105" s="137">
        <v>9022</v>
      </c>
      <c r="J105" s="137">
        <v>2796</v>
      </c>
      <c r="K105" s="137">
        <v>6226</v>
      </c>
      <c r="L105" s="134">
        <v>0</v>
      </c>
      <c r="M105" s="137">
        <f>'[6]Проф.с иными целями Пр.116.'!C106</f>
        <v>77211</v>
      </c>
      <c r="N105" s="134">
        <v>741</v>
      </c>
      <c r="O105" s="137">
        <v>1542</v>
      </c>
    </row>
    <row r="106" spans="1:15" x14ac:dyDescent="0.25">
      <c r="A106" s="135">
        <v>91</v>
      </c>
      <c r="B106" s="136" t="s">
        <v>56</v>
      </c>
      <c r="C106" s="137">
        <f t="shared" si="2"/>
        <v>69585</v>
      </c>
      <c r="D106" s="137">
        <v>1837</v>
      </c>
      <c r="E106" s="134">
        <v>612</v>
      </c>
      <c r="F106" s="137">
        <v>1225</v>
      </c>
      <c r="G106" s="134">
        <v>0</v>
      </c>
      <c r="H106" s="134">
        <v>0</v>
      </c>
      <c r="I106" s="137">
        <v>7837</v>
      </c>
      <c r="J106" s="137">
        <v>2296</v>
      </c>
      <c r="K106" s="137">
        <v>5541</v>
      </c>
      <c r="L106" s="134">
        <v>0</v>
      </c>
      <c r="M106" s="137">
        <f>'[6]Проф.с иными целями Пр.116.'!C107</f>
        <v>59911</v>
      </c>
      <c r="N106" s="134">
        <v>869</v>
      </c>
      <c r="O106" s="137">
        <v>1114</v>
      </c>
    </row>
    <row r="107" spans="1:15" x14ac:dyDescent="0.25">
      <c r="A107" s="135">
        <v>92</v>
      </c>
      <c r="B107" s="136" t="s">
        <v>55</v>
      </c>
      <c r="C107" s="137">
        <f t="shared" si="2"/>
        <v>38344</v>
      </c>
      <c r="D107" s="137">
        <v>1052</v>
      </c>
      <c r="E107" s="134">
        <v>376</v>
      </c>
      <c r="F107" s="134">
        <v>676</v>
      </c>
      <c r="G107" s="134">
        <v>0</v>
      </c>
      <c r="H107" s="134">
        <v>0</v>
      </c>
      <c r="I107" s="137">
        <v>4490</v>
      </c>
      <c r="J107" s="137">
        <v>1296</v>
      </c>
      <c r="K107" s="137">
        <v>3194</v>
      </c>
      <c r="L107" s="134">
        <v>0</v>
      </c>
      <c r="M107" s="137">
        <f>'[6]Проф.с иными целями Пр.116.'!C108</f>
        <v>32802</v>
      </c>
      <c r="N107" s="134">
        <v>377</v>
      </c>
      <c r="O107" s="134">
        <v>759</v>
      </c>
    </row>
    <row r="108" spans="1:15" x14ac:dyDescent="0.25">
      <c r="A108" s="135">
        <v>93</v>
      </c>
      <c r="B108" s="136" t="s">
        <v>57</v>
      </c>
      <c r="C108" s="137">
        <f t="shared" si="2"/>
        <v>24000</v>
      </c>
      <c r="D108" s="134">
        <v>487</v>
      </c>
      <c r="E108" s="134">
        <v>146</v>
      </c>
      <c r="F108" s="134">
        <v>341</v>
      </c>
      <c r="G108" s="134">
        <v>0</v>
      </c>
      <c r="H108" s="134">
        <v>0</v>
      </c>
      <c r="I108" s="137">
        <v>2081</v>
      </c>
      <c r="J108" s="134">
        <v>613</v>
      </c>
      <c r="K108" s="137">
        <v>1468</v>
      </c>
      <c r="L108" s="134">
        <v>0</v>
      </c>
      <c r="M108" s="137">
        <f>'[6]Проф.с иными целями Пр.116.'!C109</f>
        <v>21432</v>
      </c>
      <c r="N108" s="134">
        <v>163</v>
      </c>
      <c r="O108" s="134">
        <v>364</v>
      </c>
    </row>
    <row r="109" spans="1:15" x14ac:dyDescent="0.25">
      <c r="A109" s="135">
        <v>94</v>
      </c>
      <c r="B109" s="136" t="s">
        <v>58</v>
      </c>
      <c r="C109" s="137">
        <f t="shared" si="2"/>
        <v>3259</v>
      </c>
      <c r="D109" s="134">
        <v>74</v>
      </c>
      <c r="E109" s="134">
        <v>74</v>
      </c>
      <c r="F109" s="134">
        <v>0</v>
      </c>
      <c r="G109" s="134">
        <v>0</v>
      </c>
      <c r="H109" s="134">
        <v>0</v>
      </c>
      <c r="I109" s="134">
        <v>192</v>
      </c>
      <c r="J109" s="134">
        <v>192</v>
      </c>
      <c r="K109" s="134">
        <v>0</v>
      </c>
      <c r="L109" s="134">
        <v>0</v>
      </c>
      <c r="M109" s="137">
        <f>'[6]Проф.с иными целями Пр.116.'!C110</f>
        <v>2993</v>
      </c>
      <c r="N109" s="134">
        <v>71</v>
      </c>
      <c r="O109" s="134">
        <v>0</v>
      </c>
    </row>
    <row r="110" spans="1:15" ht="36" x14ac:dyDescent="0.25">
      <c r="A110" s="405">
        <v>95</v>
      </c>
      <c r="B110" s="136" t="s">
        <v>101</v>
      </c>
      <c r="C110" s="137">
        <f t="shared" si="2"/>
        <v>28411</v>
      </c>
      <c r="D110" s="134">
        <v>806</v>
      </c>
      <c r="E110" s="134">
        <v>81</v>
      </c>
      <c r="F110" s="134">
        <v>725</v>
      </c>
      <c r="G110" s="134">
        <v>0</v>
      </c>
      <c r="H110" s="134">
        <v>0</v>
      </c>
      <c r="I110" s="137">
        <v>3560</v>
      </c>
      <c r="J110" s="134">
        <v>360</v>
      </c>
      <c r="K110" s="137">
        <v>3200</v>
      </c>
      <c r="L110" s="134">
        <v>0</v>
      </c>
      <c r="M110" s="137">
        <f>'[6]Проф.с иными целями Пр.116.'!C111</f>
        <v>24045</v>
      </c>
      <c r="N110" s="134">
        <v>4</v>
      </c>
      <c r="O110" s="134">
        <v>874</v>
      </c>
    </row>
    <row r="111" spans="1:15" x14ac:dyDescent="0.25">
      <c r="A111" s="405"/>
      <c r="B111" s="136" t="s">
        <v>59</v>
      </c>
      <c r="C111" s="137">
        <f t="shared" si="2"/>
        <v>217890</v>
      </c>
      <c r="D111" s="137">
        <v>5565</v>
      </c>
      <c r="E111" s="137">
        <v>1385</v>
      </c>
      <c r="F111" s="137">
        <v>4180</v>
      </c>
      <c r="G111" s="134">
        <v>0</v>
      </c>
      <c r="H111" s="134">
        <v>0</v>
      </c>
      <c r="I111" s="137">
        <v>23741</v>
      </c>
      <c r="J111" s="137">
        <v>6256</v>
      </c>
      <c r="K111" s="137">
        <v>17485</v>
      </c>
      <c r="L111" s="134">
        <v>0</v>
      </c>
      <c r="M111" s="137">
        <f>'[6]Проф.с иными целями Пр.116.'!C112</f>
        <v>188584</v>
      </c>
      <c r="N111" s="134">
        <v>790</v>
      </c>
      <c r="O111" s="137">
        <v>5217</v>
      </c>
    </row>
    <row r="112" spans="1:15" x14ac:dyDescent="0.25">
      <c r="A112" s="135">
        <v>96</v>
      </c>
      <c r="B112" s="136" t="s">
        <v>61</v>
      </c>
      <c r="C112" s="137">
        <f t="shared" si="2"/>
        <v>200810</v>
      </c>
      <c r="D112" s="137">
        <v>26100</v>
      </c>
      <c r="E112" s="134">
        <v>0</v>
      </c>
      <c r="F112" s="134">
        <v>0</v>
      </c>
      <c r="G112" s="137">
        <v>11155</v>
      </c>
      <c r="H112" s="137">
        <v>14945</v>
      </c>
      <c r="I112" s="134">
        <v>501</v>
      </c>
      <c r="J112" s="134">
        <v>0</v>
      </c>
      <c r="K112" s="134">
        <v>0</v>
      </c>
      <c r="L112" s="134">
        <v>501</v>
      </c>
      <c r="M112" s="137">
        <f>'[6]Проф.с иными целями Пр.116.'!C113</f>
        <v>174209</v>
      </c>
      <c r="N112" s="134">
        <v>0</v>
      </c>
      <c r="O112" s="134">
        <v>0</v>
      </c>
    </row>
    <row r="113" spans="1:15" x14ac:dyDescent="0.25">
      <c r="A113" s="135">
        <v>97</v>
      </c>
      <c r="B113" s="136" t="s">
        <v>92</v>
      </c>
      <c r="C113" s="137">
        <f t="shared" si="2"/>
        <v>86096</v>
      </c>
      <c r="D113" s="137">
        <v>2082</v>
      </c>
      <c r="E113" s="134">
        <v>822</v>
      </c>
      <c r="F113" s="137">
        <v>1260</v>
      </c>
      <c r="G113" s="134">
        <v>0</v>
      </c>
      <c r="H113" s="134">
        <v>0</v>
      </c>
      <c r="I113" s="137">
        <v>8885</v>
      </c>
      <c r="J113" s="137">
        <v>2680</v>
      </c>
      <c r="K113" s="137">
        <v>6205</v>
      </c>
      <c r="L113" s="134">
        <v>0</v>
      </c>
      <c r="M113" s="137">
        <f>'[6]Проф.с иными целями Пр.116.'!C114</f>
        <v>75129</v>
      </c>
      <c r="N113" s="134">
        <v>935</v>
      </c>
      <c r="O113" s="137">
        <v>1312</v>
      </c>
    </row>
    <row r="114" spans="1:15" x14ac:dyDescent="0.25">
      <c r="A114" s="135">
        <v>98</v>
      </c>
      <c r="B114" s="136" t="s">
        <v>71</v>
      </c>
      <c r="C114" s="137">
        <f t="shared" si="2"/>
        <v>45026</v>
      </c>
      <c r="D114" s="134">
        <v>0</v>
      </c>
      <c r="E114" s="134">
        <v>0</v>
      </c>
      <c r="F114" s="134">
        <v>0</v>
      </c>
      <c r="G114" s="134">
        <v>0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7">
        <f>'[6]Проф.с иными целями Пр.116.'!C115</f>
        <v>45026</v>
      </c>
      <c r="N114" s="134">
        <v>0</v>
      </c>
      <c r="O114" s="134">
        <v>0</v>
      </c>
    </row>
    <row r="115" spans="1:15" x14ac:dyDescent="0.25">
      <c r="A115" s="405">
        <v>99</v>
      </c>
      <c r="B115" s="136" t="s">
        <v>62</v>
      </c>
      <c r="C115" s="137">
        <f t="shared" si="2"/>
        <v>27099</v>
      </c>
      <c r="D115" s="134">
        <v>335</v>
      </c>
      <c r="E115" s="134">
        <v>128</v>
      </c>
      <c r="F115" s="134">
        <v>207</v>
      </c>
      <c r="G115" s="134">
        <v>0</v>
      </c>
      <c r="H115" s="134">
        <v>0</v>
      </c>
      <c r="I115" s="137">
        <v>1430</v>
      </c>
      <c r="J115" s="134">
        <v>740</v>
      </c>
      <c r="K115" s="134">
        <v>690</v>
      </c>
      <c r="L115" s="134">
        <v>0</v>
      </c>
      <c r="M115" s="137">
        <f>'[6]Проф.с иными целями Пр.116.'!C116</f>
        <v>25334</v>
      </c>
      <c r="N115" s="134">
        <v>4</v>
      </c>
      <c r="O115" s="134">
        <v>358</v>
      </c>
    </row>
    <row r="116" spans="1:15" ht="24" x14ac:dyDescent="0.25">
      <c r="A116" s="405"/>
      <c r="B116" s="136" t="s">
        <v>222</v>
      </c>
      <c r="C116" s="137">
        <f t="shared" si="2"/>
        <v>3600</v>
      </c>
      <c r="D116" s="134">
        <v>0</v>
      </c>
      <c r="E116" s="134">
        <v>0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7">
        <f>'[6]Проф.с иными целями Пр.116.'!C117</f>
        <v>3600</v>
      </c>
      <c r="N116" s="134">
        <v>0</v>
      </c>
      <c r="O116" s="134">
        <v>0</v>
      </c>
    </row>
    <row r="117" spans="1:15" ht="24" x14ac:dyDescent="0.25">
      <c r="A117" s="135">
        <v>100</v>
      </c>
      <c r="B117" s="136" t="s">
        <v>72</v>
      </c>
      <c r="C117" s="137">
        <f t="shared" si="2"/>
        <v>8400</v>
      </c>
      <c r="D117" s="134">
        <v>0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7">
        <f>'[6]Проф.с иными целями Пр.116.'!C118</f>
        <v>8400</v>
      </c>
      <c r="N117" s="134">
        <v>0</v>
      </c>
      <c r="O117" s="134">
        <v>0</v>
      </c>
    </row>
    <row r="118" spans="1:15" x14ac:dyDescent="0.25">
      <c r="A118" s="135">
        <v>101</v>
      </c>
      <c r="B118" s="136" t="s">
        <v>223</v>
      </c>
      <c r="C118" s="137">
        <f t="shared" si="2"/>
        <v>8188</v>
      </c>
      <c r="D118" s="134">
        <v>293</v>
      </c>
      <c r="E118" s="134">
        <v>123</v>
      </c>
      <c r="F118" s="134">
        <v>170</v>
      </c>
      <c r="G118" s="134">
        <v>0</v>
      </c>
      <c r="H118" s="134">
        <v>0</v>
      </c>
      <c r="I118" s="137">
        <v>1251</v>
      </c>
      <c r="J118" s="134">
        <v>511</v>
      </c>
      <c r="K118" s="134">
        <v>740</v>
      </c>
      <c r="L118" s="134">
        <v>0</v>
      </c>
      <c r="M118" s="137">
        <f>'[6]Проф.с иными целями Пр.116.'!C119</f>
        <v>6644</v>
      </c>
      <c r="N118" s="134">
        <v>106</v>
      </c>
      <c r="O118" s="134">
        <v>211</v>
      </c>
    </row>
    <row r="119" spans="1:15" x14ac:dyDescent="0.25">
      <c r="A119" s="135">
        <v>102</v>
      </c>
      <c r="B119" s="136" t="s">
        <v>3</v>
      </c>
      <c r="C119" s="137">
        <f t="shared" si="2"/>
        <v>44247</v>
      </c>
      <c r="D119" s="137">
        <v>3938</v>
      </c>
      <c r="E119" s="134">
        <v>197</v>
      </c>
      <c r="F119" s="134">
        <v>394</v>
      </c>
      <c r="G119" s="137">
        <v>1107</v>
      </c>
      <c r="H119" s="137">
        <v>2240</v>
      </c>
      <c r="I119" s="137">
        <v>2632</v>
      </c>
      <c r="J119" s="134">
        <v>779</v>
      </c>
      <c r="K119" s="137">
        <v>1742</v>
      </c>
      <c r="L119" s="134">
        <v>111</v>
      </c>
      <c r="M119" s="137">
        <f>'[6]Проф.с иными целями Пр.116.'!C120</f>
        <v>37677</v>
      </c>
      <c r="N119" s="134">
        <v>232</v>
      </c>
      <c r="O119" s="134">
        <v>405</v>
      </c>
    </row>
    <row r="120" spans="1:15" x14ac:dyDescent="0.25">
      <c r="A120" s="135">
        <v>103</v>
      </c>
      <c r="B120" s="136" t="s">
        <v>10</v>
      </c>
      <c r="C120" s="137">
        <f t="shared" si="2"/>
        <v>45954</v>
      </c>
      <c r="D120" s="137">
        <v>4398</v>
      </c>
      <c r="E120" s="134">
        <v>251</v>
      </c>
      <c r="F120" s="134">
        <v>351</v>
      </c>
      <c r="G120" s="134">
        <v>947</v>
      </c>
      <c r="H120" s="137">
        <v>2849</v>
      </c>
      <c r="I120" s="137">
        <v>2585</v>
      </c>
      <c r="J120" s="134">
        <v>809</v>
      </c>
      <c r="K120" s="137">
        <v>1760</v>
      </c>
      <c r="L120" s="134">
        <v>16</v>
      </c>
      <c r="M120" s="137">
        <f>'[6]Проф.с иными целями Пр.116.'!C121</f>
        <v>38971</v>
      </c>
      <c r="N120" s="134">
        <v>269</v>
      </c>
      <c r="O120" s="134">
        <v>381</v>
      </c>
    </row>
    <row r="121" spans="1:15" x14ac:dyDescent="0.25">
      <c r="A121" s="135">
        <v>104</v>
      </c>
      <c r="B121" s="136" t="s">
        <v>15</v>
      </c>
      <c r="C121" s="137">
        <f t="shared" si="2"/>
        <v>123452</v>
      </c>
      <c r="D121" s="137">
        <v>11431</v>
      </c>
      <c r="E121" s="134">
        <v>28</v>
      </c>
      <c r="F121" s="137">
        <v>1565</v>
      </c>
      <c r="G121" s="137">
        <v>2925</v>
      </c>
      <c r="H121" s="137">
        <v>6913</v>
      </c>
      <c r="I121" s="137">
        <v>6976</v>
      </c>
      <c r="J121" s="137">
        <v>1659</v>
      </c>
      <c r="K121" s="137">
        <v>5137</v>
      </c>
      <c r="L121" s="134">
        <v>180</v>
      </c>
      <c r="M121" s="137">
        <f>'[6]Проф.с иными целями Пр.116.'!C122</f>
        <v>105045</v>
      </c>
      <c r="N121" s="134">
        <v>282</v>
      </c>
      <c r="O121" s="137">
        <v>1437</v>
      </c>
    </row>
    <row r="122" spans="1:15" x14ac:dyDescent="0.25">
      <c r="A122" s="135">
        <v>105</v>
      </c>
      <c r="B122" s="136" t="s">
        <v>38</v>
      </c>
      <c r="C122" s="137">
        <f t="shared" si="2"/>
        <v>55575</v>
      </c>
      <c r="D122" s="137">
        <v>5009</v>
      </c>
      <c r="E122" s="134">
        <v>259</v>
      </c>
      <c r="F122" s="134">
        <v>477</v>
      </c>
      <c r="G122" s="137">
        <v>1691</v>
      </c>
      <c r="H122" s="137">
        <v>2582</v>
      </c>
      <c r="I122" s="137">
        <v>3191</v>
      </c>
      <c r="J122" s="134">
        <v>932</v>
      </c>
      <c r="K122" s="137">
        <v>2207</v>
      </c>
      <c r="L122" s="134">
        <v>52</v>
      </c>
      <c r="M122" s="137">
        <f>'[6]Проф.с иными целями Пр.116.'!C123</f>
        <v>47375</v>
      </c>
      <c r="N122" s="134">
        <v>188</v>
      </c>
      <c r="O122" s="134">
        <v>606</v>
      </c>
    </row>
    <row r="123" spans="1:15" x14ac:dyDescent="0.25">
      <c r="A123" s="135">
        <v>106</v>
      </c>
      <c r="B123" s="136" t="s">
        <v>16</v>
      </c>
      <c r="C123" s="137">
        <f t="shared" si="2"/>
        <v>69034</v>
      </c>
      <c r="D123" s="137">
        <v>5220</v>
      </c>
      <c r="E123" s="134">
        <v>426</v>
      </c>
      <c r="F123" s="134">
        <v>522</v>
      </c>
      <c r="G123" s="137">
        <v>1968</v>
      </c>
      <c r="H123" s="137">
        <v>2304</v>
      </c>
      <c r="I123" s="137">
        <v>4116</v>
      </c>
      <c r="J123" s="137">
        <v>1522</v>
      </c>
      <c r="K123" s="137">
        <v>2525</v>
      </c>
      <c r="L123" s="134">
        <v>69</v>
      </c>
      <c r="M123" s="137">
        <f>'[6]Проф.с иными целями Пр.116.'!C124</f>
        <v>59698</v>
      </c>
      <c r="N123" s="134">
        <v>427</v>
      </c>
      <c r="O123" s="134">
        <v>597</v>
      </c>
    </row>
    <row r="124" spans="1:15" ht="24" x14ac:dyDescent="0.25">
      <c r="A124" s="135">
        <v>107</v>
      </c>
      <c r="B124" s="136" t="s">
        <v>225</v>
      </c>
      <c r="C124" s="137">
        <f t="shared" si="2"/>
        <v>28</v>
      </c>
      <c r="D124" s="134">
        <v>0</v>
      </c>
      <c r="E124" s="134">
        <v>0</v>
      </c>
      <c r="F124" s="134">
        <v>0</v>
      </c>
      <c r="G124" s="134">
        <v>0</v>
      </c>
      <c r="H124" s="134">
        <v>0</v>
      </c>
      <c r="I124" s="134">
        <v>0</v>
      </c>
      <c r="J124" s="134">
        <v>0</v>
      </c>
      <c r="K124" s="134">
        <v>0</v>
      </c>
      <c r="L124" s="134">
        <v>0</v>
      </c>
      <c r="M124" s="137">
        <f>'[6]Проф.с иными целями Пр.116.'!C125</f>
        <v>28</v>
      </c>
      <c r="N124" s="134">
        <v>0</v>
      </c>
      <c r="O124" s="134">
        <v>0</v>
      </c>
    </row>
    <row r="125" spans="1:15" x14ac:dyDescent="0.25">
      <c r="A125" s="135">
        <v>108</v>
      </c>
      <c r="B125" s="136" t="s">
        <v>26</v>
      </c>
      <c r="C125" s="137">
        <f t="shared" si="2"/>
        <v>132139</v>
      </c>
      <c r="D125" s="137">
        <v>13087</v>
      </c>
      <c r="E125" s="134">
        <v>496</v>
      </c>
      <c r="F125" s="137">
        <v>1181</v>
      </c>
      <c r="G125" s="137">
        <v>4219</v>
      </c>
      <c r="H125" s="137">
        <v>7191</v>
      </c>
      <c r="I125" s="137">
        <v>7407</v>
      </c>
      <c r="J125" s="137">
        <v>2431</v>
      </c>
      <c r="K125" s="137">
        <v>4721</v>
      </c>
      <c r="L125" s="134">
        <v>255</v>
      </c>
      <c r="M125" s="137">
        <f>'[6]Проф.с иными целями Пр.116.'!C126</f>
        <v>111645</v>
      </c>
      <c r="N125" s="134">
        <v>572</v>
      </c>
      <c r="O125" s="137">
        <v>1237</v>
      </c>
    </row>
    <row r="126" spans="1:15" x14ac:dyDescent="0.25">
      <c r="A126" s="135">
        <v>109</v>
      </c>
      <c r="B126" s="136" t="s">
        <v>31</v>
      </c>
      <c r="C126" s="137">
        <f t="shared" si="2"/>
        <v>118565</v>
      </c>
      <c r="D126" s="137">
        <v>10218</v>
      </c>
      <c r="E126" s="134">
        <v>653</v>
      </c>
      <c r="F126" s="134">
        <v>885</v>
      </c>
      <c r="G126" s="137">
        <v>4114</v>
      </c>
      <c r="H126" s="137">
        <v>4566</v>
      </c>
      <c r="I126" s="137">
        <v>6681</v>
      </c>
      <c r="J126" s="137">
        <v>1924</v>
      </c>
      <c r="K126" s="137">
        <v>4637</v>
      </c>
      <c r="L126" s="134">
        <v>120</v>
      </c>
      <c r="M126" s="137">
        <f>'[6]Проф.с иными целями Пр.116.'!C127</f>
        <v>101666</v>
      </c>
      <c r="N126" s="134">
        <v>518</v>
      </c>
      <c r="O126" s="137">
        <v>1142</v>
      </c>
    </row>
    <row r="127" spans="1:15" x14ac:dyDescent="0.25">
      <c r="A127" s="135">
        <v>110</v>
      </c>
      <c r="B127" s="136" t="s">
        <v>32</v>
      </c>
      <c r="C127" s="137">
        <f t="shared" si="2"/>
        <v>41383</v>
      </c>
      <c r="D127" s="137">
        <v>3860</v>
      </c>
      <c r="E127" s="134">
        <v>312</v>
      </c>
      <c r="F127" s="134">
        <v>234</v>
      </c>
      <c r="G127" s="137">
        <v>1015</v>
      </c>
      <c r="H127" s="137">
        <v>2299</v>
      </c>
      <c r="I127" s="137">
        <v>2374</v>
      </c>
      <c r="J127" s="137">
        <v>1002</v>
      </c>
      <c r="K127" s="137">
        <v>1327</v>
      </c>
      <c r="L127" s="134">
        <v>45</v>
      </c>
      <c r="M127" s="137">
        <f>'[6]Проф.с иными целями Пр.116.'!C128</f>
        <v>35149</v>
      </c>
      <c r="N127" s="134">
        <v>245</v>
      </c>
      <c r="O127" s="134">
        <v>344</v>
      </c>
    </row>
    <row r="128" spans="1:15" x14ac:dyDescent="0.25">
      <c r="A128" s="135">
        <v>111</v>
      </c>
      <c r="B128" s="136" t="s">
        <v>35</v>
      </c>
      <c r="C128" s="137">
        <f t="shared" si="2"/>
        <v>65015</v>
      </c>
      <c r="D128" s="137">
        <v>5504</v>
      </c>
      <c r="E128" s="134">
        <v>325</v>
      </c>
      <c r="F128" s="134">
        <v>556</v>
      </c>
      <c r="G128" s="137">
        <v>1431</v>
      </c>
      <c r="H128" s="137">
        <v>3192</v>
      </c>
      <c r="I128" s="137">
        <v>3824</v>
      </c>
      <c r="J128" s="137">
        <v>1152</v>
      </c>
      <c r="K128" s="137">
        <v>2607</v>
      </c>
      <c r="L128" s="134">
        <v>65</v>
      </c>
      <c r="M128" s="137">
        <f>'[6]Проф.с иными целями Пр.116.'!C129</f>
        <v>55687</v>
      </c>
      <c r="N128" s="134">
        <v>317</v>
      </c>
      <c r="O128" s="134">
        <v>634</v>
      </c>
    </row>
    <row r="129" spans="1:15" x14ac:dyDescent="0.25">
      <c r="A129" s="135">
        <v>112</v>
      </c>
      <c r="B129" s="136" t="s">
        <v>42</v>
      </c>
      <c r="C129" s="137">
        <f t="shared" si="2"/>
        <v>63346</v>
      </c>
      <c r="D129" s="137">
        <v>6036</v>
      </c>
      <c r="E129" s="134">
        <v>326</v>
      </c>
      <c r="F129" s="134">
        <v>490</v>
      </c>
      <c r="G129" s="137">
        <v>1320</v>
      </c>
      <c r="H129" s="137">
        <v>3900</v>
      </c>
      <c r="I129" s="137">
        <v>3571</v>
      </c>
      <c r="J129" s="137">
        <v>1387</v>
      </c>
      <c r="K129" s="137">
        <v>2094</v>
      </c>
      <c r="L129" s="134">
        <v>90</v>
      </c>
      <c r="M129" s="137">
        <f>'[6]Проф.с иными целями Пр.116.'!C130</f>
        <v>53739</v>
      </c>
      <c r="N129" s="134">
        <v>291</v>
      </c>
      <c r="O129" s="134">
        <v>590</v>
      </c>
    </row>
    <row r="130" spans="1:15" x14ac:dyDescent="0.25">
      <c r="A130" s="135">
        <v>113</v>
      </c>
      <c r="B130" s="136" t="s">
        <v>21</v>
      </c>
      <c r="C130" s="137">
        <f t="shared" si="2"/>
        <v>79618</v>
      </c>
      <c r="D130" s="137">
        <v>7196</v>
      </c>
      <c r="E130" s="134">
        <v>393</v>
      </c>
      <c r="F130" s="134">
        <v>534</v>
      </c>
      <c r="G130" s="137">
        <v>2007</v>
      </c>
      <c r="H130" s="137">
        <v>4262</v>
      </c>
      <c r="I130" s="137">
        <v>4013</v>
      </c>
      <c r="J130" s="137">
        <v>1478</v>
      </c>
      <c r="K130" s="137">
        <v>2479</v>
      </c>
      <c r="L130" s="134">
        <v>56</v>
      </c>
      <c r="M130" s="137">
        <f>'[6]Проф.с иными целями Пр.116.'!C131</f>
        <v>68409</v>
      </c>
      <c r="N130" s="134">
        <v>267</v>
      </c>
      <c r="O130" s="134">
        <v>735</v>
      </c>
    </row>
    <row r="131" spans="1:15" x14ac:dyDescent="0.25">
      <c r="A131" s="135">
        <v>114</v>
      </c>
      <c r="B131" s="136" t="s">
        <v>41</v>
      </c>
      <c r="C131" s="137">
        <f t="shared" si="2"/>
        <v>47994</v>
      </c>
      <c r="D131" s="137">
        <v>4651</v>
      </c>
      <c r="E131" s="134">
        <v>213</v>
      </c>
      <c r="F131" s="134">
        <v>411</v>
      </c>
      <c r="G131" s="137">
        <v>1804</v>
      </c>
      <c r="H131" s="137">
        <v>2223</v>
      </c>
      <c r="I131" s="137">
        <v>2782</v>
      </c>
      <c r="J131" s="137">
        <v>1062</v>
      </c>
      <c r="K131" s="137">
        <v>1602</v>
      </c>
      <c r="L131" s="134">
        <v>118</v>
      </c>
      <c r="M131" s="137">
        <f>'[6]Проф.с иными целями Пр.116.'!C132</f>
        <v>40561</v>
      </c>
      <c r="N131" s="134">
        <v>225</v>
      </c>
      <c r="O131" s="134">
        <v>449</v>
      </c>
    </row>
    <row r="132" spans="1:15" x14ac:dyDescent="0.25">
      <c r="A132" s="135">
        <v>115</v>
      </c>
      <c r="B132" s="136" t="s">
        <v>48</v>
      </c>
      <c r="C132" s="137">
        <f t="shared" si="2"/>
        <v>71813</v>
      </c>
      <c r="D132" s="137">
        <v>6174</v>
      </c>
      <c r="E132" s="134">
        <v>396</v>
      </c>
      <c r="F132" s="134">
        <v>577</v>
      </c>
      <c r="G132" s="137">
        <v>1900</v>
      </c>
      <c r="H132" s="137">
        <v>3301</v>
      </c>
      <c r="I132" s="137">
        <v>4227</v>
      </c>
      <c r="J132" s="137">
        <v>1657</v>
      </c>
      <c r="K132" s="137">
        <v>2495</v>
      </c>
      <c r="L132" s="134">
        <v>75</v>
      </c>
      <c r="M132" s="137">
        <f>'[6]Проф.с иными целями Пр.116.'!C133</f>
        <v>61412</v>
      </c>
      <c r="N132" s="134">
        <v>350</v>
      </c>
      <c r="O132" s="134">
        <v>701</v>
      </c>
    </row>
    <row r="133" spans="1:15" x14ac:dyDescent="0.25">
      <c r="A133" s="135">
        <v>116</v>
      </c>
      <c r="B133" s="136" t="s">
        <v>49</v>
      </c>
      <c r="C133" s="137">
        <f t="shared" si="2"/>
        <v>120000</v>
      </c>
      <c r="D133" s="137">
        <v>9943</v>
      </c>
      <c r="E133" s="134">
        <v>636</v>
      </c>
      <c r="F133" s="134">
        <v>985</v>
      </c>
      <c r="G133" s="137">
        <v>2937</v>
      </c>
      <c r="H133" s="137">
        <v>5385</v>
      </c>
      <c r="I133" s="137">
        <v>6998</v>
      </c>
      <c r="J133" s="137">
        <v>2252</v>
      </c>
      <c r="K133" s="137">
        <v>4662</v>
      </c>
      <c r="L133" s="134">
        <v>84</v>
      </c>
      <c r="M133" s="137">
        <f>'[6]Проф.с иными целями Пр.116.'!C134</f>
        <v>103059</v>
      </c>
      <c r="N133" s="134">
        <v>556</v>
      </c>
      <c r="O133" s="137">
        <v>1193</v>
      </c>
    </row>
    <row r="134" spans="1:15" x14ac:dyDescent="0.25">
      <c r="A134" s="135">
        <v>117</v>
      </c>
      <c r="B134" s="136" t="s">
        <v>14</v>
      </c>
      <c r="C134" s="137">
        <f t="shared" si="2"/>
        <v>57005</v>
      </c>
      <c r="D134" s="137">
        <v>5160</v>
      </c>
      <c r="E134" s="134">
        <v>253</v>
      </c>
      <c r="F134" s="134">
        <v>513</v>
      </c>
      <c r="G134" s="137">
        <v>1383</v>
      </c>
      <c r="H134" s="137">
        <v>3011</v>
      </c>
      <c r="I134" s="137">
        <v>3350</v>
      </c>
      <c r="J134" s="137">
        <v>1087</v>
      </c>
      <c r="K134" s="137">
        <v>2179</v>
      </c>
      <c r="L134" s="134">
        <v>84</v>
      </c>
      <c r="M134" s="137">
        <f>'[6]Проф.с иными целями Пр.116.'!C135</f>
        <v>48495</v>
      </c>
      <c r="N134" s="134">
        <v>330</v>
      </c>
      <c r="O134" s="134">
        <v>497</v>
      </c>
    </row>
    <row r="135" spans="1:15" x14ac:dyDescent="0.25">
      <c r="A135" s="135">
        <v>118</v>
      </c>
      <c r="B135" s="141" t="s">
        <v>254</v>
      </c>
      <c r="C135" s="137">
        <f t="shared" si="2"/>
        <v>42896</v>
      </c>
      <c r="D135" s="134">
        <v>950</v>
      </c>
      <c r="E135" s="134">
        <v>331</v>
      </c>
      <c r="F135" s="134">
        <v>619</v>
      </c>
      <c r="G135" s="134">
        <v>0</v>
      </c>
      <c r="H135" s="134">
        <v>0</v>
      </c>
      <c r="I135" s="137">
        <v>4054</v>
      </c>
      <c r="J135" s="137">
        <v>1153</v>
      </c>
      <c r="K135" s="137">
        <v>2901</v>
      </c>
      <c r="L135" s="134">
        <v>0</v>
      </c>
      <c r="M135" s="137">
        <f>'[6]Проф.с иными целями Пр.116.'!C136</f>
        <v>37892</v>
      </c>
      <c r="N135" s="134">
        <v>313</v>
      </c>
      <c r="O135" s="134">
        <v>712</v>
      </c>
    </row>
    <row r="136" spans="1:15" x14ac:dyDescent="0.25">
      <c r="A136" s="135">
        <v>119</v>
      </c>
      <c r="B136" s="136" t="s">
        <v>232</v>
      </c>
      <c r="C136" s="137">
        <f t="shared" si="2"/>
        <v>0</v>
      </c>
      <c r="D136" s="134">
        <v>0</v>
      </c>
      <c r="E136" s="134">
        <v>0</v>
      </c>
      <c r="F136" s="134">
        <v>0</v>
      </c>
      <c r="G136" s="134">
        <v>0</v>
      </c>
      <c r="H136" s="134">
        <v>0</v>
      </c>
      <c r="I136" s="134">
        <v>0</v>
      </c>
      <c r="J136" s="134">
        <v>0</v>
      </c>
      <c r="K136" s="134">
        <v>0</v>
      </c>
      <c r="L136" s="134">
        <v>0</v>
      </c>
      <c r="M136" s="137">
        <f>'[6]Проф.с иными целями Пр.116.'!C137</f>
        <v>0</v>
      </c>
      <c r="N136" s="134">
        <v>0</v>
      </c>
      <c r="O136" s="134">
        <v>0</v>
      </c>
    </row>
    <row r="137" spans="1:15" x14ac:dyDescent="0.25">
      <c r="A137" s="135">
        <v>120</v>
      </c>
      <c r="B137" s="136" t="s">
        <v>227</v>
      </c>
      <c r="C137" s="137">
        <f t="shared" si="2"/>
        <v>25</v>
      </c>
      <c r="D137" s="134">
        <v>0</v>
      </c>
      <c r="E137" s="134">
        <v>0</v>
      </c>
      <c r="F137" s="134">
        <v>0</v>
      </c>
      <c r="G137" s="134">
        <v>0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7">
        <f>'[6]Проф.с иными целями Пр.116.'!C138</f>
        <v>25</v>
      </c>
      <c r="N137" s="134">
        <v>0</v>
      </c>
      <c r="O137" s="134">
        <v>0</v>
      </c>
    </row>
    <row r="138" spans="1:15" x14ac:dyDescent="0.25">
      <c r="A138" s="135">
        <v>121</v>
      </c>
      <c r="B138" s="136" t="s">
        <v>228</v>
      </c>
      <c r="C138" s="137">
        <f t="shared" si="2"/>
        <v>66</v>
      </c>
      <c r="D138" s="134">
        <v>0</v>
      </c>
      <c r="E138" s="134">
        <v>0</v>
      </c>
      <c r="F138" s="134">
        <v>0</v>
      </c>
      <c r="G138" s="134">
        <v>0</v>
      </c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7">
        <f>'[6]Проф.с иными целями Пр.116.'!C139</f>
        <v>66</v>
      </c>
      <c r="N138" s="134">
        <v>0</v>
      </c>
      <c r="O138" s="134">
        <v>0</v>
      </c>
    </row>
    <row r="139" spans="1:15" x14ac:dyDescent="0.25">
      <c r="A139" s="135">
        <v>122</v>
      </c>
      <c r="B139" s="136" t="s">
        <v>73</v>
      </c>
      <c r="C139" s="137">
        <f t="shared" si="2"/>
        <v>219</v>
      </c>
      <c r="D139" s="134">
        <v>0</v>
      </c>
      <c r="E139" s="13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7">
        <f>'[6]Проф.с иными целями Пр.116.'!C140</f>
        <v>219</v>
      </c>
      <c r="N139" s="134">
        <v>0</v>
      </c>
      <c r="O139" s="134">
        <v>0</v>
      </c>
    </row>
    <row r="140" spans="1:15" x14ac:dyDescent="0.25">
      <c r="A140" s="135">
        <v>123</v>
      </c>
      <c r="B140" s="136" t="s">
        <v>235</v>
      </c>
      <c r="C140" s="137">
        <f t="shared" si="2"/>
        <v>8</v>
      </c>
      <c r="D140" s="134">
        <v>0</v>
      </c>
      <c r="E140" s="134">
        <v>0</v>
      </c>
      <c r="F140" s="134">
        <v>0</v>
      </c>
      <c r="G140" s="134">
        <v>0</v>
      </c>
      <c r="H140" s="134">
        <v>0</v>
      </c>
      <c r="I140" s="134">
        <v>0</v>
      </c>
      <c r="J140" s="134">
        <v>0</v>
      </c>
      <c r="K140" s="134">
        <v>0</v>
      </c>
      <c r="L140" s="134">
        <v>0</v>
      </c>
      <c r="M140" s="137">
        <f>'[6]Проф.с иными целями Пр.116.'!C141</f>
        <v>8</v>
      </c>
      <c r="N140" s="134">
        <v>0</v>
      </c>
      <c r="O140" s="134">
        <v>0</v>
      </c>
    </row>
    <row r="141" spans="1:15" ht="24" x14ac:dyDescent="0.25">
      <c r="A141" s="135">
        <v>124</v>
      </c>
      <c r="B141" s="136" t="s">
        <v>236</v>
      </c>
      <c r="C141" s="137">
        <f t="shared" si="2"/>
        <v>8</v>
      </c>
      <c r="D141" s="134">
        <v>0</v>
      </c>
      <c r="E141" s="134">
        <v>0</v>
      </c>
      <c r="F141" s="134">
        <v>0</v>
      </c>
      <c r="G141" s="134">
        <v>0</v>
      </c>
      <c r="H141" s="134">
        <v>0</v>
      </c>
      <c r="I141" s="134">
        <v>0</v>
      </c>
      <c r="J141" s="134">
        <v>0</v>
      </c>
      <c r="K141" s="134">
        <v>0</v>
      </c>
      <c r="L141" s="134">
        <v>0</v>
      </c>
      <c r="M141" s="137">
        <f>'[6]Проф.с иными целями Пр.116.'!C142</f>
        <v>8</v>
      </c>
      <c r="N141" s="134">
        <v>0</v>
      </c>
      <c r="O141" s="134">
        <v>0</v>
      </c>
    </row>
    <row r="142" spans="1:15" ht="24" x14ac:dyDescent="0.25">
      <c r="A142" s="135">
        <v>125</v>
      </c>
      <c r="B142" s="136" t="s">
        <v>237</v>
      </c>
      <c r="C142" s="137">
        <f t="shared" si="2"/>
        <v>8</v>
      </c>
      <c r="D142" s="134">
        <v>0</v>
      </c>
      <c r="E142" s="134">
        <v>0</v>
      </c>
      <c r="F142" s="134">
        <v>0</v>
      </c>
      <c r="G142" s="134">
        <v>0</v>
      </c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7">
        <f>'[6]Проф.с иными целями Пр.116.'!C143</f>
        <v>8</v>
      </c>
      <c r="N142" s="134">
        <v>0</v>
      </c>
      <c r="O142" s="134">
        <v>0</v>
      </c>
    </row>
    <row r="143" spans="1:15" x14ac:dyDescent="0.25">
      <c r="A143" s="135">
        <v>126</v>
      </c>
      <c r="B143" s="136" t="s">
        <v>74</v>
      </c>
      <c r="C143" s="137">
        <f t="shared" si="2"/>
        <v>217195</v>
      </c>
      <c r="D143" s="134">
        <v>0</v>
      </c>
      <c r="E143" s="134">
        <v>0</v>
      </c>
      <c r="F143" s="134">
        <v>0</v>
      </c>
      <c r="G143" s="134">
        <v>0</v>
      </c>
      <c r="H143" s="134">
        <v>0</v>
      </c>
      <c r="I143" s="134">
        <v>0</v>
      </c>
      <c r="J143" s="134">
        <v>0</v>
      </c>
      <c r="K143" s="134">
        <v>0</v>
      </c>
      <c r="L143" s="134">
        <v>0</v>
      </c>
      <c r="M143" s="137">
        <f>'[6]Проф.с иными целями Пр.116.'!C144</f>
        <v>217195</v>
      </c>
      <c r="N143" s="134">
        <v>0</v>
      </c>
      <c r="O143" s="134">
        <v>0</v>
      </c>
    </row>
    <row r="144" spans="1:15" x14ac:dyDescent="0.25">
      <c r="A144" s="135">
        <v>127</v>
      </c>
      <c r="B144" s="136" t="s">
        <v>79</v>
      </c>
      <c r="C144" s="137">
        <f t="shared" si="2"/>
        <v>130000</v>
      </c>
      <c r="D144" s="134">
        <v>0</v>
      </c>
      <c r="E144" s="134">
        <v>0</v>
      </c>
      <c r="F144" s="134">
        <v>0</v>
      </c>
      <c r="G144" s="134">
        <v>0</v>
      </c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7">
        <f>'[6]Проф.с иными целями Пр.116.'!C145</f>
        <v>130000</v>
      </c>
      <c r="N144" s="134">
        <v>0</v>
      </c>
      <c r="O144" s="134">
        <v>0</v>
      </c>
    </row>
    <row r="145" spans="1:15" x14ac:dyDescent="0.25">
      <c r="A145" s="135">
        <v>128</v>
      </c>
      <c r="B145" s="136" t="s">
        <v>80</v>
      </c>
      <c r="C145" s="137">
        <f t="shared" si="2"/>
        <v>85000</v>
      </c>
      <c r="D145" s="134">
        <v>0</v>
      </c>
      <c r="E145" s="134">
        <v>0</v>
      </c>
      <c r="F145" s="134">
        <v>0</v>
      </c>
      <c r="G145" s="134">
        <v>0</v>
      </c>
      <c r="H145" s="134">
        <v>0</v>
      </c>
      <c r="I145" s="134">
        <v>0</v>
      </c>
      <c r="J145" s="134">
        <v>0</v>
      </c>
      <c r="K145" s="134">
        <v>0</v>
      </c>
      <c r="L145" s="134">
        <v>0</v>
      </c>
      <c r="M145" s="137">
        <f>'[6]Проф.с иными целями Пр.116.'!C146</f>
        <v>85000</v>
      </c>
      <c r="N145" s="134">
        <v>0</v>
      </c>
      <c r="O145" s="134">
        <v>0</v>
      </c>
    </row>
    <row r="146" spans="1:15" x14ac:dyDescent="0.25">
      <c r="A146" s="135">
        <v>129</v>
      </c>
      <c r="B146" s="136" t="s">
        <v>63</v>
      </c>
      <c r="C146" s="137">
        <f t="shared" si="2"/>
        <v>113400</v>
      </c>
      <c r="D146" s="134">
        <v>0</v>
      </c>
      <c r="E146" s="134">
        <v>0</v>
      </c>
      <c r="F146" s="134">
        <v>0</v>
      </c>
      <c r="G146" s="134">
        <v>0</v>
      </c>
      <c r="H146" s="134">
        <v>0</v>
      </c>
      <c r="I146" s="134">
        <v>0</v>
      </c>
      <c r="J146" s="134">
        <v>0</v>
      </c>
      <c r="K146" s="134">
        <v>0</v>
      </c>
      <c r="L146" s="134">
        <v>0</v>
      </c>
      <c r="M146" s="137">
        <f>'[6]Проф.с иными целями Пр.116.'!C147</f>
        <v>113400</v>
      </c>
      <c r="N146" s="134">
        <v>0</v>
      </c>
      <c r="O146" s="134">
        <v>0</v>
      </c>
    </row>
    <row r="147" spans="1:15" x14ac:dyDescent="0.25">
      <c r="A147" s="135">
        <v>130</v>
      </c>
      <c r="B147" s="136" t="s">
        <v>75</v>
      </c>
      <c r="C147" s="137">
        <f t="shared" si="2"/>
        <v>8000</v>
      </c>
      <c r="D147" s="134">
        <v>0</v>
      </c>
      <c r="E147" s="134">
        <v>0</v>
      </c>
      <c r="F147" s="134">
        <v>0</v>
      </c>
      <c r="G147" s="134">
        <v>0</v>
      </c>
      <c r="H147" s="134">
        <v>0</v>
      </c>
      <c r="I147" s="134">
        <v>0</v>
      </c>
      <c r="J147" s="134">
        <v>0</v>
      </c>
      <c r="K147" s="134">
        <v>0</v>
      </c>
      <c r="L147" s="134">
        <v>0</v>
      </c>
      <c r="M147" s="137">
        <f>'[6]Проф.с иными целями Пр.116.'!C148</f>
        <v>8000</v>
      </c>
      <c r="N147" s="134">
        <v>0</v>
      </c>
      <c r="O147" s="134">
        <v>0</v>
      </c>
    </row>
    <row r="148" spans="1:15" x14ac:dyDescent="0.25">
      <c r="A148" s="135">
        <v>131</v>
      </c>
      <c r="B148" s="136" t="s">
        <v>96</v>
      </c>
      <c r="C148" s="137">
        <f t="shared" si="2"/>
        <v>65356</v>
      </c>
      <c r="D148" s="134">
        <v>0</v>
      </c>
      <c r="E148" s="134">
        <v>0</v>
      </c>
      <c r="F148" s="134">
        <v>0</v>
      </c>
      <c r="G148" s="134">
        <v>0</v>
      </c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7">
        <f>'[6]Проф.с иными целями Пр.116.'!C149</f>
        <v>65356</v>
      </c>
      <c r="N148" s="134">
        <v>0</v>
      </c>
      <c r="O148" s="134">
        <v>0</v>
      </c>
    </row>
    <row r="149" spans="1:15" x14ac:dyDescent="0.25">
      <c r="A149" s="135">
        <v>132</v>
      </c>
      <c r="B149" s="136" t="s">
        <v>76</v>
      </c>
      <c r="C149" s="137">
        <f t="shared" si="2"/>
        <v>57642</v>
      </c>
      <c r="D149" s="134">
        <v>0</v>
      </c>
      <c r="E149" s="134">
        <v>0</v>
      </c>
      <c r="F149" s="134">
        <v>0</v>
      </c>
      <c r="G149" s="134">
        <v>0</v>
      </c>
      <c r="H149" s="134">
        <v>0</v>
      </c>
      <c r="I149" s="134">
        <v>0</v>
      </c>
      <c r="J149" s="134">
        <v>0</v>
      </c>
      <c r="K149" s="134">
        <v>0</v>
      </c>
      <c r="L149" s="134">
        <v>0</v>
      </c>
      <c r="M149" s="137">
        <f>'[6]Проф.с иными целями Пр.116.'!C150</f>
        <v>57642</v>
      </c>
      <c r="N149" s="134">
        <v>0</v>
      </c>
      <c r="O149" s="134">
        <v>0</v>
      </c>
    </row>
    <row r="150" spans="1:15" x14ac:dyDescent="0.25">
      <c r="A150" s="135">
        <v>133</v>
      </c>
      <c r="B150" s="136" t="s">
        <v>102</v>
      </c>
      <c r="C150" s="137">
        <f t="shared" si="2"/>
        <v>91000</v>
      </c>
      <c r="D150" s="134">
        <v>0</v>
      </c>
      <c r="E150" s="134"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7">
        <f>'[6]Проф.с иными целями Пр.116.'!C151</f>
        <v>91000</v>
      </c>
      <c r="N150" s="134">
        <v>0</v>
      </c>
      <c r="O150" s="134">
        <v>0</v>
      </c>
    </row>
    <row r="151" spans="1:15" x14ac:dyDescent="0.25">
      <c r="A151" s="135">
        <v>134</v>
      </c>
      <c r="B151" s="136" t="s">
        <v>103</v>
      </c>
      <c r="C151" s="137">
        <f t="shared" si="2"/>
        <v>10328</v>
      </c>
      <c r="D151" s="134">
        <v>0</v>
      </c>
      <c r="E151" s="134">
        <v>0</v>
      </c>
      <c r="F151" s="134">
        <v>0</v>
      </c>
      <c r="G151" s="134">
        <v>0</v>
      </c>
      <c r="H151" s="134">
        <v>0</v>
      </c>
      <c r="I151" s="134">
        <v>0</v>
      </c>
      <c r="J151" s="134">
        <v>0</v>
      </c>
      <c r="K151" s="134">
        <v>0</v>
      </c>
      <c r="L151" s="134">
        <v>0</v>
      </c>
      <c r="M151" s="137">
        <f>'[6]Проф.с иными целями Пр.116.'!C152</f>
        <v>10328</v>
      </c>
      <c r="N151" s="134">
        <v>0</v>
      </c>
      <c r="O151" s="134">
        <v>0</v>
      </c>
    </row>
    <row r="152" spans="1:15" x14ac:dyDescent="0.25">
      <c r="A152" s="135">
        <v>135</v>
      </c>
      <c r="B152" s="136" t="s">
        <v>81</v>
      </c>
      <c r="C152" s="137">
        <f t="shared" si="2"/>
        <v>57592</v>
      </c>
      <c r="D152" s="134">
        <v>0</v>
      </c>
      <c r="E152" s="134">
        <v>0</v>
      </c>
      <c r="F152" s="134">
        <v>0</v>
      </c>
      <c r="G152" s="134">
        <v>0</v>
      </c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7">
        <f>'[6]Проф.с иными целями Пр.116.'!C153</f>
        <v>57592</v>
      </c>
      <c r="N152" s="134">
        <v>0</v>
      </c>
      <c r="O152" s="134">
        <v>0</v>
      </c>
    </row>
    <row r="153" spans="1:15" x14ac:dyDescent="0.25">
      <c r="A153" s="135">
        <v>136</v>
      </c>
      <c r="B153" s="136" t="s">
        <v>64</v>
      </c>
      <c r="C153" s="137">
        <f t="shared" si="2"/>
        <v>1009</v>
      </c>
      <c r="D153" s="134">
        <v>0</v>
      </c>
      <c r="E153" s="134">
        <v>0</v>
      </c>
      <c r="F153" s="134">
        <v>0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  <c r="L153" s="134">
        <v>0</v>
      </c>
      <c r="M153" s="137">
        <f>'[6]Проф.с иными целями Пр.116.'!C154</f>
        <v>1009</v>
      </c>
      <c r="N153" s="134">
        <v>0</v>
      </c>
      <c r="O153" s="134">
        <v>0</v>
      </c>
    </row>
    <row r="154" spans="1:15" x14ac:dyDescent="0.25">
      <c r="A154" s="405">
        <v>137</v>
      </c>
      <c r="B154" s="136" t="s">
        <v>77</v>
      </c>
      <c r="C154" s="137">
        <f t="shared" si="2"/>
        <v>84825</v>
      </c>
      <c r="D154" s="137">
        <v>1722</v>
      </c>
      <c r="E154" s="134">
        <v>543</v>
      </c>
      <c r="F154" s="137">
        <v>1179</v>
      </c>
      <c r="G154" s="134">
        <v>0</v>
      </c>
      <c r="H154" s="134">
        <v>0</v>
      </c>
      <c r="I154" s="137">
        <v>7346</v>
      </c>
      <c r="J154" s="137">
        <v>1873</v>
      </c>
      <c r="K154" s="137">
        <v>5473</v>
      </c>
      <c r="L154" s="134">
        <v>0</v>
      </c>
      <c r="M154" s="137">
        <f>'[6]Проф.с иными целями Пр.116.'!C155</f>
        <v>75757</v>
      </c>
      <c r="N154" s="134">
        <v>554</v>
      </c>
      <c r="O154" s="137">
        <v>1304</v>
      </c>
    </row>
    <row r="155" spans="1:15" ht="36" x14ac:dyDescent="0.25">
      <c r="A155" s="405"/>
      <c r="B155" s="138" t="s">
        <v>255</v>
      </c>
      <c r="C155" s="137">
        <f t="shared" si="2"/>
        <v>192170</v>
      </c>
      <c r="D155" s="137">
        <v>21076</v>
      </c>
      <c r="E155" s="134">
        <v>993</v>
      </c>
      <c r="F155" s="137">
        <v>1652</v>
      </c>
      <c r="G155" s="137">
        <v>7959</v>
      </c>
      <c r="H155" s="137">
        <v>10472</v>
      </c>
      <c r="I155" s="137">
        <v>11449</v>
      </c>
      <c r="J155" s="137">
        <v>3630</v>
      </c>
      <c r="K155" s="137">
        <v>7654</v>
      </c>
      <c r="L155" s="134">
        <v>165</v>
      </c>
      <c r="M155" s="137">
        <f>'[6]Проф.с иными целями Пр.116.'!C156</f>
        <v>159645</v>
      </c>
      <c r="N155" s="134">
        <v>949</v>
      </c>
      <c r="O155" s="137">
        <v>1906</v>
      </c>
    </row>
    <row r="156" spans="1:15" x14ac:dyDescent="0.25">
      <c r="A156" s="405">
        <v>138</v>
      </c>
      <c r="B156" s="136" t="s">
        <v>256</v>
      </c>
      <c r="C156" s="137">
        <f t="shared" si="2"/>
        <v>3000</v>
      </c>
      <c r="D156" s="134">
        <v>0</v>
      </c>
      <c r="E156" s="134">
        <v>0</v>
      </c>
      <c r="F156" s="134">
        <v>0</v>
      </c>
      <c r="G156" s="134">
        <v>0</v>
      </c>
      <c r="H156" s="134">
        <v>0</v>
      </c>
      <c r="I156" s="134">
        <v>0</v>
      </c>
      <c r="J156" s="134">
        <v>0</v>
      </c>
      <c r="K156" s="134">
        <v>0</v>
      </c>
      <c r="L156" s="134">
        <v>0</v>
      </c>
      <c r="M156" s="137">
        <f>'[6]Проф.с иными целями Пр.116.'!C157</f>
        <v>3000</v>
      </c>
      <c r="N156" s="134">
        <v>0</v>
      </c>
      <c r="O156" s="134">
        <v>0</v>
      </c>
    </row>
    <row r="157" spans="1:15" ht="48" x14ac:dyDescent="0.25">
      <c r="A157" s="405"/>
      <c r="B157" s="138" t="s">
        <v>257</v>
      </c>
      <c r="C157" s="137">
        <f t="shared" si="2"/>
        <v>1442</v>
      </c>
      <c r="D157" s="134">
        <v>0</v>
      </c>
      <c r="E157" s="134">
        <v>0</v>
      </c>
      <c r="F157" s="134">
        <v>0</v>
      </c>
      <c r="G157" s="134">
        <v>0</v>
      </c>
      <c r="H157" s="134">
        <v>0</v>
      </c>
      <c r="I157" s="134">
        <v>0</v>
      </c>
      <c r="J157" s="134">
        <v>0</v>
      </c>
      <c r="K157" s="134">
        <v>0</v>
      </c>
      <c r="L157" s="134">
        <v>0</v>
      </c>
      <c r="M157" s="137">
        <f>'[6]Проф.с иными целями Пр.116.'!C158</f>
        <v>1442</v>
      </c>
      <c r="N157" s="134">
        <v>0</v>
      </c>
      <c r="O157" s="134">
        <v>0</v>
      </c>
    </row>
    <row r="158" spans="1:15" x14ac:dyDescent="0.25">
      <c r="A158" s="135">
        <v>139</v>
      </c>
      <c r="B158" s="136" t="s">
        <v>239</v>
      </c>
      <c r="C158" s="137">
        <f t="shared" si="2"/>
        <v>9830</v>
      </c>
      <c r="D158" s="134">
        <v>0</v>
      </c>
      <c r="E158" s="134">
        <v>0</v>
      </c>
      <c r="F158" s="134">
        <v>0</v>
      </c>
      <c r="G158" s="134">
        <v>0</v>
      </c>
      <c r="H158" s="134">
        <v>0</v>
      </c>
      <c r="I158" s="134">
        <v>0</v>
      </c>
      <c r="J158" s="134">
        <v>0</v>
      </c>
      <c r="K158" s="134">
        <v>0</v>
      </c>
      <c r="L158" s="134">
        <v>0</v>
      </c>
      <c r="M158" s="137">
        <f>'[6]Проф.с иными целями Пр.116.'!C159</f>
        <v>9830</v>
      </c>
      <c r="N158" s="134">
        <v>0</v>
      </c>
      <c r="O158" s="134">
        <v>0</v>
      </c>
    </row>
    <row r="159" spans="1:15" x14ac:dyDescent="0.25">
      <c r="A159" s="135">
        <v>140</v>
      </c>
      <c r="B159" s="141" t="s">
        <v>154</v>
      </c>
      <c r="C159" s="137">
        <f t="shared" si="2"/>
        <v>26480</v>
      </c>
      <c r="D159" s="134">
        <v>0</v>
      </c>
      <c r="E159" s="13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7">
        <f>'[6]Проф.с иными целями Пр.116.'!C160</f>
        <v>26480</v>
      </c>
      <c r="N159" s="134">
        <v>0</v>
      </c>
      <c r="O159" s="134">
        <v>0</v>
      </c>
    </row>
    <row r="160" spans="1:15" x14ac:dyDescent="0.25">
      <c r="A160" s="135">
        <v>141</v>
      </c>
      <c r="B160" s="142" t="s">
        <v>151</v>
      </c>
      <c r="C160" s="137">
        <f t="shared" si="2"/>
        <v>10080</v>
      </c>
      <c r="D160" s="134">
        <v>0</v>
      </c>
      <c r="E160" s="134">
        <v>0</v>
      </c>
      <c r="F160" s="134">
        <v>0</v>
      </c>
      <c r="G160" s="134">
        <v>0</v>
      </c>
      <c r="H160" s="134">
        <v>0</v>
      </c>
      <c r="I160" s="134">
        <v>0</v>
      </c>
      <c r="J160" s="134">
        <v>0</v>
      </c>
      <c r="K160" s="134">
        <v>0</v>
      </c>
      <c r="L160" s="134">
        <v>0</v>
      </c>
      <c r="M160" s="137">
        <f>'[6]Проф.с иными целями Пр.116.'!C161</f>
        <v>10080</v>
      </c>
      <c r="N160" s="134">
        <v>0</v>
      </c>
      <c r="O160" s="134">
        <v>0</v>
      </c>
    </row>
    <row r="161" spans="1:15" x14ac:dyDescent="0.25">
      <c r="A161" s="135">
        <v>142</v>
      </c>
      <c r="B161" s="141" t="s">
        <v>258</v>
      </c>
      <c r="C161" s="137">
        <f t="shared" si="2"/>
        <v>5480</v>
      </c>
      <c r="D161" s="134">
        <v>0</v>
      </c>
      <c r="E161" s="134">
        <v>0</v>
      </c>
      <c r="F161" s="134">
        <v>0</v>
      </c>
      <c r="G161" s="134">
        <v>0</v>
      </c>
      <c r="H161" s="134">
        <v>0</v>
      </c>
      <c r="I161" s="134">
        <v>0</v>
      </c>
      <c r="J161" s="134">
        <v>0</v>
      </c>
      <c r="K161" s="134">
        <v>0</v>
      </c>
      <c r="L161" s="134">
        <v>0</v>
      </c>
      <c r="M161" s="137">
        <f>'[6]Проф.с иными целями Пр.116.'!C162</f>
        <v>5480</v>
      </c>
      <c r="N161" s="134">
        <v>0</v>
      </c>
      <c r="O161" s="134">
        <v>0</v>
      </c>
    </row>
    <row r="162" spans="1:15" x14ac:dyDescent="0.25">
      <c r="A162" s="135">
        <v>143</v>
      </c>
      <c r="B162" s="142" t="s">
        <v>259</v>
      </c>
      <c r="C162" s="137">
        <f t="shared" si="2"/>
        <v>2600</v>
      </c>
      <c r="D162" s="134">
        <v>0</v>
      </c>
      <c r="E162" s="134">
        <v>0</v>
      </c>
      <c r="F162" s="134">
        <v>0</v>
      </c>
      <c r="G162" s="134">
        <v>0</v>
      </c>
      <c r="H162" s="134">
        <v>0</v>
      </c>
      <c r="I162" s="134">
        <v>0</v>
      </c>
      <c r="J162" s="134">
        <v>0</v>
      </c>
      <c r="K162" s="134">
        <v>0</v>
      </c>
      <c r="L162" s="134">
        <v>0</v>
      </c>
      <c r="M162" s="137">
        <f>'[6]Проф.с иными целями Пр.116.'!C163</f>
        <v>2600</v>
      </c>
      <c r="N162" s="134">
        <v>0</v>
      </c>
      <c r="O162" s="134">
        <v>0</v>
      </c>
    </row>
    <row r="163" spans="1:15" x14ac:dyDescent="0.25">
      <c r="A163" s="135">
        <v>144</v>
      </c>
      <c r="B163" s="136" t="s">
        <v>260</v>
      </c>
      <c r="C163" s="137">
        <f t="shared" si="2"/>
        <v>640</v>
      </c>
      <c r="D163" s="134">
        <v>0</v>
      </c>
      <c r="E163" s="134">
        <v>0</v>
      </c>
      <c r="F163" s="134">
        <v>0</v>
      </c>
      <c r="G163" s="134">
        <v>0</v>
      </c>
      <c r="H163" s="134">
        <v>0</v>
      </c>
      <c r="I163" s="134">
        <v>0</v>
      </c>
      <c r="J163" s="134">
        <v>0</v>
      </c>
      <c r="K163" s="134">
        <v>0</v>
      </c>
      <c r="L163" s="134">
        <v>0</v>
      </c>
      <c r="M163" s="137">
        <f>'[6]Проф.с иными целями Пр.116.'!C164</f>
        <v>640</v>
      </c>
      <c r="N163" s="134">
        <v>0</v>
      </c>
      <c r="O163" s="134">
        <v>0</v>
      </c>
    </row>
    <row r="164" spans="1:15" x14ac:dyDescent="0.25">
      <c r="A164" s="143"/>
      <c r="B164" s="136" t="s">
        <v>65</v>
      </c>
      <c r="C164" s="137">
        <f t="shared" si="2"/>
        <v>302520</v>
      </c>
      <c r="D164" s="134">
        <v>0</v>
      </c>
      <c r="E164" s="134">
        <v>0</v>
      </c>
      <c r="F164" s="134">
        <v>0</v>
      </c>
      <c r="G164" s="134">
        <v>0</v>
      </c>
      <c r="H164" s="134">
        <v>0</v>
      </c>
      <c r="I164" s="134">
        <v>0</v>
      </c>
      <c r="J164" s="134">
        <v>0</v>
      </c>
      <c r="K164" s="134">
        <v>0</v>
      </c>
      <c r="L164" s="134">
        <v>0</v>
      </c>
      <c r="M164" s="137">
        <f>'[6]Проф.с иными целями Пр.116.'!C165</f>
        <v>302520</v>
      </c>
      <c r="N164" s="134">
        <v>0</v>
      </c>
      <c r="O164" s="134">
        <v>0</v>
      </c>
    </row>
    <row r="165" spans="1:15" x14ac:dyDescent="0.25">
      <c r="A165" s="144"/>
      <c r="B165" s="144" t="s">
        <v>87</v>
      </c>
      <c r="C165" s="145">
        <f>SUM(C9:C164)</f>
        <v>11801387</v>
      </c>
      <c r="D165" s="145">
        <f t="shared" ref="D165:O165" si="3">SUM(D9:D164)</f>
        <v>850857</v>
      </c>
      <c r="E165" s="145">
        <f t="shared" si="3"/>
        <v>49059</v>
      </c>
      <c r="F165" s="145">
        <f t="shared" si="3"/>
        <v>91089</v>
      </c>
      <c r="G165" s="145">
        <f t="shared" si="3"/>
        <v>282623</v>
      </c>
      <c r="H165" s="145">
        <f t="shared" si="3"/>
        <v>428086</v>
      </c>
      <c r="I165" s="145">
        <f t="shared" si="3"/>
        <v>609432</v>
      </c>
      <c r="J165" s="145">
        <f t="shared" si="3"/>
        <v>181813</v>
      </c>
      <c r="K165" s="145">
        <f t="shared" si="3"/>
        <v>416128</v>
      </c>
      <c r="L165" s="145">
        <f t="shared" si="3"/>
        <v>11491</v>
      </c>
      <c r="M165" s="145">
        <f t="shared" si="3"/>
        <v>10341098</v>
      </c>
      <c r="N165" s="145">
        <f t="shared" si="3"/>
        <v>45787</v>
      </c>
      <c r="O165" s="145">
        <f t="shared" si="3"/>
        <v>105494</v>
      </c>
    </row>
  </sheetData>
  <mergeCells count="27">
    <mergeCell ref="I3:L3"/>
    <mergeCell ref="M3:M7"/>
    <mergeCell ref="N3:O3"/>
    <mergeCell ref="D4:D7"/>
    <mergeCell ref="E4:H4"/>
    <mergeCell ref="I4:I7"/>
    <mergeCell ref="J4:L4"/>
    <mergeCell ref="N4:O6"/>
    <mergeCell ref="E5:F6"/>
    <mergeCell ref="G5:H6"/>
    <mergeCell ref="J5:K5"/>
    <mergeCell ref="L5:L6"/>
    <mergeCell ref="J6:K6"/>
    <mergeCell ref="A115:A116"/>
    <mergeCell ref="A154:A155"/>
    <mergeCell ref="A156:A157"/>
    <mergeCell ref="A13:A14"/>
    <mergeCell ref="A35:A36"/>
    <mergeCell ref="A40:A41"/>
    <mergeCell ref="A46:A48"/>
    <mergeCell ref="A51:A52"/>
    <mergeCell ref="A110:A111"/>
    <mergeCell ref="A2:A7"/>
    <mergeCell ref="B2:B7"/>
    <mergeCell ref="C2:C7"/>
    <mergeCell ref="D2:O2"/>
    <mergeCell ref="D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СМП Пр 116</vt:lpstr>
      <vt:lpstr>КС Пр.116</vt:lpstr>
      <vt:lpstr>ВМП по КС Пр.116  </vt:lpstr>
      <vt:lpstr>Изоляторы Пр. 116</vt:lpstr>
      <vt:lpstr>ДС Пр. 116</vt:lpstr>
      <vt:lpstr>ВМП по ДС Пр. 116</vt:lpstr>
      <vt:lpstr>Гемодиализ Пр. 116</vt:lpstr>
      <vt:lpstr>Обращения Пр.116</vt:lpstr>
      <vt:lpstr>Всего профил.Пр.116</vt:lpstr>
      <vt:lpstr>Проф.с иными целями Пр.116.</vt:lpstr>
      <vt:lpstr>Неотложн. МП Пр.116</vt:lpstr>
      <vt:lpstr>КТ, МРТ Пр. 116</vt:lpstr>
      <vt:lpstr>РД, луч, ПЭТ, УЗИ Пр. 116</vt:lpstr>
      <vt:lpstr>'СМП Пр 116'!OLE_LINK1</vt:lpstr>
      <vt:lpstr>'ДС Пр. 116'!Заголовки_для_печати</vt:lpstr>
      <vt:lpstr>'КС Пр.116'!Заголовки_для_печати</vt:lpstr>
      <vt:lpstr>'Неотложн. МП Пр.116'!Заголовки_для_печати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Гузель Самойлова</cp:lastModifiedBy>
  <cp:lastPrinted>2020-06-25T06:49:52Z</cp:lastPrinted>
  <dcterms:created xsi:type="dcterms:W3CDTF">2019-11-28T06:32:34Z</dcterms:created>
  <dcterms:modified xsi:type="dcterms:W3CDTF">2020-07-06T07:14:51Z</dcterms:modified>
</cp:coreProperties>
</file>